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9720" windowHeight="3720" tabRatio="773" activeTab="0"/>
  </bookViews>
  <sheets>
    <sheet name="tot-0007" sheetId="1" r:id="rId1"/>
    <sheet name="LI-0007" sheetId="2" r:id="rId2"/>
    <sheet name="LI-0007 (2)" sheetId="3" r:id="rId3"/>
    <sheet name="TR-0007" sheetId="4" r:id="rId4"/>
    <sheet name="TR-0007 (2)" sheetId="5" r:id="rId5"/>
    <sheet name="SA-0007" sheetId="6" r:id="rId6"/>
    <sheet name="SA-0007 (2)" sheetId="7" r:id="rId7"/>
    <sheet name="TRANSNOA" sheetId="8" r:id="rId8"/>
  </sheets>
  <externalReferences>
    <externalReference r:id="rId11"/>
  </externalReferences>
  <definedNames>
    <definedName name="_xlnm.Print_Area" localSheetId="1">'LI-0007'!$A$1:$Z$44</definedName>
    <definedName name="_xlnm.Print_Area" localSheetId="2">'LI-0007 (2)'!$A$1:$Z$44</definedName>
    <definedName name="_xlnm.Print_Area" localSheetId="5">'SA-0007'!$A$1:$U$47</definedName>
    <definedName name="_xlnm.Print_Area" localSheetId="6">'SA-0007 (2)'!$A$1:$U$47</definedName>
    <definedName name="_xlnm.Print_Area" localSheetId="0">'tot-0007'!$A$1:$L$28</definedName>
    <definedName name="_xlnm.Print_Area" localSheetId="7">'TRANSNOA'!$A$1:$T$88</definedName>
    <definedName name="INICIO" localSheetId="7">'TRANSNOA'!INICIO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<sst xmlns="http://schemas.openxmlformats.org/spreadsheetml/2006/main" count="510" uniqueCount="165">
  <si>
    <t>SISTEMA DE TRANSPORTE DE ENERGÍA ELÉCTRICA POR DISTRIBUCIÓN TRONCAL</t>
  </si>
  <si>
    <t>TRANSNOA S.A.</t>
  </si>
  <si>
    <t>LÍNEAS</t>
  </si>
  <si>
    <t>AGUA BLANCA - VILLA QUINTEROS</t>
  </si>
  <si>
    <t>AGUILARES - VILLA QUINTEROS</t>
  </si>
  <si>
    <t>ESTATICA SUR - EL BRACHO</t>
  </si>
  <si>
    <t>GÜEMES - METAN</t>
  </si>
  <si>
    <t>GÜEMES - SAN JUANCITO 1</t>
  </si>
  <si>
    <t>INDEPENDENCIA - EL BRACHO</t>
  </si>
  <si>
    <t>LIBERTADOR NOA - PICHANAL</t>
  </si>
  <si>
    <t>ORAN - PICHANAL</t>
  </si>
  <si>
    <t>PICHANAL - TARTAGAL</t>
  </si>
  <si>
    <t>SAN JUANCITO - SAN PEDRO JUJUY</t>
  </si>
  <si>
    <t>SAN MARTIN - CATAMARCA</t>
  </si>
  <si>
    <t>SAN MARTIN - LA RIOJA</t>
  </si>
  <si>
    <t>SAN MARTIN - RECREO</t>
  </si>
  <si>
    <t>SAN PEDRO JUJUY - LIBERTADOR NOA</t>
  </si>
  <si>
    <t>TUCUMAN NORTE - EL BRACHO</t>
  </si>
  <si>
    <t>SALTA SUR - SALTA NORTE</t>
  </si>
  <si>
    <t xml:space="preserve">AGUA BLANCA </t>
  </si>
  <si>
    <t>TRAFO 1</t>
  </si>
  <si>
    <t>132/33/13,2</t>
  </si>
  <si>
    <t>TRAFO 2</t>
  </si>
  <si>
    <t xml:space="preserve">CATAMARCA </t>
  </si>
  <si>
    <t>TRAFO 3</t>
  </si>
  <si>
    <t>TRAFO</t>
  </si>
  <si>
    <t>132/13,2</t>
  </si>
  <si>
    <t xml:space="preserve">FRIAS </t>
  </si>
  <si>
    <t xml:space="preserve">GÜEMES </t>
  </si>
  <si>
    <t>INDEPENDENCIA</t>
  </si>
  <si>
    <t xml:space="preserve">JUJUY SUR </t>
  </si>
  <si>
    <t xml:space="preserve">LA BANDA </t>
  </si>
  <si>
    <t>LA COCHA</t>
  </si>
  <si>
    <t xml:space="preserve">LIBERTADOR </t>
  </si>
  <si>
    <t xml:space="preserve">ORAN </t>
  </si>
  <si>
    <t xml:space="preserve">PICHANAL </t>
  </si>
  <si>
    <t>SALTA NORTE</t>
  </si>
  <si>
    <t xml:space="preserve">SAN PEDRO </t>
  </si>
  <si>
    <t xml:space="preserve">SANTIAGO CENTRO </t>
  </si>
  <si>
    <t xml:space="preserve">SARMIENTO </t>
  </si>
  <si>
    <t>TARTAGAL</t>
  </si>
  <si>
    <t xml:space="preserve">TUCUMAN NORTE </t>
  </si>
  <si>
    <t>SALIDA CHUMBICHA</t>
  </si>
  <si>
    <t>SALIDA LA MERCED</t>
  </si>
  <si>
    <t>LIBERTADOR</t>
  </si>
  <si>
    <t>SALIDA LEDESMA</t>
  </si>
  <si>
    <t>SALIDA DISTRIB. YUTO</t>
  </si>
  <si>
    <t>SALIDA CENTRO</t>
  </si>
  <si>
    <t>SALIDA FRAILE PINTADO</t>
  </si>
  <si>
    <t>SALIDA ALIMENT. ORIAS</t>
  </si>
  <si>
    <t>SALIDA SAN FRANCISCO</t>
  </si>
  <si>
    <t>ORAN</t>
  </si>
  <si>
    <t>SALIDA EMBARCACIÓN</t>
  </si>
  <si>
    <t>SALIDA PICHANAL</t>
  </si>
  <si>
    <t>SALIDA SANTA ROSA</t>
  </si>
  <si>
    <t>SAN PEDRO</t>
  </si>
  <si>
    <t>SALIDA AYE PROVINCIAL</t>
  </si>
  <si>
    <t>SALIDA LA ESPERANZA</t>
  </si>
  <si>
    <t>SALIDA SA FIAT</t>
  </si>
  <si>
    <t>SALIDA SAN PEDRO CENTRO</t>
  </si>
  <si>
    <t>SALIDA SAN PEDRO HOSPITAL</t>
  </si>
  <si>
    <t>SALIDA TG HITACHI</t>
  </si>
  <si>
    <t>SALIDA SAN JUANCITO</t>
  </si>
  <si>
    <t xml:space="preserve">TARTAGAL  </t>
  </si>
  <si>
    <t>SALIDA TRAFO 1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</si>
  <si>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</si>
  <si>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</si>
  <si>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</si>
  <si>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</si>
  <si>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</si>
  <si>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</si>
  <si>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</si>
  <si>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2.2.-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</si>
  <si>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</si>
  <si>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</si>
  <si>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</si>
  <si>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</si>
  <si>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</si>
  <si>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</si>
  <si>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</si>
  <si>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</si>
  <si>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</si>
  <si>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</si>
  <si>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</si>
  <si>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</si>
  <si>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</si>
  <si>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</si>
  <si>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</si>
  <si>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</si>
  <si>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</si>
  <si>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</si>
  <si>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</si>
  <si>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</si>
  <si>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</si>
  <si>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</si>
  <si>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</si>
  <si>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</si>
  <si>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</si>
  <si>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</si>
  <si>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</si>
  <si>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</si>
  <si>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</si>
  <si>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</si>
  <si>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</si>
  <si>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</si>
  <si>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</si>
  <si>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</si>
  <si>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</si>
  <si>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</si>
  <si>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</si>
  <si>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</si>
  <si>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</si>
  <si>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</si>
  <si>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</si>
  <si>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</si>
  <si>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</si>
  <si>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</si>
  <si>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</si>
  <si>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</si>
  <si>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</si>
  <si>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</si>
  <si>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</si>
  <si>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</si>
  <si>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t>CEVIL POZO - EL BRACHO</t>
  </si>
  <si>
    <t>SALIDA PICHANAL NORTE</t>
  </si>
  <si>
    <t>SALIDA ALIM. PROVIDENCIA</t>
  </si>
  <si>
    <t>SALIDA LAVALLEN</t>
  </si>
  <si>
    <t>SALIDA ALIMENTADOR CD</t>
  </si>
  <si>
    <t>CABRA CORRAL - TRANCAS</t>
  </si>
  <si>
    <t>TUCUMAN NORTE - TRANCAS</t>
  </si>
  <si>
    <t>VILLA QUINTEROS - ANDALGALA</t>
  </si>
  <si>
    <t>ANDALGALA</t>
  </si>
  <si>
    <t>TRANCAS</t>
  </si>
  <si>
    <t>MALLIHUACO</t>
  </si>
  <si>
    <t>BURRUYACU - CEVIL POZO</t>
  </si>
  <si>
    <t>CABRA CORRAL - SALTA ESTE</t>
  </si>
  <si>
    <t>SALTA ESTE - SALTA SUR</t>
  </si>
  <si>
    <t>SALTA ESTE</t>
  </si>
  <si>
    <t>Transporte de la hoja 1/2</t>
  </si>
  <si>
    <t>Desde el 01 al 31 de julio de 2000</t>
  </si>
  <si>
    <t>P</t>
  </si>
  <si>
    <t>F</t>
  </si>
  <si>
    <t>NO</t>
  </si>
  <si>
    <t>SI</t>
  </si>
  <si>
    <t>RR</t>
  </si>
  <si>
    <t>R</t>
  </si>
  <si>
    <t>RP</t>
  </si>
  <si>
    <t>SALIDA A TRANSFORMADOR  15 MVA</t>
  </si>
  <si>
    <t>SALIDA A STA. ROSA</t>
  </si>
  <si>
    <t>LÍNEAS. Equipamiento propio</t>
  </si>
  <si>
    <t>Transformación. Equipamiento propio</t>
  </si>
  <si>
    <t>Salidas. Equipamiento propio</t>
  </si>
  <si>
    <t xml:space="preserve">SISTEMA DE TRANSPORTE DE ENERGÍA ELÉCTRICA POR DISTRIBUCIÓN TRONCAL </t>
  </si>
  <si>
    <t>INDISPONIBILIDADES FORZADAS DE LÍNEAS - TASA DE FALLA</t>
  </si>
  <si>
    <t xml:space="preserve">Longitud Total    </t>
  </si>
  <si>
    <t xml:space="preserve">Indisponibilidades Forzadas  </t>
  </si>
  <si>
    <t xml:space="preserve">TASA DE FALLA  </t>
  </si>
  <si>
    <t xml:space="preserve">  Valores Provisorios</t>
  </si>
  <si>
    <t>XXX</t>
  </si>
  <si>
    <t xml:space="preserve">  Línea no computada en el mes</t>
  </si>
  <si>
    <t>TASA DE FALLA</t>
  </si>
  <si>
    <t>SALIDAS x AÑO / 100 km</t>
  </si>
  <si>
    <t>TOTAL DE PENALIZACIONES A APLICAR</t>
  </si>
  <si>
    <t>Correspondiente al mes de julio de 2000</t>
  </si>
  <si>
    <t>ANEXO I A LA RESOLUCION ENRE N° 336/2001</t>
  </si>
</sst>
</file>

<file path=xl/styles.xml><?xml version="1.0" encoding="utf-8"?>
<styleSheet xmlns="http://schemas.openxmlformats.org/spreadsheetml/2006/main">
  <numFmts count="9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\$\ #,##0.00,_);\(\$\ #,##0.00,\)"/>
    <numFmt numFmtId="199" formatCode="&quot;$&quot;\ #,##0.000;&quot;$&quot;\ \-#,##0.000"/>
    <numFmt numFmtId="200" formatCode="#,##0.0"/>
    <numFmt numFmtId="201" formatCode="0.00000"/>
    <numFmt numFmtId="202" formatCode="0.000_)"/>
    <numFmt numFmtId="203" formatCode="0.000"/>
    <numFmt numFmtId="204" formatCode="&quot;$&quot;#,##0.00\ ;&quot;$&quot;\-#,##0.00\ "/>
    <numFmt numFmtId="205" formatCode="0.0%"/>
    <numFmt numFmtId="206" formatCode="dd\-mmm\-yy_)"/>
    <numFmt numFmtId="207" formatCode="#,##0.0_);\(#,##0.0\)"/>
    <numFmt numFmtId="208" formatCode="&quot;$&quot;\ #,##0.00;&quot;$&quot;\ \-#,##0.000"/>
    <numFmt numFmtId="209" formatCode="&quot;$&quot;\ #,##0;\-&quot;$&quot;\ #,##0"/>
    <numFmt numFmtId="210" formatCode="&quot;$&quot;\ #,##0;[Red]\-&quot;$&quot;\ #,##0"/>
    <numFmt numFmtId="211" formatCode="&quot;$&quot;\ #,##0.00;\-&quot;$&quot;\ #,##0.00"/>
    <numFmt numFmtId="212" formatCode="&quot;$&quot;\ #,##0.00;[Red]\-&quot;$&quot;\ #,##0.00"/>
    <numFmt numFmtId="213" formatCode="_-&quot;$&quot;\ * #,##0_-;\-&quot;$&quot;\ * #,##0_-;_-&quot;$&quot;\ * &quot;-&quot;_-;_-@_-"/>
    <numFmt numFmtId="214" formatCode="_-* #,##0_-;\-* #,##0_-;_-* &quot;-&quot;_-;_-@_-"/>
    <numFmt numFmtId="215" formatCode="_-&quot;$&quot;\ * #,##0.00_-;\-&quot;$&quot;\ * #,##0.00_-;_-&quot;$&quot;\ * &quot;-&quot;??_-;_-@_-"/>
    <numFmt numFmtId="216" formatCode="_-* #,##0.00_-;\-* #,##0.00_-;_-* &quot;-&quot;??_-;_-@_-"/>
    <numFmt numFmtId="217" formatCode="&quot;$&quot;#,##0.00"/>
    <numFmt numFmtId="218" formatCode="#.\-"/>
    <numFmt numFmtId="219" formatCode="#.#.\-"/>
    <numFmt numFmtId="220" formatCode="\2.\5%"/>
    <numFmt numFmtId="221" formatCode=".00%"/>
    <numFmt numFmtId="222" formatCode="#,##0&quot;Pts&quot;_);\(#,##0&quot;Pts&quot;\)"/>
    <numFmt numFmtId="223" formatCode="#,##0&quot;Pts&quot;_);[Red]\(#,##0&quot;Pts&quot;\)"/>
    <numFmt numFmtId="224" formatCode="#,##0.00&quot;Pts&quot;_);\(#,##0.00&quot;Pts&quot;\)"/>
    <numFmt numFmtId="225" formatCode="#,##0.00&quot;Pts&quot;_);[Red]\(#,##0.00&quot;Pts&quot;\)"/>
    <numFmt numFmtId="226" formatCode="_ * #,##0_)&quot;Pts&quot;_ ;_ * \(#,##0\)&quot;Pts&quot;_ ;_ * &quot;-&quot;_)&quot;Pts&quot;_ ;_ @_ "/>
    <numFmt numFmtId="227" formatCode="_ * #,##0_)_P_t_s_ ;_ * \(#,##0\)_P_t_s_ ;_ * &quot;-&quot;_)_P_t_s_ ;_ @_ "/>
    <numFmt numFmtId="228" formatCode="_ * #,##0.00_)&quot;Pts&quot;_ ;_ * \(#,##0.00\)&quot;Pts&quot;_ ;_ * &quot;-&quot;??_)&quot;Pts&quot;_ ;_ @_ "/>
    <numFmt numFmtId="229" formatCode="_ * #,##0.00_)_P_t_s_ ;_ * \(#,##0.00\)_P_t_s_ ;_ * &quot;-&quot;??_)_P_t_s_ ;_ @_ "/>
    <numFmt numFmtId="230" formatCode="&quot;$&quot;#,##0.00;&quot;$&quot;\-#,##0.00"/>
    <numFmt numFmtId="231" formatCode="0.000000"/>
    <numFmt numFmtId="232" formatCode="0.0\ \k\V"/>
    <numFmt numFmtId="233" formatCode="0.0\ &quot;km&quot;"/>
    <numFmt numFmtId="234" formatCode="#\ &quot;km&quot;"/>
    <numFmt numFmtId="235" formatCode="0.00\ &quot;km&quot;"/>
    <numFmt numFmtId="236" formatCode="0.00\ &quot;MVA&quot;"/>
    <numFmt numFmtId="237" formatCode="0.0000000"/>
    <numFmt numFmtId="238" formatCode="0.00000000"/>
    <numFmt numFmtId="239" formatCode="0#"/>
    <numFmt numFmtId="240" formatCode="d\ h:mm"/>
    <numFmt numFmtId="241" formatCode="d\ d\íyys\ \ h:mm"/>
    <numFmt numFmtId="242" formatCode="d\ \'d\íyys\'\ \ h:mm"/>
    <numFmt numFmtId="243" formatCode="d\ &quot;días&quot;\ \ h:mm"/>
    <numFmt numFmtId="244" formatCode="d\ &quot;días&quot;\ \ h:mm\ &quot;horas&quot;"/>
    <numFmt numFmtId="245" formatCode="&quot;$&quot;\ #,##0.0;&quot;$&quot;\ \-#,##0.0"/>
    <numFmt numFmtId="246" formatCode="#,##0.000"/>
    <numFmt numFmtId="247" formatCode="dd/mm/yy"/>
    <numFmt numFmtId="248" formatCode="#,###,\-"/>
    <numFmt numFmtId="249" formatCode="#&quot;.&quot;#&quot;.-&quot;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2"/>
      <name val="Arial"/>
      <family val="0"/>
    </font>
    <font>
      <b/>
      <sz val="10"/>
      <color indexed="10"/>
      <name val="MS Sans Serif"/>
      <family val="2"/>
    </font>
    <font>
      <b/>
      <u val="single"/>
      <sz val="12"/>
      <name val="Arial"/>
      <family val="0"/>
    </font>
    <font>
      <b/>
      <sz val="16"/>
      <name val="Times New Roman"/>
      <family val="1"/>
    </font>
    <font>
      <sz val="9"/>
      <name val="Courier New"/>
      <family val="3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53">
    <border>
      <left/>
      <right/>
      <top/>
      <bottom/>
      <diagonal/>
    </border>
    <border>
      <left style="double"/>
      <right style="double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00" fontId="9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188" fontId="7" fillId="0" borderId="3" xfId="0" applyNumberFormat="1" applyFont="1" applyBorder="1" applyAlignment="1" applyProtection="1">
      <alignment horizontal="center"/>
      <protection/>
    </xf>
    <xf numFmtId="188" fontId="7" fillId="0" borderId="4" xfId="0" applyNumberFormat="1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2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92" fontId="7" fillId="0" borderId="3" xfId="0" applyNumberFormat="1" applyFont="1" applyBorder="1" applyAlignment="1" applyProtection="1">
      <alignment horizontal="center"/>
      <protection/>
    </xf>
    <xf numFmtId="192" fontId="7" fillId="0" borderId="3" xfId="0" applyNumberFormat="1" applyFont="1" applyBorder="1" applyAlignment="1" applyProtection="1" quotePrefix="1">
      <alignment horizontal="center"/>
      <protection/>
    </xf>
    <xf numFmtId="192" fontId="7" fillId="0" borderId="9" xfId="0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22" fontId="7" fillId="0" borderId="3" xfId="0" applyNumberFormat="1" applyFont="1" applyBorder="1" applyAlignment="1" applyProtection="1">
      <alignment horizontal="center"/>
      <protection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189" fontId="7" fillId="0" borderId="1" xfId="0" applyNumberFormat="1" applyFont="1" applyBorder="1" applyAlignment="1" applyProtection="1" quotePrefix="1">
      <alignment horizontal="center"/>
      <protection/>
    </xf>
    <xf numFmtId="2" fontId="7" fillId="0" borderId="1" xfId="0" applyNumberFormat="1" applyFont="1" applyBorder="1" applyAlignment="1" applyProtection="1" quotePrefix="1">
      <alignment horizontal="center"/>
      <protection/>
    </xf>
    <xf numFmtId="192" fontId="7" fillId="0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92" fontId="7" fillId="0" borderId="4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Border="1" applyAlignment="1" applyProtection="1">
      <alignment horizontal="center"/>
      <protection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6" xfId="0" applyFont="1" applyFill="1" applyBorder="1" applyAlignment="1" applyProtection="1">
      <alignment horizontal="center"/>
      <protection/>
    </xf>
    <xf numFmtId="22" fontId="7" fillId="0" borderId="1" xfId="0" applyNumberFormat="1" applyFont="1" applyFill="1" applyBorder="1" applyAlignment="1">
      <alignment horizontal="center"/>
    </xf>
    <xf numFmtId="22" fontId="7" fillId="0" borderId="11" xfId="0" applyNumberFormat="1" applyFont="1" applyFill="1" applyBorder="1" applyAlignment="1" applyProtection="1">
      <alignment horizontal="center"/>
      <protection/>
    </xf>
    <xf numFmtId="2" fontId="7" fillId="0" borderId="4" xfId="0" applyNumberFormat="1" applyFont="1" applyFill="1" applyBorder="1" applyAlignment="1" applyProtection="1">
      <alignment horizontal="center"/>
      <protection/>
    </xf>
    <xf numFmtId="4" fontId="10" fillId="0" borderId="4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4" fontId="7" fillId="0" borderId="4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12" fillId="0" borderId="13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center"/>
      <protection/>
    </xf>
    <xf numFmtId="192" fontId="7" fillId="0" borderId="9" xfId="0" applyNumberFormat="1" applyFont="1" applyBorder="1" applyAlignment="1" applyProtection="1" quotePrefix="1">
      <alignment horizontal="center"/>
      <protection/>
    </xf>
    <xf numFmtId="0" fontId="7" fillId="0" borderId="2" xfId="0" applyFont="1" applyFill="1" applyBorder="1" applyAlignment="1">
      <alignment/>
    </xf>
    <xf numFmtId="0" fontId="12" fillId="0" borderId="6" xfId="0" applyFont="1" applyFill="1" applyBorder="1" applyAlignment="1" applyProtection="1" quotePrefix="1">
      <alignment horizontal="center"/>
      <protection/>
    </xf>
    <xf numFmtId="0" fontId="7" fillId="0" borderId="9" xfId="0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center"/>
      <protection/>
    </xf>
    <xf numFmtId="200" fontId="9" fillId="0" borderId="9" xfId="0" applyNumberFormat="1" applyFont="1" applyFill="1" applyBorder="1" applyAlignment="1" applyProtection="1">
      <alignment horizontal="center"/>
      <protection/>
    </xf>
    <xf numFmtId="199" fontId="7" fillId="0" borderId="10" xfId="0" applyNumberFormat="1" applyFont="1" applyFill="1" applyBorder="1" applyAlignment="1" applyProtection="1">
      <alignment horizontal="center"/>
      <protection/>
    </xf>
    <xf numFmtId="192" fontId="7" fillId="0" borderId="10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quotePrefix="1">
      <alignment horizontal="center"/>
    </xf>
    <xf numFmtId="8" fontId="10" fillId="0" borderId="5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2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 horizontal="center"/>
    </xf>
    <xf numFmtId="7" fontId="26" fillId="0" borderId="18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191" fontId="7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6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17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 applyProtection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 wrapText="1"/>
      <protection/>
    </xf>
    <xf numFmtId="0" fontId="30" fillId="0" borderId="25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88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190" fontId="7" fillId="0" borderId="0" xfId="0" applyNumberFormat="1" applyFont="1" applyFill="1" applyBorder="1" applyAlignment="1" applyProtection="1">
      <alignment/>
      <protection/>
    </xf>
    <xf numFmtId="7" fontId="13" fillId="0" borderId="24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6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 applyProtection="1">
      <alignment horizontal="center"/>
      <protection/>
    </xf>
    <xf numFmtId="188" fontId="0" fillId="0" borderId="24" xfId="0" applyNumberFormat="1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2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99" fontId="7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quotePrefix="1">
      <alignment horizontal="centerContinuous"/>
    </xf>
    <xf numFmtId="0" fontId="0" fillId="0" borderId="17" xfId="0" applyFont="1" applyBorder="1" applyAlignment="1" applyProtection="1">
      <alignment horizontal="left"/>
      <protection/>
    </xf>
    <xf numFmtId="199" fontId="0" fillId="0" borderId="27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199" fontId="29" fillId="0" borderId="2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9" xfId="0" applyNumberFormat="1" applyFont="1" applyBorder="1" applyAlignment="1">
      <alignment horizontal="center"/>
    </xf>
    <xf numFmtId="192" fontId="31" fillId="0" borderId="3" xfId="0" applyNumberFormat="1" applyFont="1" applyFill="1" applyBorder="1" applyAlignment="1">
      <alignment horizontal="center"/>
    </xf>
    <xf numFmtId="7" fontId="32" fillId="0" borderId="23" xfId="0" applyNumberFormat="1" applyFont="1" applyFill="1" applyBorder="1" applyAlignment="1">
      <alignment horizontal="center"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 quotePrefix="1">
      <alignment horizontal="center" vertical="center" wrapText="1"/>
      <protection/>
    </xf>
    <xf numFmtId="0" fontId="30" fillId="0" borderId="2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5" fillId="0" borderId="26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2" xfId="0" applyFont="1" applyFill="1" applyBorder="1" applyAlignment="1">
      <alignment/>
    </xf>
    <xf numFmtId="7" fontId="38" fillId="0" borderId="0" xfId="0" applyNumberFormat="1" applyFont="1" applyBorder="1" applyAlignment="1">
      <alignment horizontal="right"/>
    </xf>
    <xf numFmtId="7" fontId="13" fillId="0" borderId="24" xfId="0" applyNumberFormat="1" applyFont="1" applyBorder="1" applyAlignment="1">
      <alignment horizontal="right"/>
    </xf>
    <xf numFmtId="0" fontId="39" fillId="2" borderId="24" xfId="0" applyFont="1" applyFill="1" applyBorder="1" applyAlignment="1" applyProtection="1">
      <alignment horizontal="center" vertical="center"/>
      <protection/>
    </xf>
    <xf numFmtId="0" fontId="40" fillId="2" borderId="1" xfId="0" applyFont="1" applyFill="1" applyBorder="1" applyAlignment="1">
      <alignment/>
    </xf>
    <xf numFmtId="192" fontId="40" fillId="2" borderId="3" xfId="0" applyNumberFormat="1" applyFont="1" applyFill="1" applyBorder="1" applyAlignment="1" applyProtection="1">
      <alignment horizontal="center"/>
      <protection/>
    </xf>
    <xf numFmtId="192" fontId="40" fillId="2" borderId="9" xfId="0" applyNumberFormat="1" applyFont="1" applyFill="1" applyBorder="1" applyAlignment="1" applyProtection="1">
      <alignment horizontal="center"/>
      <protection/>
    </xf>
    <xf numFmtId="0" fontId="40" fillId="2" borderId="5" xfId="0" applyFont="1" applyFill="1" applyBorder="1" applyAlignment="1">
      <alignment/>
    </xf>
    <xf numFmtId="0" fontId="40" fillId="2" borderId="3" xfId="0" applyFont="1" applyFill="1" applyBorder="1" applyAlignment="1">
      <alignment/>
    </xf>
    <xf numFmtId="0" fontId="40" fillId="2" borderId="9" xfId="0" applyFont="1" applyFill="1" applyBorder="1" applyAlignment="1">
      <alignment/>
    </xf>
    <xf numFmtId="199" fontId="40" fillId="2" borderId="3" xfId="0" applyNumberFormat="1" applyFont="1" applyFill="1" applyBorder="1" applyAlignment="1" applyProtection="1">
      <alignment horizontal="center"/>
      <protection/>
    </xf>
    <xf numFmtId="199" fontId="40" fillId="2" borderId="9" xfId="0" applyNumberFormat="1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0" fillId="0" borderId="24" xfId="0" applyFont="1" applyBorder="1" applyAlignment="1">
      <alignment horizontal="center" vertical="center" wrapText="1"/>
    </xf>
    <xf numFmtId="7" fontId="10" fillId="0" borderId="5" xfId="0" applyNumberFormat="1" applyFont="1" applyBorder="1" applyAlignment="1">
      <alignment horizontal="right"/>
    </xf>
    <xf numFmtId="0" fontId="46" fillId="0" borderId="22" xfId="0" applyFont="1" applyBorder="1" applyAlignment="1">
      <alignment/>
    </xf>
    <xf numFmtId="191" fontId="7" fillId="0" borderId="18" xfId="0" applyNumberFormat="1" applyFont="1" applyBorder="1" applyAlignment="1">
      <alignment horizontal="centerContinuous"/>
    </xf>
    <xf numFmtId="0" fontId="40" fillId="2" borderId="5" xfId="0" applyFont="1" applyFill="1" applyBorder="1" applyAlignment="1">
      <alignment horizontal="center"/>
    </xf>
    <xf numFmtId="0" fontId="47" fillId="3" borderId="24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/>
    </xf>
    <xf numFmtId="0" fontId="48" fillId="3" borderId="1" xfId="0" applyFont="1" applyFill="1" applyBorder="1" applyAlignment="1">
      <alignment/>
    </xf>
    <xf numFmtId="2" fontId="48" fillId="3" borderId="3" xfId="0" applyNumberFormat="1" applyFont="1" applyFill="1" applyBorder="1" applyAlignment="1">
      <alignment horizontal="center"/>
    </xf>
    <xf numFmtId="2" fontId="48" fillId="3" borderId="9" xfId="0" applyNumberFormat="1" applyFont="1" applyFill="1" applyBorder="1" applyAlignment="1">
      <alignment horizontal="center"/>
    </xf>
    <xf numFmtId="0" fontId="49" fillId="4" borderId="24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/>
    </xf>
    <xf numFmtId="0" fontId="50" fillId="4" borderId="1" xfId="0" applyFont="1" applyFill="1" applyBorder="1" applyAlignment="1">
      <alignment/>
    </xf>
    <xf numFmtId="2" fontId="50" fillId="4" borderId="3" xfId="0" applyNumberFormat="1" applyFont="1" applyFill="1" applyBorder="1" applyAlignment="1" applyProtection="1">
      <alignment horizontal="center"/>
      <protection/>
    </xf>
    <xf numFmtId="2" fontId="50" fillId="4" borderId="9" xfId="0" applyNumberFormat="1" applyFont="1" applyFill="1" applyBorder="1" applyAlignment="1">
      <alignment horizontal="center"/>
    </xf>
    <xf numFmtId="0" fontId="43" fillId="5" borderId="17" xfId="0" applyFont="1" applyFill="1" applyBorder="1" applyAlignment="1" applyProtection="1">
      <alignment horizontal="centerContinuous" vertical="center" wrapText="1"/>
      <protection/>
    </xf>
    <xf numFmtId="0" fontId="44" fillId="5" borderId="25" xfId="0" applyFont="1" applyFill="1" applyBorder="1" applyAlignment="1">
      <alignment horizontal="centerContinuous"/>
    </xf>
    <xf numFmtId="0" fontId="43" fillId="5" borderId="18" xfId="0" applyFont="1" applyFill="1" applyBorder="1" applyAlignment="1">
      <alignment horizontal="centerContinuous" vertical="center"/>
    </xf>
    <xf numFmtId="192" fontId="42" fillId="5" borderId="29" xfId="0" applyNumberFormat="1" applyFont="1" applyFill="1" applyBorder="1" applyAlignment="1" applyProtection="1" quotePrefix="1">
      <alignment horizontal="center"/>
      <protection/>
    </xf>
    <xf numFmtId="192" fontId="42" fillId="5" borderId="30" xfId="0" applyNumberFormat="1" applyFont="1" applyFill="1" applyBorder="1" applyAlignment="1" applyProtection="1" quotePrefix="1">
      <alignment horizontal="center"/>
      <protection/>
    </xf>
    <xf numFmtId="4" fontId="42" fillId="5" borderId="4" xfId="0" applyNumberFormat="1" applyFont="1" applyFill="1" applyBorder="1" applyAlignment="1">
      <alignment horizontal="center"/>
    </xf>
    <xf numFmtId="192" fontId="42" fillId="5" borderId="31" xfId="0" applyNumberFormat="1" applyFont="1" applyFill="1" applyBorder="1" applyAlignment="1" applyProtection="1" quotePrefix="1">
      <alignment horizontal="center"/>
      <protection/>
    </xf>
    <xf numFmtId="192" fontId="42" fillId="5" borderId="32" xfId="0" applyNumberFormat="1" applyFont="1" applyFill="1" applyBorder="1" applyAlignment="1" applyProtection="1" quotePrefix="1">
      <alignment horizontal="center"/>
      <protection/>
    </xf>
    <xf numFmtId="4" fontId="42" fillId="5" borderId="10" xfId="0" applyNumberFormat="1" applyFont="1" applyFill="1" applyBorder="1" applyAlignment="1">
      <alignment horizontal="center"/>
    </xf>
    <xf numFmtId="0" fontId="42" fillId="5" borderId="33" xfId="0" applyFont="1" applyFill="1" applyBorder="1" applyAlignment="1">
      <alignment/>
    </xf>
    <xf numFmtId="0" fontId="42" fillId="5" borderId="8" xfId="0" applyFont="1" applyFill="1" applyBorder="1" applyAlignment="1">
      <alignment/>
    </xf>
    <xf numFmtId="2" fontId="48" fillId="3" borderId="24" xfId="0" applyNumberFormat="1" applyFont="1" applyFill="1" applyBorder="1" applyAlignment="1">
      <alignment horizontal="center"/>
    </xf>
    <xf numFmtId="2" fontId="50" fillId="4" borderId="24" xfId="0" applyNumberFormat="1" applyFont="1" applyFill="1" applyBorder="1" applyAlignment="1">
      <alignment horizontal="center"/>
    </xf>
    <xf numFmtId="0" fontId="51" fillId="6" borderId="17" xfId="0" applyFont="1" applyFill="1" applyBorder="1" applyAlignment="1">
      <alignment horizontal="centerContinuous" vertical="center" wrapText="1"/>
    </xf>
    <xf numFmtId="0" fontId="52" fillId="6" borderId="25" xfId="0" applyFont="1" applyFill="1" applyBorder="1" applyAlignment="1">
      <alignment horizontal="centerContinuous"/>
    </xf>
    <xf numFmtId="0" fontId="51" fillId="6" borderId="18" xfId="0" applyFont="1" applyFill="1" applyBorder="1" applyAlignment="1">
      <alignment horizontal="centerContinuous" vertical="center"/>
    </xf>
    <xf numFmtId="0" fontId="53" fillId="6" borderId="34" xfId="0" applyFont="1" applyFill="1" applyBorder="1" applyAlignment="1">
      <alignment horizontal="left"/>
    </xf>
    <xf numFmtId="0" fontId="53" fillId="6" borderId="12" xfId="0" applyFont="1" applyFill="1" applyBorder="1" applyAlignment="1">
      <alignment/>
    </xf>
    <xf numFmtId="4" fontId="53" fillId="6" borderId="29" xfId="0" applyNumberFormat="1" applyFont="1" applyFill="1" applyBorder="1" applyAlignment="1" applyProtection="1">
      <alignment horizontal="center"/>
      <protection/>
    </xf>
    <xf numFmtId="4" fontId="53" fillId="6" borderId="31" xfId="0" applyNumberFormat="1" applyFont="1" applyFill="1" applyBorder="1" applyAlignment="1">
      <alignment horizontal="center"/>
    </xf>
    <xf numFmtId="0" fontId="53" fillId="6" borderId="35" xfId="0" applyFont="1" applyFill="1" applyBorder="1" applyAlignment="1">
      <alignment horizontal="left"/>
    </xf>
    <xf numFmtId="0" fontId="53" fillId="6" borderId="36" xfId="0" applyFont="1" applyFill="1" applyBorder="1" applyAlignment="1">
      <alignment/>
    </xf>
    <xf numFmtId="192" fontId="53" fillId="6" borderId="37" xfId="0" applyNumberFormat="1" applyFont="1" applyFill="1" applyBorder="1" applyAlignment="1" applyProtection="1" quotePrefix="1">
      <alignment horizontal="center"/>
      <protection/>
    </xf>
    <xf numFmtId="4" fontId="53" fillId="6" borderId="38" xfId="0" applyNumberFormat="1" applyFont="1" applyFill="1" applyBorder="1" applyAlignment="1">
      <alignment horizontal="center"/>
    </xf>
    <xf numFmtId="0" fontId="53" fillId="6" borderId="39" xfId="0" applyFont="1" applyFill="1" applyBorder="1" applyAlignment="1">
      <alignment horizontal="left"/>
    </xf>
    <xf numFmtId="0" fontId="53" fillId="6" borderId="40" xfId="0" applyFont="1" applyFill="1" applyBorder="1" applyAlignment="1">
      <alignment/>
    </xf>
    <xf numFmtId="4" fontId="53" fillId="6" borderId="11" xfId="0" applyNumberFormat="1" applyFont="1" applyFill="1" applyBorder="1" applyAlignment="1">
      <alignment horizontal="center"/>
    </xf>
    <xf numFmtId="4" fontId="53" fillId="6" borderId="41" xfId="0" applyNumberFormat="1" applyFont="1" applyFill="1" applyBorder="1" applyAlignment="1">
      <alignment horizontal="center"/>
    </xf>
    <xf numFmtId="0" fontId="51" fillId="7" borderId="24" xfId="0" applyFont="1" applyFill="1" applyBorder="1" applyAlignment="1">
      <alignment horizontal="center" vertical="center" wrapText="1"/>
    </xf>
    <xf numFmtId="0" fontId="53" fillId="7" borderId="5" xfId="0" applyFont="1" applyFill="1" applyBorder="1" applyAlignment="1">
      <alignment horizontal="left"/>
    </xf>
    <xf numFmtId="0" fontId="53" fillId="7" borderId="1" xfId="0" applyFont="1" applyFill="1" applyBorder="1" applyAlignment="1">
      <alignment/>
    </xf>
    <xf numFmtId="4" fontId="53" fillId="7" borderId="3" xfId="0" applyNumberFormat="1" applyFont="1" applyFill="1" applyBorder="1" applyAlignment="1">
      <alignment horizontal="center"/>
    </xf>
    <xf numFmtId="4" fontId="53" fillId="7" borderId="9" xfId="0" applyNumberFormat="1" applyFont="1" applyFill="1" applyBorder="1" applyAlignment="1">
      <alignment horizontal="center"/>
    </xf>
    <xf numFmtId="0" fontId="55" fillId="8" borderId="24" xfId="0" applyFont="1" applyFill="1" applyBorder="1" applyAlignment="1">
      <alignment horizontal="center" vertical="center" wrapText="1"/>
    </xf>
    <xf numFmtId="0" fontId="56" fillId="8" borderId="5" xfId="0" applyFont="1" applyFill="1" applyBorder="1" applyAlignment="1">
      <alignment horizontal="left"/>
    </xf>
    <xf numFmtId="0" fontId="56" fillId="8" borderId="1" xfId="0" applyFont="1" applyFill="1" applyBorder="1" applyAlignment="1">
      <alignment/>
    </xf>
    <xf numFmtId="4" fontId="56" fillId="8" borderId="3" xfId="0" applyNumberFormat="1" applyFont="1" applyFill="1" applyBorder="1" applyAlignment="1">
      <alignment horizontal="center"/>
    </xf>
    <xf numFmtId="4" fontId="56" fillId="8" borderId="9" xfId="0" applyNumberFormat="1" applyFont="1" applyFill="1" applyBorder="1" applyAlignment="1">
      <alignment horizontal="center"/>
    </xf>
    <xf numFmtId="2" fontId="42" fillId="5" borderId="24" xfId="0" applyNumberFormat="1" applyFont="1" applyFill="1" applyBorder="1" applyAlignment="1">
      <alignment horizontal="center"/>
    </xf>
    <xf numFmtId="2" fontId="53" fillId="6" borderId="24" xfId="0" applyNumberFormat="1" applyFont="1" applyFill="1" applyBorder="1" applyAlignment="1">
      <alignment horizontal="center"/>
    </xf>
    <xf numFmtId="2" fontId="53" fillId="7" borderId="24" xfId="0" applyNumberFormat="1" applyFont="1" applyFill="1" applyBorder="1" applyAlignment="1">
      <alignment horizontal="center"/>
    </xf>
    <xf numFmtId="2" fontId="56" fillId="8" borderId="24" xfId="0" applyNumberFormat="1" applyFont="1" applyFill="1" applyBorder="1" applyAlignment="1">
      <alignment horizontal="center"/>
    </xf>
    <xf numFmtId="0" fontId="54" fillId="9" borderId="9" xfId="0" applyFont="1" applyFill="1" applyBorder="1" applyAlignment="1">
      <alignment/>
    </xf>
    <xf numFmtId="0" fontId="51" fillId="9" borderId="24" xfId="0" applyFont="1" applyFill="1" applyBorder="1" applyAlignment="1" applyProtection="1">
      <alignment horizontal="center" vertical="center"/>
      <protection/>
    </xf>
    <xf numFmtId="0" fontId="54" fillId="9" borderId="5" xfId="0" applyFont="1" applyFill="1" applyBorder="1" applyAlignment="1">
      <alignment/>
    </xf>
    <xf numFmtId="0" fontId="54" fillId="9" borderId="3" xfId="0" applyFont="1" applyFill="1" applyBorder="1" applyAlignment="1">
      <alignment/>
    </xf>
    <xf numFmtId="192" fontId="7" fillId="0" borderId="3" xfId="0" applyNumberFormat="1" applyFont="1" applyFill="1" applyBorder="1" applyAlignment="1" applyProtection="1" quotePrefix="1">
      <alignment horizontal="center"/>
      <protection/>
    </xf>
    <xf numFmtId="4" fontId="54" fillId="9" borderId="3" xfId="0" applyNumberFormat="1" applyFont="1" applyFill="1" applyBorder="1" applyAlignment="1" applyProtection="1">
      <alignment horizontal="center"/>
      <protection/>
    </xf>
    <xf numFmtId="0" fontId="51" fillId="3" borderId="24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/>
    </xf>
    <xf numFmtId="0" fontId="53" fillId="3" borderId="3" xfId="0" applyFont="1" applyFill="1" applyBorder="1" applyAlignment="1">
      <alignment/>
    </xf>
    <xf numFmtId="2" fontId="53" fillId="3" borderId="3" xfId="0" applyNumberFormat="1" applyFont="1" applyFill="1" applyBorder="1" applyAlignment="1">
      <alignment horizontal="center"/>
    </xf>
    <xf numFmtId="0" fontId="53" fillId="3" borderId="9" xfId="0" applyFont="1" applyFill="1" applyBorder="1" applyAlignment="1">
      <alignment/>
    </xf>
    <xf numFmtId="7" fontId="53" fillId="3" borderId="24" xfId="0" applyNumberFormat="1" applyFont="1" applyFill="1" applyBorder="1" applyAlignment="1">
      <alignment horizontal="center"/>
    </xf>
    <xf numFmtId="0" fontId="51" fillId="10" borderId="24" xfId="0" applyFont="1" applyFill="1" applyBorder="1" applyAlignment="1">
      <alignment horizontal="center" vertical="center" wrapText="1"/>
    </xf>
    <xf numFmtId="0" fontId="53" fillId="10" borderId="5" xfId="0" applyFont="1" applyFill="1" applyBorder="1" applyAlignment="1">
      <alignment/>
    </xf>
    <xf numFmtId="0" fontId="53" fillId="10" borderId="3" xfId="0" applyFont="1" applyFill="1" applyBorder="1" applyAlignment="1">
      <alignment/>
    </xf>
    <xf numFmtId="2" fontId="53" fillId="10" borderId="3" xfId="0" applyNumberFormat="1" applyFont="1" applyFill="1" applyBorder="1" applyAlignment="1">
      <alignment horizontal="center"/>
    </xf>
    <xf numFmtId="0" fontId="53" fillId="10" borderId="9" xfId="0" applyFont="1" applyFill="1" applyBorder="1" applyAlignment="1">
      <alignment/>
    </xf>
    <xf numFmtId="7" fontId="54" fillId="10" borderId="24" xfId="0" applyNumberFormat="1" applyFont="1" applyFill="1" applyBorder="1" applyAlignment="1">
      <alignment horizontal="center"/>
    </xf>
    <xf numFmtId="0" fontId="42" fillId="5" borderId="42" xfId="0" applyFont="1" applyFill="1" applyBorder="1" applyAlignment="1">
      <alignment/>
    </xf>
    <xf numFmtId="0" fontId="42" fillId="5" borderId="31" xfId="0" applyFont="1" applyFill="1" applyBorder="1" applyAlignment="1">
      <alignment/>
    </xf>
    <xf numFmtId="0" fontId="42" fillId="5" borderId="41" xfId="0" applyFont="1" applyFill="1" applyBorder="1" applyAlignment="1">
      <alignment/>
    </xf>
    <xf numFmtId="7" fontId="42" fillId="5" borderId="24" xfId="0" applyNumberFormat="1" applyFont="1" applyFill="1" applyBorder="1" applyAlignment="1">
      <alignment horizontal="center"/>
    </xf>
    <xf numFmtId="0" fontId="42" fillId="5" borderId="4" xfId="0" applyFont="1" applyFill="1" applyBorder="1" applyAlignment="1">
      <alignment/>
    </xf>
    <xf numFmtId="192" fontId="42" fillId="5" borderId="11" xfId="0" applyNumberFormat="1" applyFont="1" applyFill="1" applyBorder="1" applyAlignment="1" applyProtection="1" quotePrefix="1">
      <alignment horizontal="center"/>
      <protection/>
    </xf>
    <xf numFmtId="0" fontId="42" fillId="5" borderId="34" xfId="0" applyFont="1" applyFill="1" applyBorder="1" applyAlignment="1">
      <alignment horizontal="center"/>
    </xf>
    <xf numFmtId="0" fontId="42" fillId="5" borderId="29" xfId="0" applyFont="1" applyFill="1" applyBorder="1" applyAlignment="1">
      <alignment horizontal="center"/>
    </xf>
    <xf numFmtId="0" fontId="55" fillId="6" borderId="17" xfId="0" applyFont="1" applyFill="1" applyBorder="1" applyAlignment="1" applyProtection="1">
      <alignment horizontal="centerContinuous" vertical="center" wrapText="1"/>
      <protection/>
    </xf>
    <xf numFmtId="0" fontId="55" fillId="6" borderId="18" xfId="0" applyFont="1" applyFill="1" applyBorder="1" applyAlignment="1">
      <alignment horizontal="centerContinuous" vertical="center"/>
    </xf>
    <xf numFmtId="0" fontId="56" fillId="6" borderId="34" xfId="0" applyFont="1" applyFill="1" applyBorder="1" applyAlignment="1">
      <alignment horizontal="center"/>
    </xf>
    <xf numFmtId="0" fontId="56" fillId="6" borderId="42" xfId="0" applyFont="1" applyFill="1" applyBorder="1" applyAlignment="1">
      <alignment/>
    </xf>
    <xf numFmtId="0" fontId="56" fillId="6" borderId="29" xfId="0" applyFont="1" applyFill="1" applyBorder="1" applyAlignment="1">
      <alignment horizontal="center"/>
    </xf>
    <xf numFmtId="0" fontId="56" fillId="6" borderId="4" xfId="0" applyFont="1" applyFill="1" applyBorder="1" applyAlignment="1">
      <alignment/>
    </xf>
    <xf numFmtId="192" fontId="56" fillId="6" borderId="29" xfId="0" applyNumberFormat="1" applyFont="1" applyFill="1" applyBorder="1" applyAlignment="1" applyProtection="1" quotePrefix="1">
      <alignment horizontal="center"/>
      <protection/>
    </xf>
    <xf numFmtId="192" fontId="56" fillId="6" borderId="11" xfId="0" applyNumberFormat="1" applyFont="1" applyFill="1" applyBorder="1" applyAlignment="1" applyProtection="1" quotePrefix="1">
      <alignment horizontal="center"/>
      <protection/>
    </xf>
    <xf numFmtId="0" fontId="56" fillId="6" borderId="31" xfId="0" applyFont="1" applyFill="1" applyBorder="1" applyAlignment="1">
      <alignment/>
    </xf>
    <xf numFmtId="0" fontId="56" fillId="6" borderId="41" xfId="0" applyFont="1" applyFill="1" applyBorder="1" applyAlignment="1">
      <alignment/>
    </xf>
    <xf numFmtId="7" fontId="56" fillId="6" borderId="24" xfId="0" applyNumberFormat="1" applyFont="1" applyFill="1" applyBorder="1" applyAlignment="1">
      <alignment horizontal="center"/>
    </xf>
    <xf numFmtId="0" fontId="55" fillId="7" borderId="24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192" fontId="56" fillId="7" borderId="3" xfId="0" applyNumberFormat="1" applyFont="1" applyFill="1" applyBorder="1" applyAlignment="1" applyProtection="1" quotePrefix="1">
      <alignment horizontal="center"/>
      <protection/>
    </xf>
    <xf numFmtId="0" fontId="56" fillId="7" borderId="9" xfId="0" applyFont="1" applyFill="1" applyBorder="1" applyAlignment="1">
      <alignment/>
    </xf>
    <xf numFmtId="7" fontId="56" fillId="7" borderId="24" xfId="0" applyNumberFormat="1" applyFont="1" applyFill="1" applyBorder="1" applyAlignment="1">
      <alignment horizontal="center"/>
    </xf>
    <xf numFmtId="0" fontId="57" fillId="11" borderId="24" xfId="0" applyFont="1" applyFill="1" applyBorder="1" applyAlignment="1">
      <alignment horizontal="center" vertical="center" wrapText="1"/>
    </xf>
    <xf numFmtId="0" fontId="58" fillId="11" borderId="5" xfId="0" applyFont="1" applyFill="1" applyBorder="1" applyAlignment="1">
      <alignment/>
    </xf>
    <xf numFmtId="0" fontId="58" fillId="11" borderId="3" xfId="0" applyFont="1" applyFill="1" applyBorder="1" applyAlignment="1">
      <alignment/>
    </xf>
    <xf numFmtId="192" fontId="58" fillId="11" borderId="3" xfId="0" applyNumberFormat="1" applyFont="1" applyFill="1" applyBorder="1" applyAlignment="1" applyProtection="1" quotePrefix="1">
      <alignment horizontal="center"/>
      <protection/>
    </xf>
    <xf numFmtId="0" fontId="58" fillId="11" borderId="9" xfId="0" applyFont="1" applyFill="1" applyBorder="1" applyAlignment="1">
      <alignment/>
    </xf>
    <xf numFmtId="7" fontId="58" fillId="11" borderId="24" xfId="0" applyNumberFormat="1" applyFont="1" applyFill="1" applyBorder="1" applyAlignment="1">
      <alignment horizontal="center"/>
    </xf>
    <xf numFmtId="0" fontId="41" fillId="2" borderId="24" xfId="0" applyFont="1" applyFill="1" applyBorder="1" applyAlignment="1" applyProtection="1">
      <alignment horizontal="center" vertical="center"/>
      <protection/>
    </xf>
    <xf numFmtId="188" fontId="45" fillId="2" borderId="3" xfId="0" applyNumberFormat="1" applyFont="1" applyFill="1" applyBorder="1" applyAlignment="1" applyProtection="1">
      <alignment horizontal="center"/>
      <protection/>
    </xf>
    <xf numFmtId="188" fontId="45" fillId="2" borderId="9" xfId="0" applyNumberFormat="1" applyFont="1" applyFill="1" applyBorder="1" applyAlignment="1" applyProtection="1">
      <alignment horizontal="center"/>
      <protection/>
    </xf>
    <xf numFmtId="192" fontId="7" fillId="0" borderId="9" xfId="0" applyNumberFormat="1" applyFont="1" applyFill="1" applyBorder="1" applyAlignment="1" applyProtection="1">
      <alignment horizontal="center"/>
      <protection/>
    </xf>
    <xf numFmtId="0" fontId="51" fillId="12" borderId="24" xfId="0" applyFont="1" applyFill="1" applyBorder="1" applyAlignment="1">
      <alignment horizontal="center" vertical="center" wrapText="1"/>
    </xf>
    <xf numFmtId="2" fontId="53" fillId="12" borderId="3" xfId="0" applyNumberFormat="1" applyFont="1" applyFill="1" applyBorder="1" applyAlignment="1">
      <alignment horizontal="center"/>
    </xf>
    <xf numFmtId="2" fontId="53" fillId="12" borderId="9" xfId="0" applyNumberFormat="1" applyFont="1" applyFill="1" applyBorder="1" applyAlignment="1">
      <alignment horizontal="center"/>
    </xf>
    <xf numFmtId="188" fontId="45" fillId="2" borderId="5" xfId="0" applyNumberFormat="1" applyFont="1" applyFill="1" applyBorder="1" applyAlignment="1" applyProtection="1">
      <alignment horizontal="center"/>
      <protection/>
    </xf>
    <xf numFmtId="2" fontId="53" fillId="12" borderId="5" xfId="0" applyNumberFormat="1" applyFont="1" applyFill="1" applyBorder="1" applyAlignment="1">
      <alignment horizontal="center"/>
    </xf>
    <xf numFmtId="192" fontId="7" fillId="0" borderId="5" xfId="0" applyNumberFormat="1" applyFont="1" applyFill="1" applyBorder="1" applyAlignment="1" applyProtection="1">
      <alignment horizontal="center"/>
      <protection/>
    </xf>
    <xf numFmtId="0" fontId="59" fillId="13" borderId="17" xfId="0" applyFont="1" applyFill="1" applyBorder="1" applyAlignment="1" applyProtection="1">
      <alignment horizontal="centerContinuous" vertical="center" wrapText="1"/>
      <protection/>
    </xf>
    <xf numFmtId="0" fontId="59" fillId="13" borderId="18" xfId="0" applyFont="1" applyFill="1" applyBorder="1" applyAlignment="1">
      <alignment horizontal="centerContinuous" vertical="center"/>
    </xf>
    <xf numFmtId="192" fontId="60" fillId="13" borderId="34" xfId="0" applyNumberFormat="1" applyFont="1" applyFill="1" applyBorder="1" applyAlignment="1" applyProtection="1" quotePrefix="1">
      <alignment horizontal="center"/>
      <protection/>
    </xf>
    <xf numFmtId="192" fontId="60" fillId="13" borderId="29" xfId="0" applyNumberFormat="1" applyFont="1" applyFill="1" applyBorder="1" applyAlignment="1" applyProtection="1" quotePrefix="1">
      <alignment horizontal="center"/>
      <protection/>
    </xf>
    <xf numFmtId="192" fontId="60" fillId="13" borderId="31" xfId="0" applyNumberFormat="1" applyFont="1" applyFill="1" applyBorder="1" applyAlignment="1" applyProtection="1" quotePrefix="1">
      <alignment horizontal="center"/>
      <protection/>
    </xf>
    <xf numFmtId="192" fontId="60" fillId="13" borderId="39" xfId="0" applyNumberFormat="1" applyFont="1" applyFill="1" applyBorder="1" applyAlignment="1" applyProtection="1" quotePrefix="1">
      <alignment horizontal="center"/>
      <protection/>
    </xf>
    <xf numFmtId="192" fontId="60" fillId="13" borderId="11" xfId="0" applyNumberFormat="1" applyFont="1" applyFill="1" applyBorder="1" applyAlignment="1" applyProtection="1" quotePrefix="1">
      <alignment horizontal="center"/>
      <protection/>
    </xf>
    <xf numFmtId="192" fontId="60" fillId="13" borderId="41" xfId="0" applyNumberFormat="1" applyFont="1" applyFill="1" applyBorder="1" applyAlignment="1" applyProtection="1" quotePrefix="1">
      <alignment horizontal="center"/>
      <protection/>
    </xf>
    <xf numFmtId="192" fontId="53" fillId="7" borderId="5" xfId="0" applyNumberFormat="1" applyFont="1" applyFill="1" applyBorder="1" applyAlignment="1" applyProtection="1" quotePrefix="1">
      <alignment horizontal="center"/>
      <protection/>
    </xf>
    <xf numFmtId="192" fontId="53" fillId="7" borderId="3" xfId="0" applyNumberFormat="1" applyFont="1" applyFill="1" applyBorder="1" applyAlignment="1" applyProtection="1" quotePrefix="1">
      <alignment horizontal="center"/>
      <protection/>
    </xf>
    <xf numFmtId="192" fontId="53" fillId="7" borderId="9" xfId="0" applyNumberFormat="1" applyFont="1" applyFill="1" applyBorder="1" applyAlignment="1" applyProtection="1" quotePrefix="1">
      <alignment horizontal="center"/>
      <protection/>
    </xf>
    <xf numFmtId="2" fontId="53" fillId="12" borderId="24" xfId="0" applyNumberFormat="1" applyFont="1" applyFill="1" applyBorder="1" applyAlignment="1">
      <alignment horizontal="center"/>
    </xf>
    <xf numFmtId="2" fontId="60" fillId="13" borderId="24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Fill="1" applyBorder="1" applyAlignment="1">
      <alignment/>
    </xf>
    <xf numFmtId="203" fontId="0" fillId="0" borderId="17" xfId="0" applyNumberFormat="1" applyFont="1" applyBorder="1" applyAlignment="1">
      <alignment horizontal="centerContinuous"/>
    </xf>
    <xf numFmtId="0" fontId="46" fillId="0" borderId="14" xfId="0" applyFont="1" applyBorder="1" applyAlignment="1">
      <alignment/>
    </xf>
    <xf numFmtId="0" fontId="61" fillId="0" borderId="0" xfId="0" applyFont="1" applyAlignment="1">
      <alignment horizontal="right" vertical="top"/>
    </xf>
    <xf numFmtId="0" fontId="61" fillId="0" borderId="0" xfId="0" applyFont="1" applyBorder="1" applyAlignment="1">
      <alignment horizontal="right" vertical="top"/>
    </xf>
    <xf numFmtId="0" fontId="6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203" fontId="7" fillId="0" borderId="0" xfId="0" applyNumberFormat="1" applyFont="1" applyFill="1" applyBorder="1" applyAlignment="1">
      <alignment horizontal="center" vertical="center"/>
    </xf>
    <xf numFmtId="199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3" fontId="7" fillId="0" borderId="0" xfId="0" applyNumberFormat="1" applyFont="1" applyBorder="1" applyAlignment="1">
      <alignment horizontal="center" vertical="center"/>
    </xf>
    <xf numFmtId="7" fontId="13" fillId="0" borderId="43" xfId="0" applyNumberFormat="1" applyFont="1" applyBorder="1" applyAlignment="1">
      <alignment horizontal="right"/>
    </xf>
    <xf numFmtId="7" fontId="13" fillId="0" borderId="43" xfId="0" applyNumberFormat="1" applyFont="1" applyFill="1" applyBorder="1" applyAlignment="1">
      <alignment horizontal="right"/>
    </xf>
    <xf numFmtId="0" fontId="62" fillId="0" borderId="0" xfId="0" applyFont="1" applyAlignment="1">
      <alignment horizontal="right" vertical="top"/>
    </xf>
    <xf numFmtId="0" fontId="63" fillId="0" borderId="0" xfId="0" applyFont="1" applyAlignment="1">
      <alignment/>
    </xf>
    <xf numFmtId="0" fontId="64" fillId="0" borderId="0" xfId="0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65" fillId="0" borderId="0" xfId="0" applyFont="1" applyBorder="1" applyAlignment="1">
      <alignment horizontal="centerContinuous"/>
    </xf>
    <xf numFmtId="0" fontId="66" fillId="0" borderId="0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7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8" fillId="0" borderId="14" xfId="0" applyFont="1" applyBorder="1" applyAlignment="1">
      <alignment/>
    </xf>
    <xf numFmtId="0" fontId="0" fillId="0" borderId="15" xfId="0" applyBorder="1" applyAlignment="1">
      <alignment/>
    </xf>
    <xf numFmtId="0" fontId="6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0" fillId="0" borderId="45" xfId="0" applyFont="1" applyBorder="1" applyAlignment="1" applyProtection="1">
      <alignment horizontal="centerContinuous" vertical="center"/>
      <protection/>
    </xf>
    <xf numFmtId="0" fontId="30" fillId="0" borderId="45" xfId="0" applyFont="1" applyBorder="1" applyAlignment="1" applyProtection="1">
      <alignment horizontal="centerContinuous" vertical="center" wrapText="1"/>
      <protection/>
    </xf>
    <xf numFmtId="192" fontId="30" fillId="0" borderId="24" xfId="0" applyNumberFormat="1" applyFont="1" applyBorder="1" applyAlignment="1" applyProtection="1">
      <alignment horizontal="centerContinuous" vertical="center" wrapText="1"/>
      <protection/>
    </xf>
    <xf numFmtId="17" fontId="30" fillId="0" borderId="18" xfId="0" applyNumberFormat="1" applyFont="1" applyBorder="1" applyAlignment="1">
      <alignment horizontal="center" vertical="center"/>
    </xf>
    <xf numFmtId="17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47" xfId="0" applyFont="1" applyFill="1" applyBorder="1" applyAlignment="1">
      <alignment vertical="center"/>
    </xf>
    <xf numFmtId="0" fontId="69" fillId="0" borderId="48" xfId="0" applyFont="1" applyFill="1" applyBorder="1" applyAlignment="1">
      <alignment vertical="center"/>
    </xf>
    <xf numFmtId="0" fontId="69" fillId="0" borderId="2" xfId="0" applyFont="1" applyBorder="1" applyAlignment="1">
      <alignment vertical="center"/>
    </xf>
    <xf numFmtId="0" fontId="69" fillId="1" borderId="6" xfId="0" applyFont="1" applyFill="1" applyBorder="1" applyAlignment="1">
      <alignment horizontal="center" vertical="center"/>
    </xf>
    <xf numFmtId="0" fontId="69" fillId="1" borderId="12" xfId="0" applyFont="1" applyFill="1" applyBorder="1" applyAlignment="1" applyProtection="1">
      <alignment horizontal="center" vertical="center"/>
      <protection/>
    </xf>
    <xf numFmtId="2" fontId="69" fillId="1" borderId="1" xfId="0" applyNumberFormat="1" applyFont="1" applyFill="1" applyBorder="1" applyAlignment="1" applyProtection="1">
      <alignment horizontal="center" vertical="center"/>
      <protection/>
    </xf>
    <xf numFmtId="1" fontId="69" fillId="1" borderId="8" xfId="0" applyNumberFormat="1" applyFont="1" applyFill="1" applyBorder="1" applyAlignment="1">
      <alignment horizontal="center" vertical="center"/>
    </xf>
    <xf numFmtId="1" fontId="69" fillId="0" borderId="28" xfId="0" applyNumberFormat="1" applyFont="1" applyFill="1" applyBorder="1" applyAlignment="1">
      <alignment horizontal="center" vertical="center"/>
    </xf>
    <xf numFmtId="1" fontId="69" fillId="0" borderId="2" xfId="0" applyNumberFormat="1" applyFont="1" applyBorder="1" applyAlignment="1">
      <alignment horizontal="center" vertical="center"/>
    </xf>
    <xf numFmtId="0" fontId="69" fillId="14" borderId="6" xfId="0" applyFont="1" applyFill="1" applyBorder="1" applyAlignment="1">
      <alignment horizontal="center" vertical="center"/>
    </xf>
    <xf numFmtId="0" fontId="69" fillId="0" borderId="12" xfId="0" applyFont="1" applyBorder="1" applyAlignment="1" applyProtection="1">
      <alignment horizontal="center" vertical="center"/>
      <protection/>
    </xf>
    <xf numFmtId="2" fontId="69" fillId="0" borderId="1" xfId="0" applyNumberFormat="1" applyFont="1" applyBorder="1" applyAlignment="1" applyProtection="1">
      <alignment horizontal="center" vertical="center"/>
      <protection/>
    </xf>
    <xf numFmtId="1" fontId="69" fillId="0" borderId="4" xfId="0" applyNumberFormat="1" applyFont="1" applyFill="1" applyBorder="1" applyAlignment="1">
      <alignment horizontal="center" vertical="center"/>
    </xf>
    <xf numFmtId="1" fontId="69" fillId="1" borderId="4" xfId="0" applyNumberFormat="1" applyFont="1" applyFill="1" applyBorder="1" applyAlignment="1">
      <alignment horizontal="center" vertical="center"/>
    </xf>
    <xf numFmtId="0" fontId="69" fillId="14" borderId="12" xfId="0" applyFont="1" applyFill="1" applyBorder="1" applyAlignment="1" applyProtection="1">
      <alignment horizontal="center" vertical="center"/>
      <protection/>
    </xf>
    <xf numFmtId="2" fontId="69" fillId="14" borderId="1" xfId="0" applyNumberFormat="1" applyFont="1" applyFill="1" applyBorder="1" applyAlignment="1" applyProtection="1">
      <alignment horizontal="center" vertical="center"/>
      <protection/>
    </xf>
    <xf numFmtId="0" fontId="69" fillId="0" borderId="13" xfId="0" applyFont="1" applyBorder="1" applyAlignment="1">
      <alignment horizontal="center" vertical="center"/>
    </xf>
    <xf numFmtId="0" fontId="69" fillId="0" borderId="49" xfId="0" applyFont="1" applyBorder="1" applyAlignment="1" applyProtection="1">
      <alignment horizontal="left" vertical="center"/>
      <protection/>
    </xf>
    <xf numFmtId="0" fontId="69" fillId="0" borderId="49" xfId="0" applyFont="1" applyBorder="1" applyAlignment="1" applyProtection="1">
      <alignment horizontal="center" vertical="center"/>
      <protection/>
    </xf>
    <xf numFmtId="2" fontId="69" fillId="0" borderId="50" xfId="0" applyNumberFormat="1" applyFont="1" applyBorder="1" applyAlignment="1" applyProtection="1">
      <alignment horizontal="center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right"/>
      <protection/>
    </xf>
    <xf numFmtId="195" fontId="5" fillId="0" borderId="50" xfId="0" applyNumberFormat="1" applyFont="1" applyBorder="1" applyAlignment="1" applyProtection="1">
      <alignment horizontal="center"/>
      <protection/>
    </xf>
    <xf numFmtId="1" fontId="0" fillId="0" borderId="17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9" xfId="0" applyNumberFormat="1" applyFont="1" applyBorder="1" applyAlignment="1" applyProtection="1">
      <alignment horizontal="center"/>
      <protection/>
    </xf>
    <xf numFmtId="1" fontId="7" fillId="0" borderId="9" xfId="0" applyNumberFormat="1" applyFont="1" applyFill="1" applyBorder="1" applyAlignment="1" applyProtection="1">
      <alignment horizontal="center"/>
      <protection/>
    </xf>
    <xf numFmtId="1" fontId="68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2" fontId="13" fillId="0" borderId="24" xfId="0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70" fillId="15" borderId="5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92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71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72" fillId="0" borderId="16" xfId="0" applyFont="1" applyBorder="1" applyAlignment="1">
      <alignment/>
    </xf>
    <xf numFmtId="1" fontId="69" fillId="0" borderId="5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73" fillId="0" borderId="25" xfId="0" applyFont="1" applyBorder="1" applyAlignment="1">
      <alignment horizontal="right"/>
    </xf>
    <xf numFmtId="2" fontId="73" fillId="0" borderId="25" xfId="0" applyNumberFormat="1" applyFont="1" applyBorder="1" applyAlignment="1">
      <alignment horizontal="center"/>
    </xf>
    <xf numFmtId="0" fontId="62" fillId="0" borderId="25" xfId="0" applyFont="1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0" fontId="72" fillId="0" borderId="19" xfId="0" applyFont="1" applyBorder="1" applyAlignment="1">
      <alignment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2" fillId="0" borderId="0" xfId="0" applyFont="1" applyBorder="1" applyAlignment="1" applyProtection="1">
      <alignment horizontal="left"/>
      <protection/>
    </xf>
    <xf numFmtId="192" fontId="68" fillId="0" borderId="0" xfId="0" applyNumberFormat="1" applyFont="1" applyBorder="1" applyAlignment="1" applyProtection="1">
      <alignment horizontal="left"/>
      <protection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1" fontId="68" fillId="0" borderId="0" xfId="0" applyNumberFormat="1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fill"/>
      <protection/>
    </xf>
    <xf numFmtId="1" fontId="68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38">
    <cellStyle name="Normal" xfId="0"/>
    <cellStyle name="Comma" xfId="15"/>
    <cellStyle name="Comma [0]" xfId="16"/>
    <cellStyle name="Millares [0]_CCTNEA" xfId="17"/>
    <cellStyle name="Millares [0]_Hoja1" xfId="18"/>
    <cellStyle name="Millares [0]_Hoja1_MODELO L (2)" xfId="19"/>
    <cellStyle name="Millares [0]_Hoja1_MODELO T (2)" xfId="20"/>
    <cellStyle name="Millares [0]_líneas" xfId="21"/>
    <cellStyle name="Millares_CCTNEA" xfId="22"/>
    <cellStyle name="Millares_Hoja1" xfId="23"/>
    <cellStyle name="Millares_Hoja1_MODELO L (2)" xfId="24"/>
    <cellStyle name="Millares_Hoja1_MODELO T (2)" xfId="25"/>
    <cellStyle name="Millares_líneas" xfId="26"/>
    <cellStyle name="Currency" xfId="27"/>
    <cellStyle name="Currency [0]" xfId="28"/>
    <cellStyle name="Moneda [0]_CCTNEA" xfId="29"/>
    <cellStyle name="Moneda [0]_COMAHUE9701" xfId="30"/>
    <cellStyle name="Moneda [0]_Hoja1" xfId="31"/>
    <cellStyle name="Moneda [0]_líneas" xfId="32"/>
    <cellStyle name="Moneda [0]_T0002TPA" xfId="33"/>
    <cellStyle name="Moneda [0]_T9911TPA black" xfId="34"/>
    <cellStyle name="Moneda [0]_T9912NOA" xfId="35"/>
    <cellStyle name="Moneda [0]_TRANSPA9611" xfId="36"/>
    <cellStyle name="Moneda [0]_TRANSPA9701" xfId="37"/>
    <cellStyle name="Moneda [0]_TRANSPA9701 (2)" xfId="38"/>
    <cellStyle name="Moneda_CCTNEA" xfId="39"/>
    <cellStyle name="Moneda_COMAHUE9701" xfId="40"/>
    <cellStyle name="Moneda_Hoja1" xfId="41"/>
    <cellStyle name="Moneda_líneas" xfId="42"/>
    <cellStyle name="Moneda_T0002TPA" xfId="43"/>
    <cellStyle name="Moneda_T9911TPA black" xfId="44"/>
    <cellStyle name="Moneda_T9912NOA" xfId="45"/>
    <cellStyle name="Moneda_TRANSPA9611" xfId="46"/>
    <cellStyle name="Moneda_TRANSPA9701" xfId="47"/>
    <cellStyle name="Moneda_TRANSPA9701 (2)" xfId="48"/>
    <cellStyle name="Normal_Hoja1" xfId="49"/>
    <cellStyle name="Normal_líneas" xfId="50"/>
    <cellStyle name="Percent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38100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38100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142875</xdr:colOff>
      <xdr:row>2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466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5">
          <cell r="BP15">
            <v>36342</v>
          </cell>
          <cell r="BQ15">
            <v>36373</v>
          </cell>
          <cell r="BR15">
            <v>36404</v>
          </cell>
          <cell r="BS15">
            <v>36434</v>
          </cell>
          <cell r="BT15">
            <v>36465</v>
          </cell>
          <cell r="BU15">
            <v>36495</v>
          </cell>
          <cell r="BV15">
            <v>36526</v>
          </cell>
          <cell r="BW15">
            <v>36557</v>
          </cell>
          <cell r="BX15">
            <v>36586</v>
          </cell>
          <cell r="BY15">
            <v>36617</v>
          </cell>
          <cell r="BZ15">
            <v>36647</v>
          </cell>
          <cell r="CA15">
            <v>36678</v>
          </cell>
          <cell r="CB15">
            <v>36708</v>
          </cell>
        </row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BQ17">
            <v>1</v>
          </cell>
          <cell r="BT17">
            <v>1</v>
          </cell>
          <cell r="CA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BR19">
            <v>1</v>
          </cell>
          <cell r="BV19" t="str">
            <v>XXXX</v>
          </cell>
          <cell r="BW19" t="str">
            <v>XXXX</v>
          </cell>
          <cell r="BX19" t="str">
            <v>XXXX</v>
          </cell>
          <cell r="BY19" t="str">
            <v>XXXX</v>
          </cell>
          <cell r="BZ19" t="str">
            <v>XXXX</v>
          </cell>
          <cell r="CA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BP22" t="str">
            <v>XXXX</v>
          </cell>
          <cell r="BQ22" t="str">
            <v>XXXX</v>
          </cell>
          <cell r="BR22" t="str">
            <v>XXXX</v>
          </cell>
          <cell r="BS22" t="str">
            <v>XXXX</v>
          </cell>
          <cell r="BT22" t="str">
            <v>XXXX</v>
          </cell>
          <cell r="BU22" t="str">
            <v>XXXX</v>
          </cell>
          <cell r="BV22" t="str">
            <v>XXXX</v>
          </cell>
          <cell r="BW22" t="str">
            <v>XXXX</v>
          </cell>
          <cell r="BX22" t="str">
            <v>XXXX</v>
          </cell>
          <cell r="BY22" t="str">
            <v>XXXX</v>
          </cell>
          <cell r="BZ22" t="str">
            <v>XXXX</v>
          </cell>
          <cell r="CA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  <cell r="BW23">
            <v>1</v>
          </cell>
          <cell r="BZ23">
            <v>1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  <cell r="BU24">
            <v>1</v>
          </cell>
          <cell r="BV24">
            <v>1</v>
          </cell>
          <cell r="BX24">
            <v>1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BP26" t="str">
            <v>XXXX</v>
          </cell>
          <cell r="BQ26" t="str">
            <v>XXXX</v>
          </cell>
          <cell r="BR26" t="str">
            <v>XXXX</v>
          </cell>
          <cell r="BS26" t="str">
            <v>XXXX</v>
          </cell>
          <cell r="BT26" t="str">
            <v>XXXX</v>
          </cell>
          <cell r="BU26" t="str">
            <v>XXXX</v>
          </cell>
          <cell r="BV26" t="str">
            <v>XXXX</v>
          </cell>
          <cell r="BW26" t="str">
            <v>XXXX</v>
          </cell>
          <cell r="BX26" t="str">
            <v>XXXX</v>
          </cell>
          <cell r="BY26" t="str">
            <v>XXXX</v>
          </cell>
          <cell r="BZ26" t="str">
            <v>XXXX</v>
          </cell>
          <cell r="CA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BQ27" t="str">
            <v>I</v>
          </cell>
          <cell r="BV27">
            <v>2</v>
          </cell>
          <cell r="BW27">
            <v>1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BQ28">
            <v>1</v>
          </cell>
          <cell r="BR28">
            <v>2</v>
          </cell>
          <cell r="BV28">
            <v>1</v>
          </cell>
          <cell r="BW28">
            <v>3</v>
          </cell>
          <cell r="CA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  <cell r="BT29">
            <v>1</v>
          </cell>
          <cell r="BU29">
            <v>1</v>
          </cell>
          <cell r="BX29">
            <v>1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BV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BQ31">
            <v>1</v>
          </cell>
          <cell r="BR31">
            <v>1</v>
          </cell>
          <cell r="BT31">
            <v>1</v>
          </cell>
          <cell r="BW31">
            <v>1</v>
          </cell>
          <cell r="BY31">
            <v>2</v>
          </cell>
        </row>
        <row r="32">
          <cell r="C32">
            <v>16</v>
          </cell>
          <cell r="D32" t="str">
            <v>INDEPENDENCIA - EL BRACHO</v>
          </cell>
          <cell r="E32">
            <v>132</v>
          </cell>
          <cell r="F32">
            <v>17.1</v>
          </cell>
          <cell r="BQ32">
            <v>1</v>
          </cell>
          <cell r="BU32">
            <v>1</v>
          </cell>
          <cell r="BW32">
            <v>1</v>
          </cell>
        </row>
        <row r="33">
          <cell r="C33">
            <v>17</v>
          </cell>
          <cell r="D33" t="str">
            <v>INDEPENDENCIA - PAPEL DEL TUCUMAN</v>
          </cell>
          <cell r="E33">
            <v>132</v>
          </cell>
          <cell r="F33">
            <v>19.3</v>
          </cell>
          <cell r="BU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BR34">
            <v>1</v>
          </cell>
          <cell r="BZ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BX35">
            <v>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BQ37">
            <v>1</v>
          </cell>
          <cell r="BR37">
            <v>1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BP39" t="str">
            <v>XXXX</v>
          </cell>
          <cell r="BQ39" t="str">
            <v>XXXX</v>
          </cell>
          <cell r="BR39" t="str">
            <v>XXXX</v>
          </cell>
          <cell r="BS39" t="str">
            <v>XXXX</v>
          </cell>
          <cell r="BT39" t="str">
            <v>XXXX</v>
          </cell>
          <cell r="BU39" t="str">
            <v>XXXX</v>
          </cell>
          <cell r="BV39" t="str">
            <v>XXXX</v>
          </cell>
          <cell r="BW39" t="str">
            <v>XXXX</v>
          </cell>
          <cell r="BX39" t="str">
            <v>XXXX</v>
          </cell>
          <cell r="BY39" t="str">
            <v>XXXX</v>
          </cell>
          <cell r="BZ39" t="str">
            <v>XXXX</v>
          </cell>
          <cell r="CA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BX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BX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BQ43">
            <v>1</v>
          </cell>
          <cell r="BU43">
            <v>1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BP44">
            <v>1</v>
          </cell>
          <cell r="BQ44">
            <v>1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BR45">
            <v>1</v>
          </cell>
          <cell r="BW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BR46">
            <v>1</v>
          </cell>
          <cell r="BW46">
            <v>1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CA48">
            <v>1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BR50">
            <v>1</v>
          </cell>
          <cell r="BV50">
            <v>1</v>
          </cell>
          <cell r="BW50">
            <v>1</v>
          </cell>
          <cell r="BX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BT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BZ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BQ53">
            <v>1</v>
          </cell>
          <cell r="BT53">
            <v>1</v>
          </cell>
          <cell r="BU53">
            <v>3</v>
          </cell>
          <cell r="BV53">
            <v>1</v>
          </cell>
          <cell r="BW53" t="str">
            <v>XXXX</v>
          </cell>
          <cell r="BX53" t="str">
            <v>XXXX</v>
          </cell>
          <cell r="BY53" t="str">
            <v>XXXX</v>
          </cell>
          <cell r="BZ53" t="str">
            <v>XXXX</v>
          </cell>
          <cell r="CA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BP54">
            <v>1</v>
          </cell>
          <cell r="BQ54">
            <v>1</v>
          </cell>
          <cell r="BR54">
            <v>1</v>
          </cell>
          <cell r="BW54">
            <v>1</v>
          </cell>
          <cell r="BY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BW57" t="str">
            <v>I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BW58" t="str">
            <v>I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BQ59">
            <v>1</v>
          </cell>
          <cell r="BX59">
            <v>1</v>
          </cell>
          <cell r="CA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BQ60">
            <v>1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BP62">
            <v>1</v>
          </cell>
          <cell r="BT62">
            <v>1</v>
          </cell>
          <cell r="BX62">
            <v>2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BQ65">
            <v>1</v>
          </cell>
          <cell r="BV65">
            <v>1</v>
          </cell>
          <cell r="BW65">
            <v>2</v>
          </cell>
          <cell r="BY65" t="str">
            <v>XXXX</v>
          </cell>
          <cell r="BZ65" t="str">
            <v>XXXX</v>
          </cell>
          <cell r="CA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  <cell r="BQ68">
            <v>1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BV71">
            <v>2</v>
          </cell>
          <cell r="BX71">
            <v>1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BP75" t="str">
            <v>XXXX</v>
          </cell>
          <cell r="BQ75" t="str">
            <v>XXXX</v>
          </cell>
          <cell r="BR75" t="str">
            <v>XXXX</v>
          </cell>
          <cell r="BS75" t="str">
            <v>XXXX</v>
          </cell>
          <cell r="BT75" t="str">
            <v>XXXX</v>
          </cell>
          <cell r="BU75" t="str">
            <v>XXXX</v>
          </cell>
          <cell r="BX75">
            <v>3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BP76" t="str">
            <v>XXXX</v>
          </cell>
          <cell r="BQ76" t="str">
            <v>XXXX</v>
          </cell>
          <cell r="BR76" t="str">
            <v>XXXX</v>
          </cell>
          <cell r="BS76" t="str">
            <v>XXXX</v>
          </cell>
          <cell r="BT76" t="str">
            <v>XXXX</v>
          </cell>
          <cell r="BU76" t="str">
            <v>XXXX</v>
          </cell>
          <cell r="BW76">
            <v>3</v>
          </cell>
          <cell r="BX76">
            <v>1</v>
          </cell>
          <cell r="BZ76">
            <v>1</v>
          </cell>
        </row>
        <row r="77">
          <cell r="C77">
            <v>59</v>
          </cell>
          <cell r="D77" t="str">
            <v>VILLA QUINTEROS - ANDALGALA</v>
          </cell>
          <cell r="E77">
            <v>132</v>
          </cell>
          <cell r="F77">
            <v>102</v>
          </cell>
          <cell r="BP77" t="str">
            <v>XXXX</v>
          </cell>
          <cell r="BQ77" t="str">
            <v>XXXX</v>
          </cell>
          <cell r="BR77" t="str">
            <v>XXXX</v>
          </cell>
          <cell r="BS77" t="str">
            <v>XXXX</v>
          </cell>
          <cell r="BT77" t="str">
            <v>XXXX</v>
          </cell>
          <cell r="BV77">
            <v>1</v>
          </cell>
          <cell r="BW77">
            <v>1</v>
          </cell>
          <cell r="BX77">
            <v>1</v>
          </cell>
          <cell r="BZ77">
            <v>2</v>
          </cell>
          <cell r="CA77">
            <v>3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BP78" t="str">
            <v>XXXX</v>
          </cell>
          <cell r="BQ78" t="str">
            <v>XXXX</v>
          </cell>
          <cell r="BR78" t="str">
            <v>XXXX</v>
          </cell>
          <cell r="BS78" t="str">
            <v>XXXX</v>
          </cell>
          <cell r="BT78" t="str">
            <v>XXXX</v>
          </cell>
          <cell r="BW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BP79" t="str">
            <v>XXXX</v>
          </cell>
          <cell r="BQ79" t="str">
            <v>XXXX</v>
          </cell>
          <cell r="BR79" t="str">
            <v>XXXX</v>
          </cell>
          <cell r="BS79" t="str">
            <v>XXXX</v>
          </cell>
          <cell r="BT79" t="str">
            <v>XXXX</v>
          </cell>
          <cell r="BU79" t="str">
            <v>XXXX</v>
          </cell>
          <cell r="BZ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BP80" t="str">
            <v>XXXX</v>
          </cell>
          <cell r="BQ80" t="str">
            <v>XXXX</v>
          </cell>
          <cell r="BR80" t="str">
            <v>XXXX</v>
          </cell>
          <cell r="BS80" t="str">
            <v>XXXX</v>
          </cell>
          <cell r="BT80" t="str">
            <v>XXXX</v>
          </cell>
          <cell r="BU80" t="str">
            <v>XXXX</v>
          </cell>
        </row>
        <row r="81">
          <cell r="BP81" t="str">
            <v>XXXX</v>
          </cell>
          <cell r="BQ81" t="str">
            <v>XXXX</v>
          </cell>
          <cell r="BR81" t="str">
            <v>XXXX</v>
          </cell>
          <cell r="BS81" t="str">
            <v>XXXX</v>
          </cell>
          <cell r="BT81" t="str">
            <v>XXXX</v>
          </cell>
          <cell r="BU81" t="str">
            <v>XXXX</v>
          </cell>
        </row>
        <row r="100">
          <cell r="BP100">
            <v>2.86</v>
          </cell>
          <cell r="BQ100">
            <v>2.71</v>
          </cell>
          <cell r="BR100">
            <v>3.18</v>
          </cell>
          <cell r="BS100">
            <v>3.15</v>
          </cell>
          <cell r="BT100">
            <v>2.93</v>
          </cell>
          <cell r="BU100">
            <v>2.78</v>
          </cell>
          <cell r="BV100">
            <v>2.78</v>
          </cell>
          <cell r="BW100">
            <v>2.69</v>
          </cell>
          <cell r="BX100">
            <v>2.92</v>
          </cell>
          <cell r="BY100">
            <v>3.15</v>
          </cell>
          <cell r="BZ100">
            <v>3.08</v>
          </cell>
          <cell r="CA100">
            <v>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39"/>
  <sheetViews>
    <sheetView tabSelected="1" zoomScale="75" zoomScaleNormal="75" workbookViewId="0" topLeftCell="B1">
      <selection activeCell="B2" sqref="B2"/>
    </sheetView>
  </sheetViews>
  <sheetFormatPr defaultColWidth="11.421875" defaultRowHeight="12.75"/>
  <cols>
    <col min="1" max="1" width="25.7109375" style="9" customWidth="1"/>
    <col min="2" max="2" width="7.7109375" style="9" customWidth="1"/>
    <col min="3" max="3" width="10.421875" style="9" customWidth="1"/>
    <col min="4" max="5" width="9.00390625" style="9" customWidth="1"/>
    <col min="6" max="6" width="3.7109375" style="9" customWidth="1"/>
    <col min="7" max="8" width="20.7109375" style="9" customWidth="1"/>
    <col min="9" max="9" width="6.28125" style="9" customWidth="1"/>
    <col min="10" max="10" width="15.7109375" style="9" customWidth="1"/>
    <col min="11" max="11" width="14.8515625" style="9" customWidth="1"/>
    <col min="12" max="12" width="15.7109375" style="9" customWidth="1"/>
    <col min="13" max="14" width="11.421875" style="9" customWidth="1"/>
    <col min="15" max="15" width="14.140625" style="9" customWidth="1"/>
    <col min="16" max="16" width="11.421875" style="9" customWidth="1"/>
    <col min="17" max="17" width="14.7109375" style="9" customWidth="1"/>
    <col min="18" max="18" width="11.421875" style="9" customWidth="1"/>
    <col min="19" max="19" width="12.00390625" style="9" customWidth="1"/>
    <col min="20" max="16384" width="11.421875" style="9" customWidth="1"/>
  </cols>
  <sheetData>
    <row r="1" spans="2:12" s="72" customFormat="1" ht="26.25">
      <c r="B1" s="73"/>
      <c r="L1" s="390"/>
    </row>
    <row r="2" spans="2:11" s="72" customFormat="1" ht="26.25">
      <c r="B2" s="73" t="s">
        <v>164</v>
      </c>
      <c r="C2" s="74"/>
      <c r="D2" s="75"/>
      <c r="E2" s="75"/>
      <c r="F2" s="75"/>
      <c r="G2" s="75"/>
      <c r="H2" s="75"/>
      <c r="I2" s="75"/>
      <c r="J2" s="75"/>
      <c r="K2" s="75"/>
    </row>
    <row r="3" spans="3:20" ht="12.75">
      <c r="C3"/>
      <c r="D3" s="76"/>
      <c r="E3" s="76"/>
      <c r="F3" s="76"/>
      <c r="G3" s="76"/>
      <c r="H3" s="76"/>
      <c r="I3" s="76"/>
      <c r="J3" s="76"/>
      <c r="K3" s="76"/>
      <c r="Q3" s="7"/>
      <c r="R3" s="7"/>
      <c r="S3" s="7"/>
      <c r="T3" s="7"/>
    </row>
    <row r="4" spans="1:20" s="79" customFormat="1" ht="11.25">
      <c r="A4" s="77" t="s">
        <v>65</v>
      </c>
      <c r="B4" s="78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79" customFormat="1" ht="11.25">
      <c r="A5" s="77" t="s">
        <v>66</v>
      </c>
      <c r="B5" s="78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s="72" customFormat="1" ht="6" customHeight="1">
      <c r="B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0" s="90" customFormat="1" ht="19.5">
      <c r="B7" s="147" t="s">
        <v>0</v>
      </c>
      <c r="C7" s="232"/>
      <c r="D7" s="233"/>
      <c r="E7" s="233"/>
      <c r="F7" s="233"/>
      <c r="G7" s="95"/>
      <c r="H7" s="95"/>
      <c r="I7" s="95"/>
      <c r="J7" s="95"/>
      <c r="K7" s="95"/>
      <c r="L7" s="97"/>
      <c r="M7" s="97"/>
      <c r="N7" s="97"/>
      <c r="O7" s="97"/>
      <c r="P7" s="97"/>
      <c r="Q7" s="97"/>
      <c r="R7" s="97"/>
      <c r="S7" s="97"/>
      <c r="T7" s="97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90" customFormat="1" ht="19.5">
      <c r="B9" s="147" t="s">
        <v>1</v>
      </c>
      <c r="C9" s="232"/>
      <c r="D9" s="233"/>
      <c r="E9" s="233"/>
      <c r="F9" s="233"/>
      <c r="G9" s="95"/>
      <c r="H9" s="95"/>
      <c r="I9" s="95"/>
      <c r="J9" s="95"/>
      <c r="K9" s="95"/>
      <c r="L9" s="97"/>
      <c r="M9" s="97"/>
      <c r="N9" s="97"/>
      <c r="O9" s="97"/>
      <c r="P9" s="97"/>
      <c r="Q9" s="97"/>
      <c r="R9" s="97"/>
      <c r="S9" s="97"/>
      <c r="T9" s="97"/>
    </row>
    <row r="10" spans="4:20" ht="12.75">
      <c r="D10" s="85"/>
      <c r="E10" s="85"/>
      <c r="F10" s="8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90" customFormat="1" ht="19.5">
      <c r="B11" s="147" t="s">
        <v>162</v>
      </c>
      <c r="C11" s="232"/>
      <c r="D11" s="233"/>
      <c r="E11" s="233"/>
      <c r="F11" s="233"/>
      <c r="G11" s="95"/>
      <c r="H11" s="95"/>
      <c r="I11" s="95"/>
      <c r="J11" s="95"/>
      <c r="K11" s="95"/>
      <c r="L11" s="97"/>
      <c r="M11" s="97"/>
      <c r="N11" s="97"/>
      <c r="O11" s="97"/>
      <c r="P11" s="97"/>
      <c r="Q11" s="97"/>
      <c r="R11" s="97"/>
      <c r="S11" s="97"/>
      <c r="T11" s="97"/>
    </row>
    <row r="12" spans="4:20" s="86" customFormat="1" ht="16.5" thickBot="1">
      <c r="D12" s="6"/>
      <c r="E12" s="6"/>
      <c r="F12" s="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 s="86" customFormat="1" ht="16.5" thickTop="1">
      <c r="B13" s="259">
        <v>1</v>
      </c>
      <c r="C13" s="389" t="b">
        <v>0</v>
      </c>
      <c r="D13" s="88"/>
      <c r="E13" s="88"/>
      <c r="F13" s="88"/>
      <c r="G13" s="88"/>
      <c r="H13" s="88"/>
      <c r="I13" s="88"/>
      <c r="J13" s="88"/>
      <c r="K13" s="89"/>
      <c r="L13" s="87"/>
      <c r="M13" s="87"/>
      <c r="N13" s="87"/>
      <c r="O13" s="87"/>
      <c r="P13" s="87"/>
      <c r="Q13" s="87"/>
      <c r="R13" s="87"/>
      <c r="S13" s="87"/>
      <c r="T13" s="87"/>
    </row>
    <row r="14" spans="2:20" s="90" customFormat="1" ht="18.75">
      <c r="B14" s="91" t="s">
        <v>139</v>
      </c>
      <c r="C14" s="92"/>
      <c r="D14" s="93"/>
      <c r="E14" s="94"/>
      <c r="F14" s="94"/>
      <c r="G14" s="94"/>
      <c r="H14" s="94"/>
      <c r="I14" s="94"/>
      <c r="J14" s="95"/>
      <c r="K14" s="96"/>
      <c r="L14" s="97"/>
      <c r="M14" s="97"/>
      <c r="N14" s="97"/>
      <c r="O14" s="97"/>
      <c r="P14" s="97"/>
      <c r="Q14" s="97"/>
      <c r="R14" s="97"/>
      <c r="S14" s="97"/>
      <c r="T14" s="97"/>
    </row>
    <row r="15" spans="2:20" s="90" customFormat="1" ht="18.75" hidden="1">
      <c r="B15" s="98"/>
      <c r="C15" s="99"/>
      <c r="D15" s="99"/>
      <c r="E15" s="97"/>
      <c r="F15" s="97"/>
      <c r="G15" s="100"/>
      <c r="H15" s="100"/>
      <c r="I15" s="100"/>
      <c r="J15" s="97"/>
      <c r="K15" s="101"/>
      <c r="L15" s="97"/>
      <c r="M15" s="97"/>
      <c r="N15" s="97"/>
      <c r="O15" s="97"/>
      <c r="P15" s="97"/>
      <c r="Q15" s="97"/>
      <c r="R15" s="97"/>
      <c r="S15" s="97"/>
      <c r="T15" s="97"/>
    </row>
    <row r="16" spans="2:20" s="90" customFormat="1" ht="18.75" hidden="1">
      <c r="B16" s="91" t="s">
        <v>67</v>
      </c>
      <c r="C16" s="230"/>
      <c r="D16" s="230"/>
      <c r="E16" s="95"/>
      <c r="F16" s="95"/>
      <c r="G16" s="94"/>
      <c r="H16" s="94"/>
      <c r="I16" s="94"/>
      <c r="J16" s="95"/>
      <c r="K16" s="96"/>
      <c r="L16"/>
      <c r="M16" s="97"/>
      <c r="N16" s="97"/>
      <c r="O16" s="97"/>
      <c r="P16" s="97"/>
      <c r="Q16" s="97"/>
      <c r="R16" s="97"/>
      <c r="S16" s="97"/>
      <c r="T16" s="97"/>
    </row>
    <row r="17" spans="2:20" s="90" customFormat="1" ht="18.75">
      <c r="B17" s="98"/>
      <c r="C17" s="99"/>
      <c r="D17" s="99"/>
      <c r="E17" s="97"/>
      <c r="F17" s="97"/>
      <c r="G17" s="100"/>
      <c r="H17" s="100"/>
      <c r="I17" s="100"/>
      <c r="J17" s="97"/>
      <c r="K17" s="101"/>
      <c r="L17"/>
      <c r="M17" s="97"/>
      <c r="N17" s="97"/>
      <c r="O17" s="97"/>
      <c r="P17" s="97"/>
      <c r="Q17" s="97"/>
      <c r="R17" s="97"/>
      <c r="S17" s="97"/>
      <c r="T17" s="97"/>
    </row>
    <row r="18" spans="2:20" s="90" customFormat="1" ht="18.75">
      <c r="B18" s="98"/>
      <c r="C18" s="102" t="s">
        <v>68</v>
      </c>
      <c r="D18" s="103" t="s">
        <v>149</v>
      </c>
      <c r="E18" s="97"/>
      <c r="F18" s="97"/>
      <c r="G18" s="100"/>
      <c r="H18" s="100"/>
      <c r="I18" s="100"/>
      <c r="J18" s="104">
        <f>'LI-0007 (2)'!Y42</f>
        <v>16237.92</v>
      </c>
      <c r="K18" s="101"/>
      <c r="L18" s="97"/>
      <c r="M18" s="97"/>
      <c r="N18" s="97"/>
      <c r="O18" s="97"/>
      <c r="P18" s="97"/>
      <c r="Q18" s="97"/>
      <c r="R18" s="97"/>
      <c r="S18" s="97"/>
      <c r="T18" s="97"/>
    </row>
    <row r="19" spans="2:20" ht="7.5" customHeight="1">
      <c r="B19" s="105"/>
      <c r="C19" s="106"/>
      <c r="D19" s="107"/>
      <c r="E19" s="7"/>
      <c r="F19" s="7"/>
      <c r="G19" s="108"/>
      <c r="H19" s="108"/>
      <c r="I19" s="108"/>
      <c r="J19" s="109"/>
      <c r="K19" s="10"/>
      <c r="L19" s="7"/>
      <c r="M19" s="7"/>
      <c r="N19" s="7"/>
      <c r="O19" s="7"/>
      <c r="P19" s="7"/>
      <c r="Q19" s="7"/>
      <c r="R19" s="7"/>
      <c r="S19" s="7"/>
      <c r="T19" s="7"/>
    </row>
    <row r="20" spans="2:20" s="90" customFormat="1" ht="18.75">
      <c r="B20" s="98"/>
      <c r="C20" s="102" t="s">
        <v>69</v>
      </c>
      <c r="D20" s="103" t="s">
        <v>70</v>
      </c>
      <c r="E20" s="97"/>
      <c r="F20" s="97"/>
      <c r="G20" s="100"/>
      <c r="H20" s="100"/>
      <c r="I20" s="100"/>
      <c r="J20" s="104"/>
      <c r="K20" s="101"/>
      <c r="L20" s="97"/>
      <c r="M20" s="97"/>
      <c r="N20" s="97"/>
      <c r="O20" s="97"/>
      <c r="P20" s="97"/>
      <c r="Q20" s="97"/>
      <c r="R20" s="97"/>
      <c r="S20" s="97"/>
      <c r="T20" s="97"/>
    </row>
    <row r="21" spans="2:20" s="90" customFormat="1" ht="18.75">
      <c r="B21" s="98"/>
      <c r="C21" s="102"/>
      <c r="D21" s="102" t="s">
        <v>71</v>
      </c>
      <c r="E21" s="111" t="s">
        <v>150</v>
      </c>
      <c r="F21" s="111"/>
      <c r="G21" s="100"/>
      <c r="H21" s="100"/>
      <c r="I21" s="100"/>
      <c r="J21" s="104">
        <f>'TR-0007 (2)'!AA44</f>
        <v>6495.21</v>
      </c>
      <c r="K21" s="101"/>
      <c r="L21" s="97"/>
      <c r="M21" s="97"/>
      <c r="N21" s="97"/>
      <c r="O21" s="97"/>
      <c r="P21" s="97"/>
      <c r="Q21" s="97"/>
      <c r="R21" s="97"/>
      <c r="S21" s="97"/>
      <c r="T21" s="97"/>
    </row>
    <row r="22" spans="2:20" ht="8.25" customHeight="1">
      <c r="B22" s="105"/>
      <c r="C22" s="106"/>
      <c r="D22" s="106"/>
      <c r="E22" s="7"/>
      <c r="F22" s="7"/>
      <c r="G22" s="108"/>
      <c r="H22" s="108"/>
      <c r="I22" s="108"/>
      <c r="J22" s="110"/>
      <c r="K22" s="10"/>
      <c r="L22" s="7"/>
      <c r="M22" s="7"/>
      <c r="N22" s="7"/>
      <c r="O22" s="7"/>
      <c r="P22" s="7"/>
      <c r="Q22" s="7"/>
      <c r="R22" s="7"/>
      <c r="S22" s="7"/>
      <c r="T22" s="7"/>
    </row>
    <row r="23" spans="2:20" s="90" customFormat="1" ht="18.75">
      <c r="B23" s="98"/>
      <c r="C23" s="102"/>
      <c r="D23" s="102" t="s">
        <v>72</v>
      </c>
      <c r="E23" s="111" t="s">
        <v>151</v>
      </c>
      <c r="F23" s="111"/>
      <c r="G23" s="100"/>
      <c r="H23" s="100"/>
      <c r="I23" s="100"/>
      <c r="J23" s="104">
        <f>'SA-0007 (2)'!T45</f>
        <v>336.45</v>
      </c>
      <c r="K23" s="101"/>
      <c r="L23" s="97"/>
      <c r="M23" s="97"/>
      <c r="N23" s="97"/>
      <c r="O23" s="97"/>
      <c r="P23" s="97"/>
      <c r="Q23" s="97"/>
      <c r="R23" s="97"/>
      <c r="S23" s="97"/>
      <c r="T23" s="97"/>
    </row>
    <row r="24" spans="2:20" s="90" customFormat="1" ht="6.75" customHeight="1">
      <c r="B24" s="98"/>
      <c r="C24" s="99"/>
      <c r="D24" s="99"/>
      <c r="E24" s="111"/>
      <c r="F24" s="111"/>
      <c r="G24" s="100"/>
      <c r="H24" s="100"/>
      <c r="I24" s="100"/>
      <c r="J24" s="104"/>
      <c r="K24" s="101"/>
      <c r="L24" s="97"/>
      <c r="M24" s="97"/>
      <c r="N24" s="97"/>
      <c r="O24" s="97"/>
      <c r="P24" s="97"/>
      <c r="Q24" s="97"/>
      <c r="R24" s="97"/>
      <c r="S24" s="97"/>
      <c r="T24" s="97"/>
    </row>
    <row r="25" spans="2:20" s="90" customFormat="1" ht="18.75">
      <c r="B25" s="98"/>
      <c r="C25" s="102"/>
      <c r="D25" s="102"/>
      <c r="E25" s="111"/>
      <c r="F25" s="111"/>
      <c r="G25" s="100"/>
      <c r="H25" s="100"/>
      <c r="I25" s="100"/>
      <c r="J25" s="104"/>
      <c r="K25" s="101"/>
      <c r="L25" s="97"/>
      <c r="M25" s="97"/>
      <c r="N25" s="97"/>
      <c r="O25" s="97"/>
      <c r="P25" s="97"/>
      <c r="Q25" s="97"/>
      <c r="R25" s="97"/>
      <c r="S25" s="97"/>
      <c r="T25" s="97"/>
    </row>
    <row r="26" spans="2:20" s="90" customFormat="1" ht="19.5" thickBot="1">
      <c r="B26" s="98"/>
      <c r="C26" s="99"/>
      <c r="D26" s="99"/>
      <c r="E26" s="97"/>
      <c r="F26" s="97"/>
      <c r="G26" s="100"/>
      <c r="H26" s="100"/>
      <c r="I26" s="100"/>
      <c r="J26" s="97"/>
      <c r="K26" s="101"/>
      <c r="L26" s="97"/>
      <c r="M26" s="97"/>
      <c r="N26" s="97"/>
      <c r="O26" s="97"/>
      <c r="P26" s="97"/>
      <c r="Q26" s="97"/>
      <c r="R26" s="97"/>
      <c r="S26" s="97"/>
      <c r="T26" s="97"/>
    </row>
    <row r="27" spans="2:20" s="90" customFormat="1" ht="20.25" thickBot="1" thickTop="1">
      <c r="B27" s="98"/>
      <c r="C27" s="102"/>
      <c r="D27" s="102"/>
      <c r="G27" s="112" t="s">
        <v>73</v>
      </c>
      <c r="H27" s="113">
        <f>SUM(J18:J25)</f>
        <v>23069.58</v>
      </c>
      <c r="I27" s="231"/>
      <c r="K27" s="101"/>
      <c r="L27" s="97"/>
      <c r="M27" s="97"/>
      <c r="N27" s="97"/>
      <c r="O27" s="97"/>
      <c r="P27" s="97"/>
      <c r="Q27" s="97"/>
      <c r="R27" s="97"/>
      <c r="S27" s="97"/>
      <c r="T27" s="97"/>
    </row>
    <row r="28" spans="2:20" s="86" customFormat="1" ht="17.25" thickBot="1" thickTop="1">
      <c r="B28" s="114"/>
      <c r="C28" s="115"/>
      <c r="D28" s="115"/>
      <c r="E28" s="116"/>
      <c r="F28" s="116"/>
      <c r="G28" s="116"/>
      <c r="H28" s="116"/>
      <c r="I28" s="116"/>
      <c r="J28" s="116"/>
      <c r="K28" s="117"/>
      <c r="L28" s="87"/>
      <c r="M28" s="87"/>
      <c r="N28" s="118"/>
      <c r="O28" s="119"/>
      <c r="P28" s="119"/>
      <c r="Q28" s="120"/>
      <c r="R28" s="121"/>
      <c r="S28" s="87"/>
      <c r="T28" s="87"/>
    </row>
    <row r="29" spans="4:20" ht="13.5" thickTop="1">
      <c r="D29" s="7"/>
      <c r="G29" s="7"/>
      <c r="H29" s="7"/>
      <c r="I29" s="7"/>
      <c r="J29" s="7"/>
      <c r="K29" s="7"/>
      <c r="L29" s="7"/>
      <c r="M29" s="7"/>
      <c r="N29" s="47"/>
      <c r="O29" s="122"/>
      <c r="P29" s="122"/>
      <c r="Q29" s="7"/>
      <c r="R29" s="123"/>
      <c r="S29" s="7"/>
      <c r="T29" s="7"/>
    </row>
    <row r="30" spans="4:20" ht="12.75">
      <c r="D30" s="7"/>
      <c r="G30" s="7"/>
      <c r="H30" s="7"/>
      <c r="I30" s="7"/>
      <c r="J30" s="7"/>
      <c r="K30" s="7"/>
      <c r="L30" s="7"/>
      <c r="M30" s="7"/>
      <c r="N30" s="7"/>
      <c r="O30" s="124"/>
      <c r="P30" s="124"/>
      <c r="Q30" s="125"/>
      <c r="R30" s="123"/>
      <c r="S30" s="7"/>
      <c r="T30" s="7"/>
    </row>
    <row r="31" spans="4:20" ht="12.7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24"/>
      <c r="P31" s="124"/>
      <c r="Q31" s="125"/>
      <c r="R31" s="123"/>
      <c r="S31" s="7"/>
      <c r="T31" s="7"/>
    </row>
    <row r="32" spans="4:20" ht="12.75">
      <c r="D32" s="7"/>
      <c r="E32" s="7"/>
      <c r="F32" s="7"/>
      <c r="M32" s="7"/>
      <c r="N32" s="7"/>
      <c r="O32" s="7"/>
      <c r="P32" s="7"/>
      <c r="Q32" s="7"/>
      <c r="R32" s="7"/>
      <c r="S32" s="7"/>
      <c r="T32" s="7"/>
    </row>
    <row r="33" spans="4:20" ht="12.75">
      <c r="D33" s="7"/>
      <c r="E33" s="7"/>
      <c r="F33" s="7"/>
      <c r="Q33" s="7"/>
      <c r="R33" s="7"/>
      <c r="S33" s="7"/>
      <c r="T33" s="7"/>
    </row>
    <row r="34" spans="4:20" ht="12.75">
      <c r="D34" s="7"/>
      <c r="E34" s="7"/>
      <c r="F34" s="7"/>
      <c r="Q34" s="7"/>
      <c r="R34" s="7"/>
      <c r="S34" s="7"/>
      <c r="T34" s="7"/>
    </row>
    <row r="35" spans="4:20" ht="12.75">
      <c r="D35" s="7"/>
      <c r="E35" s="7"/>
      <c r="F35" s="7"/>
      <c r="Q35" s="7"/>
      <c r="R35" s="7"/>
      <c r="S35" s="7"/>
      <c r="T35" s="7"/>
    </row>
    <row r="36" spans="4:20" ht="12.75">
      <c r="D36" s="7"/>
      <c r="E36" s="7"/>
      <c r="F36" s="7"/>
      <c r="Q36" s="7"/>
      <c r="R36" s="7"/>
      <c r="S36" s="7"/>
      <c r="T36" s="7"/>
    </row>
    <row r="37" spans="4:20" ht="12.75">
      <c r="D37" s="7"/>
      <c r="E37" s="7"/>
      <c r="F37" s="7"/>
      <c r="Q37" s="7"/>
      <c r="R37" s="7"/>
      <c r="S37" s="7"/>
      <c r="T37" s="7"/>
    </row>
    <row r="38" spans="17:20" ht="12.75">
      <c r="Q38" s="7"/>
      <c r="R38" s="7"/>
      <c r="S38" s="7"/>
      <c r="T38" s="7"/>
    </row>
    <row r="39" spans="17:20" ht="12.75">
      <c r="Q39" s="7"/>
      <c r="R39" s="7"/>
      <c r="S39" s="7"/>
      <c r="T39" s="7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Z45"/>
  <sheetViews>
    <sheetView zoomScale="75" zoomScaleNormal="75" workbookViewId="0" topLeftCell="B1">
      <selection activeCell="B2" sqref="B2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91"/>
    </row>
    <row r="2" spans="1:26" s="72" customFormat="1" ht="26.25">
      <c r="A2" s="82"/>
      <c r="B2" s="150" t="str">
        <f>+'tot-0007'!B2</f>
        <v>ANEXO I A LA RESOLUCION ENRE N° 336/2001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65</v>
      </c>
      <c r="B4" s="154"/>
      <c r="Z4" s="80"/>
    </row>
    <row r="5" spans="1:26" s="79" customFormat="1" ht="11.25">
      <c r="A5" s="153" t="s">
        <v>66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74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75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83" customFormat="1" ht="20.25">
      <c r="A12" s="84"/>
      <c r="B12" s="139"/>
      <c r="C12" s="84"/>
      <c r="D12" s="33" t="s">
        <v>76</v>
      </c>
      <c r="E12" s="33"/>
      <c r="F12" s="84"/>
      <c r="G12" s="141"/>
      <c r="H12" s="141"/>
      <c r="I12" s="141"/>
      <c r="J12" s="141"/>
      <c r="K12" s="141"/>
      <c r="L12" s="141"/>
      <c r="M12" s="14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40"/>
    </row>
    <row r="13" spans="1:26" s="9" customFormat="1" ht="12.75">
      <c r="A13" s="7"/>
      <c r="B13" s="105"/>
      <c r="C13" s="7"/>
      <c r="D13" s="137"/>
      <c r="E13" s="135"/>
      <c r="F13" s="7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0" customFormat="1" ht="18.75">
      <c r="A14" s="97"/>
      <c r="B14" s="91" t="str">
        <f>+'tot-0007'!B14</f>
        <v>Desde el 01 al 31 de julio de 2000</v>
      </c>
      <c r="C14" s="95"/>
      <c r="D14" s="95"/>
      <c r="E14" s="147"/>
      <c r="F14" s="148"/>
      <c r="G14" s="149"/>
      <c r="H14" s="149"/>
      <c r="I14" s="149"/>
      <c r="J14" s="149"/>
      <c r="K14" s="149"/>
      <c r="L14" s="149"/>
      <c r="M14" s="149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26" s="9" customFormat="1" ht="13.5" thickBot="1">
      <c r="A15" s="7"/>
      <c r="B15" s="105"/>
      <c r="C15" s="7"/>
      <c r="D15" s="7"/>
      <c r="E15" s="7"/>
      <c r="F15" s="138"/>
      <c r="G15" s="129"/>
      <c r="H15" s="129"/>
      <c r="I15" s="129"/>
      <c r="J15" s="129"/>
      <c r="K15" s="129"/>
      <c r="L15" s="129"/>
      <c r="M15" s="1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142" t="s">
        <v>77</v>
      </c>
      <c r="E16" s="388">
        <v>50.594</v>
      </c>
      <c r="F16" s="260"/>
      <c r="G16" s="7"/>
      <c r="H16"/>
      <c r="I16" s="143" t="s">
        <v>78</v>
      </c>
      <c r="J16" s="144">
        <f>30*'tot-0007'!B13</f>
        <v>30</v>
      </c>
      <c r="K16" s="242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5"/>
      <c r="C17" s="7"/>
      <c r="D17" s="7"/>
      <c r="E17" s="7"/>
      <c r="F17" s="7"/>
      <c r="G17" s="7"/>
      <c r="H17" s="1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5"/>
      <c r="C18" s="155" t="s">
        <v>79</v>
      </c>
      <c r="D18" s="156" t="s">
        <v>2</v>
      </c>
      <c r="E18" s="157" t="s">
        <v>80</v>
      </c>
      <c r="F18" s="158" t="s">
        <v>81</v>
      </c>
      <c r="G18" s="246" t="s">
        <v>82</v>
      </c>
      <c r="H18" s="156" t="s">
        <v>83</v>
      </c>
      <c r="I18" s="156" t="s">
        <v>84</v>
      </c>
      <c r="J18" s="157" t="s">
        <v>85</v>
      </c>
      <c r="K18" s="157" t="s">
        <v>86</v>
      </c>
      <c r="L18" s="159" t="s">
        <v>87</v>
      </c>
      <c r="M18" s="157" t="s">
        <v>88</v>
      </c>
      <c r="N18" s="262" t="s">
        <v>89</v>
      </c>
      <c r="O18" s="267" t="s">
        <v>90</v>
      </c>
      <c r="P18" s="272" t="s">
        <v>91</v>
      </c>
      <c r="Q18" s="273"/>
      <c r="R18" s="274"/>
      <c r="S18" s="285" t="s">
        <v>92</v>
      </c>
      <c r="T18" s="286"/>
      <c r="U18" s="287"/>
      <c r="V18" s="300" t="s">
        <v>93</v>
      </c>
      <c r="W18" s="305" t="s">
        <v>94</v>
      </c>
      <c r="X18" s="160" t="s">
        <v>95</v>
      </c>
      <c r="Y18" s="257" t="s">
        <v>96</v>
      </c>
      <c r="Z18" s="10"/>
    </row>
    <row r="19" spans="1:26" s="9" customFormat="1" ht="15.75" hidden="1" thickTop="1">
      <c r="A19" s="7"/>
      <c r="B19" s="105"/>
      <c r="C19" s="13"/>
      <c r="D19" s="17"/>
      <c r="E19" s="14"/>
      <c r="F19" s="15"/>
      <c r="G19" s="261"/>
      <c r="H19" s="16"/>
      <c r="I19" s="16"/>
      <c r="J19" s="11"/>
      <c r="K19" s="11"/>
      <c r="L19" s="17"/>
      <c r="M19" s="11"/>
      <c r="N19" s="263"/>
      <c r="O19" s="268"/>
      <c r="P19" s="275"/>
      <c r="Q19" s="281"/>
      <c r="R19" s="282"/>
      <c r="S19" s="288"/>
      <c r="T19" s="292"/>
      <c r="U19" s="296"/>
      <c r="V19" s="301"/>
      <c r="W19" s="306"/>
      <c r="X19" s="54"/>
      <c r="Y19" s="258"/>
      <c r="Z19" s="10"/>
    </row>
    <row r="20" spans="1:26" s="9" customFormat="1" ht="15.75" thickTop="1">
      <c r="A20" s="7"/>
      <c r="B20" s="105"/>
      <c r="C20" s="18"/>
      <c r="D20" s="19"/>
      <c r="E20" s="18"/>
      <c r="F20" s="18"/>
      <c r="G20" s="247"/>
      <c r="H20" s="18"/>
      <c r="I20" s="20"/>
      <c r="J20" s="20"/>
      <c r="K20" s="20"/>
      <c r="L20" s="19"/>
      <c r="M20" s="18"/>
      <c r="N20" s="264"/>
      <c r="O20" s="269"/>
      <c r="P20" s="275"/>
      <c r="Q20" s="281"/>
      <c r="R20" s="282"/>
      <c r="S20" s="289"/>
      <c r="T20" s="293"/>
      <c r="U20" s="297"/>
      <c r="V20" s="302"/>
      <c r="W20" s="307"/>
      <c r="X20" s="21"/>
      <c r="Y20" s="145"/>
      <c r="Z20" s="10"/>
    </row>
    <row r="21" spans="1:26" s="9" customFormat="1" ht="15">
      <c r="A21" s="7"/>
      <c r="B21" s="105"/>
      <c r="C21" s="11">
        <v>1</v>
      </c>
      <c r="D21" s="55" t="s">
        <v>18</v>
      </c>
      <c r="E21" s="8">
        <v>132</v>
      </c>
      <c r="F21" s="45">
        <v>10</v>
      </c>
      <c r="G21" s="248">
        <f aca="true" t="shared" si="0" ref="G21:G40">$E$16/100*IF(F21&gt;25,F21,25)</f>
        <v>12.648500000000002</v>
      </c>
      <c r="H21" s="22">
        <v>36709.33472222222</v>
      </c>
      <c r="I21" s="29">
        <v>36709.66875</v>
      </c>
      <c r="J21" s="23">
        <f aca="true" t="shared" si="1" ref="J21:J40">IF(D21="","",(I21-H21)*24)</f>
        <v>8.016666666604578</v>
      </c>
      <c r="K21" s="24">
        <f aca="true" t="shared" si="2" ref="K21:K40">IF(D21="","",ROUND((I21-H21)*24*60,0))</f>
        <v>481</v>
      </c>
      <c r="L21" s="25" t="s">
        <v>140</v>
      </c>
      <c r="M21" s="26" t="str">
        <f aca="true" t="shared" si="3" ref="M21:M40">IF(D21="","","--")</f>
        <v>--</v>
      </c>
      <c r="N21" s="265">
        <f aca="true" t="shared" si="4" ref="N21:N40">IF(L21="P",ROUND(K21/60,2)*G21*$J$16*0.01,"--")</f>
        <v>30.432291</v>
      </c>
      <c r="O21" s="270" t="str">
        <f aca="true" t="shared" si="5" ref="O21:O40">IF(L21="RP",G21*M21*ROUND(J21/60,2)*0.01*K21/100,"--")</f>
        <v>--</v>
      </c>
      <c r="P21" s="275" t="str">
        <f aca="true" t="shared" si="6" ref="P21:P40">IF(L21="F",G21*$J$16,"--")</f>
        <v>--</v>
      </c>
      <c r="Q21" s="276" t="str">
        <f aca="true" t="shared" si="7" ref="Q21:Q40">IF(AND(K21&gt;10,L21="F"),G21*$J$16*IF(K21&gt;180,3,ROUND((K21)/60,2)),"--")</f>
        <v>--</v>
      </c>
      <c r="R21" s="277" t="str">
        <f aca="true" t="shared" si="8" ref="R21:R40">IF(AND(K21&gt;180,L21="F"),(ROUND(K21/60,2)-3)*G21*$J$16*0.1,"--")</f>
        <v>--</v>
      </c>
      <c r="S21" s="290" t="str">
        <f aca="true" t="shared" si="9" ref="S21:S40">IF(L21="R",G21*$J$16*M21/100,"--")</f>
        <v>--</v>
      </c>
      <c r="T21" s="294" t="str">
        <f aca="true" t="shared" si="10" ref="T21:T40">IF(AND(K21&gt;10,L21="R"),G21*$J$16*M21/100*IF(K21&gt;180,3,ROUND(K21/60,2)),"--")</f>
        <v>--</v>
      </c>
      <c r="U21" s="298" t="str">
        <f aca="true" t="shared" si="11" ref="U21:U40">IF(AND(K21&gt;180,L21="R"),(ROUND(K21/60,2)-3)*G21*$J$16*0.1*M21/100,"--")</f>
        <v>--</v>
      </c>
      <c r="V21" s="303" t="str">
        <f aca="true" t="shared" si="12" ref="V21:V40">IF(L21="RF",ROUND(K21/60,2)*G21*$J$16*0.1,"--")</f>
        <v>--</v>
      </c>
      <c r="W21" s="308" t="str">
        <f aca="true" t="shared" si="13" ref="W21:W40">IF(L21="RR",ROUND(K21/60,2)*G21*$J$16*0.1*M21/100,"--")</f>
        <v>--</v>
      </c>
      <c r="X21" s="56" t="str">
        <f aca="true" t="shared" si="14" ref="X21:X40">IF(D21="","","SI")</f>
        <v>SI</v>
      </c>
      <c r="Y21" s="57">
        <f aca="true" t="shared" si="15" ref="Y21:Y40">IF(D21="","",SUM(N21:W21)*IF(X21="SI",1,2))</f>
        <v>30.432291</v>
      </c>
      <c r="Z21" s="386"/>
    </row>
    <row r="22" spans="1:26" s="9" customFormat="1" ht="15">
      <c r="A22" s="7"/>
      <c r="B22" s="105"/>
      <c r="C22" s="11">
        <v>2</v>
      </c>
      <c r="D22" s="55" t="s">
        <v>6</v>
      </c>
      <c r="E22" s="8">
        <v>132</v>
      </c>
      <c r="F22" s="45">
        <v>97.13</v>
      </c>
      <c r="G22" s="248">
        <f t="shared" si="0"/>
        <v>49.141952200000006</v>
      </c>
      <c r="H22" s="22">
        <v>36713.379166666666</v>
      </c>
      <c r="I22" s="29">
        <v>36713.72361111111</v>
      </c>
      <c r="J22" s="23">
        <f t="shared" si="1"/>
        <v>8.266666666720994</v>
      </c>
      <c r="K22" s="24">
        <f t="shared" si="2"/>
        <v>496</v>
      </c>
      <c r="L22" s="25" t="s">
        <v>140</v>
      </c>
      <c r="M22" s="26" t="str">
        <f t="shared" si="3"/>
        <v>--</v>
      </c>
      <c r="N22" s="265">
        <f t="shared" si="4"/>
        <v>121.92118340820002</v>
      </c>
      <c r="O22" s="270" t="str">
        <f t="shared" si="5"/>
        <v>--</v>
      </c>
      <c r="P22" s="275" t="str">
        <f t="shared" si="6"/>
        <v>--</v>
      </c>
      <c r="Q22" s="276" t="str">
        <f t="shared" si="7"/>
        <v>--</v>
      </c>
      <c r="R22" s="277" t="str">
        <f t="shared" si="8"/>
        <v>--</v>
      </c>
      <c r="S22" s="290" t="str">
        <f t="shared" si="9"/>
        <v>--</v>
      </c>
      <c r="T22" s="294" t="str">
        <f t="shared" si="10"/>
        <v>--</v>
      </c>
      <c r="U22" s="298" t="str">
        <f t="shared" si="11"/>
        <v>--</v>
      </c>
      <c r="V22" s="303" t="str">
        <f t="shared" si="12"/>
        <v>--</v>
      </c>
      <c r="W22" s="308" t="str">
        <f t="shared" si="13"/>
        <v>--</v>
      </c>
      <c r="X22" s="56" t="str">
        <f t="shared" si="14"/>
        <v>SI</v>
      </c>
      <c r="Y22" s="57">
        <f t="shared" si="15"/>
        <v>121.92118340820002</v>
      </c>
      <c r="Z22" s="386"/>
    </row>
    <row r="23" spans="1:26" s="9" customFormat="1" ht="15">
      <c r="A23" s="7"/>
      <c r="B23" s="105"/>
      <c r="C23" s="11">
        <v>3</v>
      </c>
      <c r="D23" s="55" t="s">
        <v>136</v>
      </c>
      <c r="E23" s="8">
        <v>132</v>
      </c>
      <c r="F23" s="45">
        <v>7</v>
      </c>
      <c r="G23" s="248">
        <f t="shared" si="0"/>
        <v>12.648500000000002</v>
      </c>
      <c r="H23" s="22">
        <v>36714.36875</v>
      </c>
      <c r="I23" s="29">
        <v>36714.56180555555</v>
      </c>
      <c r="J23" s="23">
        <f t="shared" si="1"/>
        <v>4.633333333244082</v>
      </c>
      <c r="K23" s="24">
        <f t="shared" si="2"/>
        <v>278</v>
      </c>
      <c r="L23" s="25" t="s">
        <v>140</v>
      </c>
      <c r="M23" s="26" t="str">
        <f t="shared" si="3"/>
        <v>--</v>
      </c>
      <c r="N23" s="265">
        <f t="shared" si="4"/>
        <v>17.568766500000006</v>
      </c>
      <c r="O23" s="270" t="str">
        <f t="shared" si="5"/>
        <v>--</v>
      </c>
      <c r="P23" s="275" t="str">
        <f t="shared" si="6"/>
        <v>--</v>
      </c>
      <c r="Q23" s="276" t="str">
        <f t="shared" si="7"/>
        <v>--</v>
      </c>
      <c r="R23" s="277" t="str">
        <f t="shared" si="8"/>
        <v>--</v>
      </c>
      <c r="S23" s="290" t="str">
        <f t="shared" si="9"/>
        <v>--</v>
      </c>
      <c r="T23" s="294" t="str">
        <f t="shared" si="10"/>
        <v>--</v>
      </c>
      <c r="U23" s="298" t="str">
        <f t="shared" si="11"/>
        <v>--</v>
      </c>
      <c r="V23" s="303" t="str">
        <f t="shared" si="12"/>
        <v>--</v>
      </c>
      <c r="W23" s="308" t="str">
        <f t="shared" si="13"/>
        <v>--</v>
      </c>
      <c r="X23" s="56" t="str">
        <f t="shared" si="14"/>
        <v>SI</v>
      </c>
      <c r="Y23" s="57">
        <f t="shared" si="15"/>
        <v>17.568766500000006</v>
      </c>
      <c r="Z23" s="386"/>
    </row>
    <row r="24" spans="1:26" s="9" customFormat="1" ht="15">
      <c r="A24" s="7"/>
      <c r="B24" s="105"/>
      <c r="C24" s="11">
        <v>4</v>
      </c>
      <c r="D24" s="55" t="s">
        <v>135</v>
      </c>
      <c r="E24" s="8">
        <v>132</v>
      </c>
      <c r="F24" s="45">
        <v>55</v>
      </c>
      <c r="G24" s="248">
        <f t="shared" si="0"/>
        <v>27.826700000000002</v>
      </c>
      <c r="H24" s="22">
        <v>36714.45</v>
      </c>
      <c r="I24" s="29">
        <v>36714.45138888889</v>
      </c>
      <c r="J24" s="23">
        <f t="shared" si="1"/>
        <v>0.033333333441987634</v>
      </c>
      <c r="K24" s="24">
        <f t="shared" si="2"/>
        <v>2</v>
      </c>
      <c r="L24" s="25" t="s">
        <v>141</v>
      </c>
      <c r="M24" s="26" t="str">
        <f t="shared" si="3"/>
        <v>--</v>
      </c>
      <c r="N24" s="265" t="str">
        <f t="shared" si="4"/>
        <v>--</v>
      </c>
      <c r="O24" s="270" t="str">
        <f t="shared" si="5"/>
        <v>--</v>
      </c>
      <c r="P24" s="275">
        <f t="shared" si="6"/>
        <v>834.801</v>
      </c>
      <c r="Q24" s="276" t="str">
        <f t="shared" si="7"/>
        <v>--</v>
      </c>
      <c r="R24" s="277" t="str">
        <f t="shared" si="8"/>
        <v>--</v>
      </c>
      <c r="S24" s="290" t="str">
        <f t="shared" si="9"/>
        <v>--</v>
      </c>
      <c r="T24" s="294" t="str">
        <f t="shared" si="10"/>
        <v>--</v>
      </c>
      <c r="U24" s="298" t="str">
        <f t="shared" si="11"/>
        <v>--</v>
      </c>
      <c r="V24" s="303" t="str">
        <f t="shared" si="12"/>
        <v>--</v>
      </c>
      <c r="W24" s="308" t="str">
        <f t="shared" si="13"/>
        <v>--</v>
      </c>
      <c r="X24" s="56" t="str">
        <f t="shared" si="14"/>
        <v>SI</v>
      </c>
      <c r="Y24" s="57">
        <f t="shared" si="15"/>
        <v>834.801</v>
      </c>
      <c r="Z24" s="386"/>
    </row>
    <row r="25" spans="1:26" s="9" customFormat="1" ht="15">
      <c r="A25" s="7"/>
      <c r="B25" s="105"/>
      <c r="C25" s="11">
        <v>5</v>
      </c>
      <c r="D25" s="55" t="s">
        <v>135</v>
      </c>
      <c r="E25" s="8">
        <v>132</v>
      </c>
      <c r="F25" s="45">
        <v>55</v>
      </c>
      <c r="G25" s="248">
        <f t="shared" si="0"/>
        <v>27.826700000000002</v>
      </c>
      <c r="H25" s="22">
        <v>36714.56319444445</v>
      </c>
      <c r="I25" s="29">
        <v>36714.70972222222</v>
      </c>
      <c r="J25" s="23">
        <f t="shared" si="1"/>
        <v>3.5166666666045785</v>
      </c>
      <c r="K25" s="24">
        <f t="shared" si="2"/>
        <v>211</v>
      </c>
      <c r="L25" s="25" t="s">
        <v>140</v>
      </c>
      <c r="M25" s="26" t="str">
        <f t="shared" si="3"/>
        <v>--</v>
      </c>
      <c r="N25" s="265">
        <f t="shared" si="4"/>
        <v>29.384995200000002</v>
      </c>
      <c r="O25" s="270" t="str">
        <f t="shared" si="5"/>
        <v>--</v>
      </c>
      <c r="P25" s="275" t="str">
        <f t="shared" si="6"/>
        <v>--</v>
      </c>
      <c r="Q25" s="276" t="str">
        <f t="shared" si="7"/>
        <v>--</v>
      </c>
      <c r="R25" s="277" t="str">
        <f t="shared" si="8"/>
        <v>--</v>
      </c>
      <c r="S25" s="290" t="str">
        <f t="shared" si="9"/>
        <v>--</v>
      </c>
      <c r="T25" s="294" t="str">
        <f t="shared" si="10"/>
        <v>--</v>
      </c>
      <c r="U25" s="298" t="str">
        <f t="shared" si="11"/>
        <v>--</v>
      </c>
      <c r="V25" s="303" t="str">
        <f t="shared" si="12"/>
        <v>--</v>
      </c>
      <c r="W25" s="308" t="str">
        <f t="shared" si="13"/>
        <v>--</v>
      </c>
      <c r="X25" s="56" t="str">
        <f t="shared" si="14"/>
        <v>SI</v>
      </c>
      <c r="Y25" s="57">
        <f t="shared" si="15"/>
        <v>29.384995200000002</v>
      </c>
      <c r="Z25" s="386"/>
    </row>
    <row r="26" spans="1:26" s="9" customFormat="1" ht="15">
      <c r="A26" s="7"/>
      <c r="B26" s="105"/>
      <c r="C26" s="11">
        <v>6</v>
      </c>
      <c r="D26" s="55" t="s">
        <v>130</v>
      </c>
      <c r="E26" s="8">
        <v>132</v>
      </c>
      <c r="F26" s="45">
        <v>102</v>
      </c>
      <c r="G26" s="248">
        <f t="shared" si="0"/>
        <v>51.605880000000006</v>
      </c>
      <c r="H26" s="22">
        <v>36717.68194444444</v>
      </c>
      <c r="I26" s="29">
        <v>36717.69027777778</v>
      </c>
      <c r="J26" s="23">
        <f t="shared" si="1"/>
        <v>0.20000000012805685</v>
      </c>
      <c r="K26" s="24">
        <f t="shared" si="2"/>
        <v>12</v>
      </c>
      <c r="L26" s="25" t="s">
        <v>141</v>
      </c>
      <c r="M26" s="26" t="str">
        <f t="shared" si="3"/>
        <v>--</v>
      </c>
      <c r="N26" s="265" t="str">
        <f t="shared" si="4"/>
        <v>--</v>
      </c>
      <c r="O26" s="270" t="str">
        <f t="shared" si="5"/>
        <v>--</v>
      </c>
      <c r="P26" s="275">
        <f t="shared" si="6"/>
        <v>1548.1764000000003</v>
      </c>
      <c r="Q26" s="276">
        <f t="shared" si="7"/>
        <v>309.6352800000001</v>
      </c>
      <c r="R26" s="277" t="str">
        <f t="shared" si="8"/>
        <v>--</v>
      </c>
      <c r="S26" s="290" t="str">
        <f t="shared" si="9"/>
        <v>--</v>
      </c>
      <c r="T26" s="294" t="str">
        <f t="shared" si="10"/>
        <v>--</v>
      </c>
      <c r="U26" s="298" t="str">
        <f t="shared" si="11"/>
        <v>--</v>
      </c>
      <c r="V26" s="303" t="str">
        <f t="shared" si="12"/>
        <v>--</v>
      </c>
      <c r="W26" s="308" t="str">
        <f t="shared" si="13"/>
        <v>--</v>
      </c>
      <c r="X26" s="56" t="str">
        <f t="shared" si="14"/>
        <v>SI</v>
      </c>
      <c r="Y26" s="57">
        <f t="shared" si="15"/>
        <v>1857.8116800000003</v>
      </c>
      <c r="Z26" s="386"/>
    </row>
    <row r="27" spans="1:26" s="9" customFormat="1" ht="15">
      <c r="A27" s="7"/>
      <c r="B27" s="105"/>
      <c r="C27" s="11">
        <v>7</v>
      </c>
      <c r="D27" s="55" t="s">
        <v>5</v>
      </c>
      <c r="E27" s="8">
        <v>132</v>
      </c>
      <c r="F27" s="45">
        <v>19.6</v>
      </c>
      <c r="G27" s="248">
        <f t="shared" si="0"/>
        <v>12.648500000000002</v>
      </c>
      <c r="H27" s="22">
        <v>36718.32777777778</v>
      </c>
      <c r="I27" s="29">
        <v>36718.72986111111</v>
      </c>
      <c r="J27" s="23">
        <f t="shared" si="1"/>
        <v>9.650000000023283</v>
      </c>
      <c r="K27" s="24">
        <f t="shared" si="2"/>
        <v>579</v>
      </c>
      <c r="L27" s="25" t="s">
        <v>140</v>
      </c>
      <c r="M27" s="26" t="str">
        <f t="shared" si="3"/>
        <v>--</v>
      </c>
      <c r="N27" s="265">
        <f t="shared" si="4"/>
        <v>36.617407500000006</v>
      </c>
      <c r="O27" s="270" t="str">
        <f t="shared" si="5"/>
        <v>--</v>
      </c>
      <c r="P27" s="275" t="str">
        <f t="shared" si="6"/>
        <v>--</v>
      </c>
      <c r="Q27" s="276" t="str">
        <f t="shared" si="7"/>
        <v>--</v>
      </c>
      <c r="R27" s="277" t="str">
        <f t="shared" si="8"/>
        <v>--</v>
      </c>
      <c r="S27" s="290" t="str">
        <f t="shared" si="9"/>
        <v>--</v>
      </c>
      <c r="T27" s="294" t="str">
        <f t="shared" si="10"/>
        <v>--</v>
      </c>
      <c r="U27" s="298" t="str">
        <f t="shared" si="11"/>
        <v>--</v>
      </c>
      <c r="V27" s="303" t="str">
        <f t="shared" si="12"/>
        <v>--</v>
      </c>
      <c r="W27" s="308" t="str">
        <f t="shared" si="13"/>
        <v>--</v>
      </c>
      <c r="X27" s="56" t="str">
        <f t="shared" si="14"/>
        <v>SI</v>
      </c>
      <c r="Y27" s="57">
        <f t="shared" si="15"/>
        <v>36.617407500000006</v>
      </c>
      <c r="Z27" s="386"/>
    </row>
    <row r="28" spans="1:26" s="9" customFormat="1" ht="15">
      <c r="A28" s="7"/>
      <c r="B28" s="105"/>
      <c r="C28" s="11">
        <v>8</v>
      </c>
      <c r="D28" s="55" t="s">
        <v>5</v>
      </c>
      <c r="E28" s="8">
        <v>132</v>
      </c>
      <c r="F28" s="45">
        <v>19.6</v>
      </c>
      <c r="G28" s="248">
        <f t="shared" si="0"/>
        <v>12.648500000000002</v>
      </c>
      <c r="H28" s="22">
        <v>36719.370833333334</v>
      </c>
      <c r="I28" s="29">
        <v>36719.63333333333</v>
      </c>
      <c r="J28" s="23">
        <f t="shared" si="1"/>
        <v>6.299999999930151</v>
      </c>
      <c r="K28" s="24">
        <f t="shared" si="2"/>
        <v>378</v>
      </c>
      <c r="L28" s="25" t="s">
        <v>140</v>
      </c>
      <c r="M28" s="26" t="str">
        <f t="shared" si="3"/>
        <v>--</v>
      </c>
      <c r="N28" s="265">
        <f t="shared" si="4"/>
        <v>23.905665000000003</v>
      </c>
      <c r="O28" s="270" t="str">
        <f t="shared" si="5"/>
        <v>--</v>
      </c>
      <c r="P28" s="275" t="str">
        <f t="shared" si="6"/>
        <v>--</v>
      </c>
      <c r="Q28" s="276" t="str">
        <f t="shared" si="7"/>
        <v>--</v>
      </c>
      <c r="R28" s="277" t="str">
        <f t="shared" si="8"/>
        <v>--</v>
      </c>
      <c r="S28" s="290" t="str">
        <f t="shared" si="9"/>
        <v>--</v>
      </c>
      <c r="T28" s="294" t="str">
        <f t="shared" si="10"/>
        <v>--</v>
      </c>
      <c r="U28" s="298" t="str">
        <f t="shared" si="11"/>
        <v>--</v>
      </c>
      <c r="V28" s="303" t="str">
        <f t="shared" si="12"/>
        <v>--</v>
      </c>
      <c r="W28" s="308" t="str">
        <f t="shared" si="13"/>
        <v>--</v>
      </c>
      <c r="X28" s="56" t="str">
        <f t="shared" si="14"/>
        <v>SI</v>
      </c>
      <c r="Y28" s="57">
        <f t="shared" si="15"/>
        <v>23.905665000000003</v>
      </c>
      <c r="Z28" s="10"/>
    </row>
    <row r="29" spans="1:26" s="9" customFormat="1" ht="15">
      <c r="A29" s="7"/>
      <c r="B29" s="105"/>
      <c r="C29" s="11">
        <v>9</v>
      </c>
      <c r="D29" s="55" t="s">
        <v>5</v>
      </c>
      <c r="E29" s="8">
        <v>132</v>
      </c>
      <c r="F29" s="45">
        <v>19.6</v>
      </c>
      <c r="G29" s="248">
        <f t="shared" si="0"/>
        <v>12.648500000000002</v>
      </c>
      <c r="H29" s="22">
        <v>36720.3625</v>
      </c>
      <c r="I29" s="29">
        <v>36720.6875</v>
      </c>
      <c r="J29" s="23">
        <f t="shared" si="1"/>
        <v>7.799999999930151</v>
      </c>
      <c r="K29" s="24">
        <f t="shared" si="2"/>
        <v>468</v>
      </c>
      <c r="L29" s="25" t="s">
        <v>140</v>
      </c>
      <c r="M29" s="26" t="str">
        <f t="shared" si="3"/>
        <v>--</v>
      </c>
      <c r="N29" s="265">
        <f t="shared" si="4"/>
        <v>29.597490000000004</v>
      </c>
      <c r="O29" s="270" t="str">
        <f t="shared" si="5"/>
        <v>--</v>
      </c>
      <c r="P29" s="275" t="str">
        <f t="shared" si="6"/>
        <v>--</v>
      </c>
      <c r="Q29" s="276" t="str">
        <f t="shared" si="7"/>
        <v>--</v>
      </c>
      <c r="R29" s="277" t="str">
        <f t="shared" si="8"/>
        <v>--</v>
      </c>
      <c r="S29" s="290" t="str">
        <f t="shared" si="9"/>
        <v>--</v>
      </c>
      <c r="T29" s="294" t="str">
        <f t="shared" si="10"/>
        <v>--</v>
      </c>
      <c r="U29" s="298" t="str">
        <f t="shared" si="11"/>
        <v>--</v>
      </c>
      <c r="V29" s="303" t="str">
        <f t="shared" si="12"/>
        <v>--</v>
      </c>
      <c r="W29" s="308" t="str">
        <f t="shared" si="13"/>
        <v>--</v>
      </c>
      <c r="X29" s="56" t="str">
        <f t="shared" si="14"/>
        <v>SI</v>
      </c>
      <c r="Y29" s="57">
        <f t="shared" si="15"/>
        <v>29.597490000000004</v>
      </c>
      <c r="Z29" s="10"/>
    </row>
    <row r="30" spans="1:26" s="9" customFormat="1" ht="15">
      <c r="A30" s="7"/>
      <c r="B30" s="105"/>
      <c r="C30" s="11">
        <v>10</v>
      </c>
      <c r="D30" s="55" t="s">
        <v>128</v>
      </c>
      <c r="E30" s="8">
        <v>132</v>
      </c>
      <c r="F30" s="45">
        <v>115</v>
      </c>
      <c r="G30" s="248">
        <f t="shared" si="0"/>
        <v>58.1831</v>
      </c>
      <c r="H30" s="22">
        <v>36720.88958333333</v>
      </c>
      <c r="I30" s="29">
        <v>36721.486805555556</v>
      </c>
      <c r="J30" s="23">
        <f t="shared" si="1"/>
        <v>14.333333333430346</v>
      </c>
      <c r="K30" s="24">
        <f t="shared" si="2"/>
        <v>860</v>
      </c>
      <c r="L30" s="25" t="s">
        <v>141</v>
      </c>
      <c r="M30" s="26" t="str">
        <f t="shared" si="3"/>
        <v>--</v>
      </c>
      <c r="N30" s="265" t="str">
        <f t="shared" si="4"/>
        <v>--</v>
      </c>
      <c r="O30" s="270" t="str">
        <f t="shared" si="5"/>
        <v>--</v>
      </c>
      <c r="P30" s="275">
        <f t="shared" si="6"/>
        <v>1745.4930000000002</v>
      </c>
      <c r="Q30" s="276">
        <f t="shared" si="7"/>
        <v>5236.479</v>
      </c>
      <c r="R30" s="277">
        <f t="shared" si="8"/>
        <v>1977.6435689999998</v>
      </c>
      <c r="S30" s="290" t="str">
        <f t="shared" si="9"/>
        <v>--</v>
      </c>
      <c r="T30" s="294" t="str">
        <f t="shared" si="10"/>
        <v>--</v>
      </c>
      <c r="U30" s="298" t="str">
        <f t="shared" si="11"/>
        <v>--</v>
      </c>
      <c r="V30" s="303" t="str">
        <f t="shared" si="12"/>
        <v>--</v>
      </c>
      <c r="W30" s="308" t="str">
        <f t="shared" si="13"/>
        <v>--</v>
      </c>
      <c r="X30" s="56" t="str">
        <f t="shared" si="14"/>
        <v>SI</v>
      </c>
      <c r="Y30" s="57">
        <f t="shared" si="15"/>
        <v>8959.615569000001</v>
      </c>
      <c r="Z30" s="10"/>
    </row>
    <row r="31" spans="1:26" s="9" customFormat="1" ht="15">
      <c r="A31" s="7"/>
      <c r="B31" s="105"/>
      <c r="C31" s="11">
        <v>11</v>
      </c>
      <c r="D31" s="55" t="s">
        <v>13</v>
      </c>
      <c r="E31" s="8">
        <v>132</v>
      </c>
      <c r="F31" s="45">
        <v>88</v>
      </c>
      <c r="G31" s="248">
        <f t="shared" si="0"/>
        <v>44.52272000000001</v>
      </c>
      <c r="H31" s="22">
        <v>36723.31041666667</v>
      </c>
      <c r="I31" s="29">
        <v>36723.71111111111</v>
      </c>
      <c r="J31" s="23">
        <f t="shared" si="1"/>
        <v>9.616666666581295</v>
      </c>
      <c r="K31" s="24">
        <f t="shared" si="2"/>
        <v>577</v>
      </c>
      <c r="L31" s="25" t="s">
        <v>140</v>
      </c>
      <c r="M31" s="26" t="str">
        <f t="shared" si="3"/>
        <v>--</v>
      </c>
      <c r="N31" s="265">
        <f t="shared" si="4"/>
        <v>128.49256992</v>
      </c>
      <c r="O31" s="270" t="str">
        <f t="shared" si="5"/>
        <v>--</v>
      </c>
      <c r="P31" s="275" t="str">
        <f t="shared" si="6"/>
        <v>--</v>
      </c>
      <c r="Q31" s="276" t="str">
        <f t="shared" si="7"/>
        <v>--</v>
      </c>
      <c r="R31" s="277" t="str">
        <f t="shared" si="8"/>
        <v>--</v>
      </c>
      <c r="S31" s="290" t="str">
        <f t="shared" si="9"/>
        <v>--</v>
      </c>
      <c r="T31" s="294" t="str">
        <f t="shared" si="10"/>
        <v>--</v>
      </c>
      <c r="U31" s="298" t="str">
        <f t="shared" si="11"/>
        <v>--</v>
      </c>
      <c r="V31" s="303" t="str">
        <f t="shared" si="12"/>
        <v>--</v>
      </c>
      <c r="W31" s="308" t="str">
        <f t="shared" si="13"/>
        <v>--</v>
      </c>
      <c r="X31" s="56" t="str">
        <f t="shared" si="14"/>
        <v>SI</v>
      </c>
      <c r="Y31" s="57">
        <f t="shared" si="15"/>
        <v>128.49256992</v>
      </c>
      <c r="Z31" s="10"/>
    </row>
    <row r="32" spans="1:26" s="9" customFormat="1" ht="15">
      <c r="A32" s="7"/>
      <c r="B32" s="105"/>
      <c r="C32" s="11">
        <v>12</v>
      </c>
      <c r="D32" s="55" t="s">
        <v>14</v>
      </c>
      <c r="E32" s="8">
        <v>132</v>
      </c>
      <c r="F32" s="45">
        <v>105</v>
      </c>
      <c r="G32" s="248">
        <f t="shared" si="0"/>
        <v>53.12370000000001</v>
      </c>
      <c r="H32" s="22">
        <v>36723.31458333333</v>
      </c>
      <c r="I32" s="29">
        <v>36723.71111111111</v>
      </c>
      <c r="J32" s="23">
        <f t="shared" si="1"/>
        <v>9.516666666604578</v>
      </c>
      <c r="K32" s="24">
        <f t="shared" si="2"/>
        <v>571</v>
      </c>
      <c r="L32" s="25" t="s">
        <v>140</v>
      </c>
      <c r="M32" s="26" t="str">
        <f t="shared" si="3"/>
        <v>--</v>
      </c>
      <c r="N32" s="265">
        <f t="shared" si="4"/>
        <v>151.7212872</v>
      </c>
      <c r="O32" s="270" t="str">
        <f t="shared" si="5"/>
        <v>--</v>
      </c>
      <c r="P32" s="275" t="str">
        <f t="shared" si="6"/>
        <v>--</v>
      </c>
      <c r="Q32" s="276" t="str">
        <f t="shared" si="7"/>
        <v>--</v>
      </c>
      <c r="R32" s="277" t="str">
        <f t="shared" si="8"/>
        <v>--</v>
      </c>
      <c r="S32" s="290" t="str">
        <f t="shared" si="9"/>
        <v>--</v>
      </c>
      <c r="T32" s="294" t="str">
        <f t="shared" si="10"/>
        <v>--</v>
      </c>
      <c r="U32" s="298" t="str">
        <f t="shared" si="11"/>
        <v>--</v>
      </c>
      <c r="V32" s="303" t="str">
        <f t="shared" si="12"/>
        <v>--</v>
      </c>
      <c r="W32" s="308" t="str">
        <f t="shared" si="13"/>
        <v>--</v>
      </c>
      <c r="X32" s="56" t="str">
        <f t="shared" si="14"/>
        <v>SI</v>
      </c>
      <c r="Y32" s="57">
        <f t="shared" si="15"/>
        <v>151.7212872</v>
      </c>
      <c r="Z32" s="10"/>
    </row>
    <row r="33" spans="1:26" s="9" customFormat="1" ht="15">
      <c r="A33" s="7"/>
      <c r="B33" s="105"/>
      <c r="C33" s="11">
        <v>13</v>
      </c>
      <c r="D33" s="55" t="s">
        <v>15</v>
      </c>
      <c r="E33" s="8">
        <v>132</v>
      </c>
      <c r="F33" s="45">
        <v>115</v>
      </c>
      <c r="G33" s="248">
        <f t="shared" si="0"/>
        <v>58.1831</v>
      </c>
      <c r="H33" s="22">
        <v>36723.32361111111</v>
      </c>
      <c r="I33" s="29">
        <v>36723.71111111111</v>
      </c>
      <c r="J33" s="23">
        <f t="shared" si="1"/>
        <v>9.29999999993015</v>
      </c>
      <c r="K33" s="24">
        <f t="shared" si="2"/>
        <v>558</v>
      </c>
      <c r="L33" s="25" t="s">
        <v>140</v>
      </c>
      <c r="M33" s="26" t="str">
        <f t="shared" si="3"/>
        <v>--</v>
      </c>
      <c r="N33" s="265">
        <f t="shared" si="4"/>
        <v>162.33084900000003</v>
      </c>
      <c r="O33" s="270" t="str">
        <f t="shared" si="5"/>
        <v>--</v>
      </c>
      <c r="P33" s="275" t="str">
        <f t="shared" si="6"/>
        <v>--</v>
      </c>
      <c r="Q33" s="276" t="str">
        <f t="shared" si="7"/>
        <v>--</v>
      </c>
      <c r="R33" s="277" t="str">
        <f t="shared" si="8"/>
        <v>--</v>
      </c>
      <c r="S33" s="290" t="str">
        <f t="shared" si="9"/>
        <v>--</v>
      </c>
      <c r="T33" s="294" t="str">
        <f t="shared" si="10"/>
        <v>--</v>
      </c>
      <c r="U33" s="298" t="str">
        <f t="shared" si="11"/>
        <v>--</v>
      </c>
      <c r="V33" s="303" t="str">
        <f t="shared" si="12"/>
        <v>--</v>
      </c>
      <c r="W33" s="308" t="str">
        <f t="shared" si="13"/>
        <v>--</v>
      </c>
      <c r="X33" s="56" t="str">
        <f t="shared" si="14"/>
        <v>SI</v>
      </c>
      <c r="Y33" s="57">
        <f t="shared" si="15"/>
        <v>162.33084900000003</v>
      </c>
      <c r="Z33" s="10"/>
    </row>
    <row r="34" spans="1:26" s="9" customFormat="1" ht="15">
      <c r="A34" s="7"/>
      <c r="B34" s="105"/>
      <c r="C34" s="11">
        <v>14</v>
      </c>
      <c r="D34" s="55" t="s">
        <v>9</v>
      </c>
      <c r="E34" s="8">
        <v>132</v>
      </c>
      <c r="F34" s="45">
        <v>76</v>
      </c>
      <c r="G34" s="248">
        <f t="shared" si="0"/>
        <v>38.451440000000005</v>
      </c>
      <c r="H34" s="22">
        <v>36723.37152777778</v>
      </c>
      <c r="I34" s="29">
        <v>36723.69513888889</v>
      </c>
      <c r="J34" s="23">
        <f t="shared" si="1"/>
        <v>7.766666666662786</v>
      </c>
      <c r="K34" s="24">
        <f t="shared" si="2"/>
        <v>466</v>
      </c>
      <c r="L34" s="25" t="s">
        <v>140</v>
      </c>
      <c r="M34" s="26" t="str">
        <f t="shared" si="3"/>
        <v>--</v>
      </c>
      <c r="N34" s="265">
        <f t="shared" si="4"/>
        <v>89.63030664000001</v>
      </c>
      <c r="O34" s="270" t="str">
        <f t="shared" si="5"/>
        <v>--</v>
      </c>
      <c r="P34" s="275" t="str">
        <f t="shared" si="6"/>
        <v>--</v>
      </c>
      <c r="Q34" s="276" t="str">
        <f t="shared" si="7"/>
        <v>--</v>
      </c>
      <c r="R34" s="277" t="str">
        <f t="shared" si="8"/>
        <v>--</v>
      </c>
      <c r="S34" s="290" t="str">
        <f t="shared" si="9"/>
        <v>--</v>
      </c>
      <c r="T34" s="294" t="str">
        <f t="shared" si="10"/>
        <v>--</v>
      </c>
      <c r="U34" s="298" t="str">
        <f t="shared" si="11"/>
        <v>--</v>
      </c>
      <c r="V34" s="303" t="str">
        <f t="shared" si="12"/>
        <v>--</v>
      </c>
      <c r="W34" s="308" t="str">
        <f t="shared" si="13"/>
        <v>--</v>
      </c>
      <c r="X34" s="56" t="str">
        <f t="shared" si="14"/>
        <v>SI</v>
      </c>
      <c r="Y34" s="57">
        <f t="shared" si="15"/>
        <v>89.63030664000001</v>
      </c>
      <c r="Z34" s="10"/>
    </row>
    <row r="35" spans="1:26" s="9" customFormat="1" ht="15">
      <c r="A35" s="7"/>
      <c r="B35" s="105"/>
      <c r="C35" s="11">
        <v>15</v>
      </c>
      <c r="D35" s="55" t="s">
        <v>10</v>
      </c>
      <c r="E35" s="8">
        <v>132</v>
      </c>
      <c r="F35" s="45">
        <v>17</v>
      </c>
      <c r="G35" s="248">
        <f t="shared" si="0"/>
        <v>12.648500000000002</v>
      </c>
      <c r="H35" s="22">
        <v>36723.37152777778</v>
      </c>
      <c r="I35" s="29">
        <v>36723.708333333336</v>
      </c>
      <c r="J35" s="23">
        <f t="shared" si="1"/>
        <v>8.08333333331393</v>
      </c>
      <c r="K35" s="24">
        <f t="shared" si="2"/>
        <v>485</v>
      </c>
      <c r="L35" s="25" t="s">
        <v>140</v>
      </c>
      <c r="M35" s="26" t="str">
        <f t="shared" si="3"/>
        <v>--</v>
      </c>
      <c r="N35" s="265">
        <f t="shared" si="4"/>
        <v>30.659964000000006</v>
      </c>
      <c r="O35" s="270" t="str">
        <f t="shared" si="5"/>
        <v>--</v>
      </c>
      <c r="P35" s="275" t="str">
        <f t="shared" si="6"/>
        <v>--</v>
      </c>
      <c r="Q35" s="276" t="str">
        <f t="shared" si="7"/>
        <v>--</v>
      </c>
      <c r="R35" s="277" t="str">
        <f t="shared" si="8"/>
        <v>--</v>
      </c>
      <c r="S35" s="290" t="str">
        <f t="shared" si="9"/>
        <v>--</v>
      </c>
      <c r="T35" s="294" t="str">
        <f t="shared" si="10"/>
        <v>--</v>
      </c>
      <c r="U35" s="298" t="str">
        <f t="shared" si="11"/>
        <v>--</v>
      </c>
      <c r="V35" s="303" t="str">
        <f t="shared" si="12"/>
        <v>--</v>
      </c>
      <c r="W35" s="308" t="str">
        <f t="shared" si="13"/>
        <v>--</v>
      </c>
      <c r="X35" s="56" t="str">
        <f t="shared" si="14"/>
        <v>SI</v>
      </c>
      <c r="Y35" s="57">
        <f t="shared" si="15"/>
        <v>30.659964000000006</v>
      </c>
      <c r="Z35" s="10"/>
    </row>
    <row r="36" spans="1:26" s="9" customFormat="1" ht="15">
      <c r="A36" s="7"/>
      <c r="B36" s="105"/>
      <c r="C36" s="11">
        <v>16</v>
      </c>
      <c r="D36" s="55" t="s">
        <v>11</v>
      </c>
      <c r="E36" s="8">
        <v>132</v>
      </c>
      <c r="F36" s="45">
        <v>105</v>
      </c>
      <c r="G36" s="248">
        <f t="shared" si="0"/>
        <v>53.12370000000001</v>
      </c>
      <c r="H36" s="22">
        <v>36723.37152777778</v>
      </c>
      <c r="I36" s="29">
        <v>36723.714583333334</v>
      </c>
      <c r="J36" s="23">
        <f t="shared" si="1"/>
        <v>8.233333333279006</v>
      </c>
      <c r="K36" s="24">
        <f t="shared" si="2"/>
        <v>494</v>
      </c>
      <c r="L36" s="25" t="s">
        <v>140</v>
      </c>
      <c r="M36" s="26" t="str">
        <f t="shared" si="3"/>
        <v>--</v>
      </c>
      <c r="N36" s="265">
        <f t="shared" si="4"/>
        <v>131.16241530000002</v>
      </c>
      <c r="O36" s="270" t="str">
        <f t="shared" si="5"/>
        <v>--</v>
      </c>
      <c r="P36" s="275" t="str">
        <f t="shared" si="6"/>
        <v>--</v>
      </c>
      <c r="Q36" s="276" t="str">
        <f t="shared" si="7"/>
        <v>--</v>
      </c>
      <c r="R36" s="277" t="str">
        <f t="shared" si="8"/>
        <v>--</v>
      </c>
      <c r="S36" s="290" t="str">
        <f t="shared" si="9"/>
        <v>--</v>
      </c>
      <c r="T36" s="294" t="str">
        <f t="shared" si="10"/>
        <v>--</v>
      </c>
      <c r="U36" s="298" t="str">
        <f t="shared" si="11"/>
        <v>--</v>
      </c>
      <c r="V36" s="303" t="str">
        <f t="shared" si="12"/>
        <v>--</v>
      </c>
      <c r="W36" s="308" t="str">
        <f t="shared" si="13"/>
        <v>--</v>
      </c>
      <c r="X36" s="56" t="str">
        <f t="shared" si="14"/>
        <v>SI</v>
      </c>
      <c r="Y36" s="57">
        <f t="shared" si="15"/>
        <v>131.16241530000002</v>
      </c>
      <c r="Z36" s="10"/>
    </row>
    <row r="37" spans="1:26" s="9" customFormat="1" ht="15">
      <c r="A37" s="7"/>
      <c r="B37" s="105"/>
      <c r="C37" s="11">
        <v>17</v>
      </c>
      <c r="D37" s="55" t="s">
        <v>16</v>
      </c>
      <c r="E37" s="8">
        <v>132</v>
      </c>
      <c r="F37" s="45">
        <v>49</v>
      </c>
      <c r="G37" s="248">
        <f t="shared" si="0"/>
        <v>24.79106</v>
      </c>
      <c r="H37" s="22">
        <v>36723.38958333333</v>
      </c>
      <c r="I37" s="29">
        <v>36723.69236111111</v>
      </c>
      <c r="J37" s="23">
        <f t="shared" si="1"/>
        <v>7.2666666667792015</v>
      </c>
      <c r="K37" s="24">
        <f t="shared" si="2"/>
        <v>436</v>
      </c>
      <c r="L37" s="25" t="s">
        <v>140</v>
      </c>
      <c r="M37" s="26" t="str">
        <f t="shared" si="3"/>
        <v>--</v>
      </c>
      <c r="N37" s="265">
        <f t="shared" si="4"/>
        <v>54.069301859999996</v>
      </c>
      <c r="O37" s="270" t="str">
        <f t="shared" si="5"/>
        <v>--</v>
      </c>
      <c r="P37" s="275" t="str">
        <f t="shared" si="6"/>
        <v>--</v>
      </c>
      <c r="Q37" s="276" t="str">
        <f t="shared" si="7"/>
        <v>--</v>
      </c>
      <c r="R37" s="277" t="str">
        <f t="shared" si="8"/>
        <v>--</v>
      </c>
      <c r="S37" s="290" t="str">
        <f t="shared" si="9"/>
        <v>--</v>
      </c>
      <c r="T37" s="294" t="str">
        <f t="shared" si="10"/>
        <v>--</v>
      </c>
      <c r="U37" s="298" t="str">
        <f t="shared" si="11"/>
        <v>--</v>
      </c>
      <c r="V37" s="303" t="str">
        <f t="shared" si="12"/>
        <v>--</v>
      </c>
      <c r="W37" s="308" t="str">
        <f t="shared" si="13"/>
        <v>--</v>
      </c>
      <c r="X37" s="56" t="str">
        <f t="shared" si="14"/>
        <v>SI</v>
      </c>
      <c r="Y37" s="57">
        <f t="shared" si="15"/>
        <v>54.069301859999996</v>
      </c>
      <c r="Z37" s="10"/>
    </row>
    <row r="38" spans="1:26" s="9" customFormat="1" ht="15">
      <c r="A38" s="7"/>
      <c r="B38" s="105"/>
      <c r="C38" s="11">
        <v>18</v>
      </c>
      <c r="D38" s="55" t="s">
        <v>12</v>
      </c>
      <c r="E38" s="8">
        <v>132</v>
      </c>
      <c r="F38" s="45">
        <v>27</v>
      </c>
      <c r="G38" s="248">
        <f t="shared" si="0"/>
        <v>13.660380000000002</v>
      </c>
      <c r="H38" s="22">
        <v>36723.39444444444</v>
      </c>
      <c r="I38" s="29">
        <v>36723.68958333333</v>
      </c>
      <c r="J38" s="23">
        <f t="shared" si="1"/>
        <v>7.083333333372138</v>
      </c>
      <c r="K38" s="24">
        <f t="shared" si="2"/>
        <v>425</v>
      </c>
      <c r="L38" s="25" t="s">
        <v>140</v>
      </c>
      <c r="M38" s="26" t="str">
        <f t="shared" si="3"/>
        <v>--</v>
      </c>
      <c r="N38" s="265">
        <f t="shared" si="4"/>
        <v>29.014647120000006</v>
      </c>
      <c r="O38" s="270" t="str">
        <f t="shared" si="5"/>
        <v>--</v>
      </c>
      <c r="P38" s="275" t="str">
        <f t="shared" si="6"/>
        <v>--</v>
      </c>
      <c r="Q38" s="276" t="str">
        <f t="shared" si="7"/>
        <v>--</v>
      </c>
      <c r="R38" s="277" t="str">
        <f t="shared" si="8"/>
        <v>--</v>
      </c>
      <c r="S38" s="290" t="str">
        <f t="shared" si="9"/>
        <v>--</v>
      </c>
      <c r="T38" s="294" t="str">
        <f t="shared" si="10"/>
        <v>--</v>
      </c>
      <c r="U38" s="298" t="str">
        <f t="shared" si="11"/>
        <v>--</v>
      </c>
      <c r="V38" s="303" t="str">
        <f t="shared" si="12"/>
        <v>--</v>
      </c>
      <c r="W38" s="308" t="str">
        <f t="shared" si="13"/>
        <v>--</v>
      </c>
      <c r="X38" s="56" t="str">
        <f t="shared" si="14"/>
        <v>SI</v>
      </c>
      <c r="Y38" s="57">
        <f t="shared" si="15"/>
        <v>29.014647120000006</v>
      </c>
      <c r="Z38" s="10"/>
    </row>
    <row r="39" spans="1:26" s="9" customFormat="1" ht="15">
      <c r="A39" s="7"/>
      <c r="B39" s="105"/>
      <c r="C39" s="11">
        <v>19</v>
      </c>
      <c r="D39" s="55" t="s">
        <v>8</v>
      </c>
      <c r="E39" s="8">
        <v>132</v>
      </c>
      <c r="F39" s="45">
        <v>17.1</v>
      </c>
      <c r="G39" s="248">
        <f t="shared" si="0"/>
        <v>12.648500000000002</v>
      </c>
      <c r="H39" s="22">
        <v>36725.33472222222</v>
      </c>
      <c r="I39" s="29">
        <v>36725.603472222225</v>
      </c>
      <c r="J39" s="23">
        <f t="shared" si="1"/>
        <v>6.450000000069849</v>
      </c>
      <c r="K39" s="24">
        <f t="shared" si="2"/>
        <v>387</v>
      </c>
      <c r="L39" s="25" t="s">
        <v>140</v>
      </c>
      <c r="M39" s="26" t="str">
        <f t="shared" si="3"/>
        <v>--</v>
      </c>
      <c r="N39" s="265">
        <f t="shared" si="4"/>
        <v>24.474847500000006</v>
      </c>
      <c r="O39" s="270" t="str">
        <f t="shared" si="5"/>
        <v>--</v>
      </c>
      <c r="P39" s="275" t="str">
        <f t="shared" si="6"/>
        <v>--</v>
      </c>
      <c r="Q39" s="276" t="str">
        <f t="shared" si="7"/>
        <v>--</v>
      </c>
      <c r="R39" s="277" t="str">
        <f t="shared" si="8"/>
        <v>--</v>
      </c>
      <c r="S39" s="290" t="str">
        <f t="shared" si="9"/>
        <v>--</v>
      </c>
      <c r="T39" s="294" t="str">
        <f t="shared" si="10"/>
        <v>--</v>
      </c>
      <c r="U39" s="298" t="str">
        <f t="shared" si="11"/>
        <v>--</v>
      </c>
      <c r="V39" s="303" t="str">
        <f t="shared" si="12"/>
        <v>--</v>
      </c>
      <c r="W39" s="308" t="str">
        <f t="shared" si="13"/>
        <v>--</v>
      </c>
      <c r="X39" s="56" t="str">
        <f t="shared" si="14"/>
        <v>SI</v>
      </c>
      <c r="Y39" s="57">
        <f t="shared" si="15"/>
        <v>24.474847500000006</v>
      </c>
      <c r="Z39" s="10"/>
    </row>
    <row r="40" spans="1:26" s="9" customFormat="1" ht="15">
      <c r="A40" s="7"/>
      <c r="B40" s="105"/>
      <c r="C40" s="11">
        <v>20</v>
      </c>
      <c r="D40" s="55" t="s">
        <v>4</v>
      </c>
      <c r="E40" s="8">
        <v>132</v>
      </c>
      <c r="F40" s="45">
        <v>21</v>
      </c>
      <c r="G40" s="248">
        <f t="shared" si="0"/>
        <v>12.648500000000002</v>
      </c>
      <c r="H40" s="22">
        <v>36725.66180555556</v>
      </c>
      <c r="I40" s="29">
        <v>36725.70625</v>
      </c>
      <c r="J40" s="23">
        <f t="shared" si="1"/>
        <v>1.0666666666511446</v>
      </c>
      <c r="K40" s="24">
        <f t="shared" si="2"/>
        <v>64</v>
      </c>
      <c r="L40" s="25" t="s">
        <v>140</v>
      </c>
      <c r="M40" s="26" t="str">
        <f t="shared" si="3"/>
        <v>--</v>
      </c>
      <c r="N40" s="265">
        <f t="shared" si="4"/>
        <v>4.060168500000001</v>
      </c>
      <c r="O40" s="270" t="str">
        <f t="shared" si="5"/>
        <v>--</v>
      </c>
      <c r="P40" s="275" t="str">
        <f t="shared" si="6"/>
        <v>--</v>
      </c>
      <c r="Q40" s="276" t="str">
        <f t="shared" si="7"/>
        <v>--</v>
      </c>
      <c r="R40" s="277" t="str">
        <f t="shared" si="8"/>
        <v>--</v>
      </c>
      <c r="S40" s="290" t="str">
        <f t="shared" si="9"/>
        <v>--</v>
      </c>
      <c r="T40" s="294" t="str">
        <f t="shared" si="10"/>
        <v>--</v>
      </c>
      <c r="U40" s="298" t="str">
        <f t="shared" si="11"/>
        <v>--</v>
      </c>
      <c r="V40" s="303" t="str">
        <f t="shared" si="12"/>
        <v>--</v>
      </c>
      <c r="W40" s="308" t="str">
        <f t="shared" si="13"/>
        <v>--</v>
      </c>
      <c r="X40" s="56" t="str">
        <f t="shared" si="14"/>
        <v>SI</v>
      </c>
      <c r="Y40" s="57">
        <f t="shared" si="15"/>
        <v>4.060168500000001</v>
      </c>
      <c r="Z40" s="10"/>
    </row>
    <row r="41" spans="1:26" s="9" customFormat="1" ht="15.75" thickBot="1">
      <c r="A41" s="7"/>
      <c r="B41" s="105"/>
      <c r="C41" s="58"/>
      <c r="D41" s="59"/>
      <c r="E41" s="60"/>
      <c r="F41" s="61"/>
      <c r="G41" s="249"/>
      <c r="H41" s="27"/>
      <c r="I41" s="27"/>
      <c r="J41" s="27"/>
      <c r="K41" s="27"/>
      <c r="L41" s="27"/>
      <c r="M41" s="62"/>
      <c r="N41" s="266"/>
      <c r="O41" s="271"/>
      <c r="P41" s="278"/>
      <c r="Q41" s="279"/>
      <c r="R41" s="280"/>
      <c r="S41" s="291"/>
      <c r="T41" s="295"/>
      <c r="U41" s="299"/>
      <c r="V41" s="304"/>
      <c r="W41" s="309"/>
      <c r="X41" s="28"/>
      <c r="Y41" s="146"/>
      <c r="Z41" s="10"/>
    </row>
    <row r="42" spans="1:26" s="9" customFormat="1" ht="17.25" thickBot="1" thickTop="1">
      <c r="A42" s="7"/>
      <c r="B42" s="105"/>
      <c r="C42" s="234" t="s">
        <v>97</v>
      </c>
      <c r="D42" s="235" t="s">
        <v>98</v>
      </c>
      <c r="E42" s="7"/>
      <c r="F42" s="7"/>
      <c r="G42" s="7"/>
      <c r="H42" s="7"/>
      <c r="I42" s="7"/>
      <c r="J42" s="7"/>
      <c r="K42" s="7"/>
      <c r="L42" s="7"/>
      <c r="M42" s="7"/>
      <c r="N42" s="283">
        <f aca="true" t="shared" si="16" ref="N42:W42">SUM(N19:N41)</f>
        <v>1095.0441556482</v>
      </c>
      <c r="O42" s="284">
        <f t="shared" si="16"/>
        <v>0</v>
      </c>
      <c r="P42" s="310">
        <f t="shared" si="16"/>
        <v>4128.4704</v>
      </c>
      <c r="Q42" s="310">
        <f t="shared" si="16"/>
        <v>5546.114280000001</v>
      </c>
      <c r="R42" s="310">
        <f t="shared" si="16"/>
        <v>1977.6435689999998</v>
      </c>
      <c r="S42" s="311">
        <f t="shared" si="16"/>
        <v>0</v>
      </c>
      <c r="T42" s="311">
        <f t="shared" si="16"/>
        <v>0</v>
      </c>
      <c r="U42" s="311">
        <f t="shared" si="16"/>
        <v>0</v>
      </c>
      <c r="V42" s="312">
        <f t="shared" si="16"/>
        <v>0</v>
      </c>
      <c r="W42" s="313">
        <f t="shared" si="16"/>
        <v>0</v>
      </c>
      <c r="X42" s="7"/>
      <c r="Y42" s="245">
        <f>ROUND(SUM(Y19:Y41),2)</f>
        <v>12747.27</v>
      </c>
      <c r="Z42" s="10"/>
    </row>
    <row r="43" spans="1:26" s="240" customFormat="1" ht="13.5" thickTop="1">
      <c r="A43" s="238"/>
      <c r="B43" s="239"/>
      <c r="C43" s="236"/>
      <c r="D43" s="237" t="s">
        <v>99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41"/>
    </row>
    <row r="44" spans="1:26" s="9" customFormat="1" ht="13.5" thickBot="1">
      <c r="A44" s="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</row>
    <row r="45" spans="1:2" ht="13.5" thickTop="1">
      <c r="A45" s="1"/>
      <c r="B45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Z45"/>
  <sheetViews>
    <sheetView zoomScale="75" zoomScaleNormal="75" workbookViewId="0" topLeftCell="A1">
      <selection activeCell="Y8" sqref="Y8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91"/>
    </row>
    <row r="2" spans="1:26" s="72" customFormat="1" ht="26.25">
      <c r="A2" s="82"/>
      <c r="B2" s="150" t="str">
        <f>+'tot-0007'!B2</f>
        <v>ANEXO I A LA RESOLUCION ENRE N° 336/2001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65</v>
      </c>
      <c r="B4" s="154"/>
      <c r="Z4" s="80"/>
    </row>
    <row r="5" spans="1:26" s="79" customFormat="1" ht="11.25">
      <c r="A5" s="153" t="s">
        <v>66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74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75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83" customFormat="1" ht="20.25">
      <c r="A12" s="84"/>
      <c r="B12" s="139"/>
      <c r="C12" s="84"/>
      <c r="D12" s="33" t="s">
        <v>76</v>
      </c>
      <c r="E12" s="33"/>
      <c r="F12" s="84"/>
      <c r="G12" s="141"/>
      <c r="H12" s="141"/>
      <c r="I12" s="141"/>
      <c r="J12" s="141"/>
      <c r="K12" s="141"/>
      <c r="L12" s="141"/>
      <c r="M12" s="14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40"/>
    </row>
    <row r="13" spans="1:26" s="9" customFormat="1" ht="12.75">
      <c r="A13" s="7"/>
      <c r="B13" s="105"/>
      <c r="C13" s="7"/>
      <c r="D13" s="137"/>
      <c r="E13" s="135"/>
      <c r="F13" s="7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0" customFormat="1" ht="18.75">
      <c r="A14" s="97"/>
      <c r="B14" s="91" t="str">
        <f>+'tot-0007'!B14</f>
        <v>Desde el 01 al 31 de julio de 2000</v>
      </c>
      <c r="C14" s="95"/>
      <c r="D14" s="95"/>
      <c r="E14" s="147"/>
      <c r="F14" s="148"/>
      <c r="G14" s="149"/>
      <c r="H14" s="149"/>
      <c r="I14" s="149"/>
      <c r="J14" s="149"/>
      <c r="K14" s="149"/>
      <c r="L14" s="149"/>
      <c r="M14" s="149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26" s="9" customFormat="1" ht="13.5" thickBot="1">
      <c r="A15" s="7"/>
      <c r="B15" s="105"/>
      <c r="C15" s="7"/>
      <c r="D15" s="7"/>
      <c r="E15" s="7"/>
      <c r="F15" s="138"/>
      <c r="G15" s="129"/>
      <c r="H15" s="129"/>
      <c r="I15" s="129"/>
      <c r="J15" s="129"/>
      <c r="K15" s="129"/>
      <c r="L15" s="129"/>
      <c r="M15" s="1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142" t="s">
        <v>77</v>
      </c>
      <c r="E16" s="388">
        <v>50.594</v>
      </c>
      <c r="F16" s="260"/>
      <c r="G16" s="7"/>
      <c r="H16"/>
      <c r="I16" s="143" t="s">
        <v>78</v>
      </c>
      <c r="J16" s="144">
        <f>30*'tot-0007'!B13</f>
        <v>30</v>
      </c>
      <c r="K16" s="242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5"/>
      <c r="C17" s="7"/>
      <c r="D17" s="7"/>
      <c r="E17" s="7"/>
      <c r="F17" s="7"/>
      <c r="G17" s="7"/>
      <c r="H17" s="1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5"/>
      <c r="C18" s="155" t="s">
        <v>79</v>
      </c>
      <c r="D18" s="156" t="s">
        <v>2</v>
      </c>
      <c r="E18" s="157" t="s">
        <v>80</v>
      </c>
      <c r="F18" s="158" t="s">
        <v>81</v>
      </c>
      <c r="G18" s="246" t="s">
        <v>82</v>
      </c>
      <c r="H18" s="156" t="s">
        <v>83</v>
      </c>
      <c r="I18" s="156" t="s">
        <v>84</v>
      </c>
      <c r="J18" s="157" t="s">
        <v>85</v>
      </c>
      <c r="K18" s="157" t="s">
        <v>86</v>
      </c>
      <c r="L18" s="159" t="s">
        <v>87</v>
      </c>
      <c r="M18" s="157" t="s">
        <v>88</v>
      </c>
      <c r="N18" s="262" t="s">
        <v>89</v>
      </c>
      <c r="O18" s="267" t="s">
        <v>90</v>
      </c>
      <c r="P18" s="272" t="s">
        <v>91</v>
      </c>
      <c r="Q18" s="273"/>
      <c r="R18" s="274"/>
      <c r="S18" s="285" t="s">
        <v>92</v>
      </c>
      <c r="T18" s="286"/>
      <c r="U18" s="287"/>
      <c r="V18" s="300" t="s">
        <v>93</v>
      </c>
      <c r="W18" s="305" t="s">
        <v>94</v>
      </c>
      <c r="X18" s="160" t="s">
        <v>95</v>
      </c>
      <c r="Y18" s="257" t="s">
        <v>96</v>
      </c>
      <c r="Z18" s="10"/>
    </row>
    <row r="19" spans="1:26" s="9" customFormat="1" ht="15.75" thickTop="1">
      <c r="A19" s="7"/>
      <c r="B19" s="105"/>
      <c r="C19" s="13"/>
      <c r="D19" s="17" t="s">
        <v>138</v>
      </c>
      <c r="E19" s="14"/>
      <c r="F19" s="15"/>
      <c r="G19" s="261"/>
      <c r="H19" s="16"/>
      <c r="I19" s="16"/>
      <c r="J19" s="11"/>
      <c r="K19" s="11"/>
      <c r="L19" s="17"/>
      <c r="M19" s="11"/>
      <c r="N19" s="263"/>
      <c r="O19" s="268"/>
      <c r="P19" s="275"/>
      <c r="Q19" s="281"/>
      <c r="R19" s="282"/>
      <c r="S19" s="288"/>
      <c r="T19" s="292"/>
      <c r="U19" s="296"/>
      <c r="V19" s="301"/>
      <c r="W19" s="306"/>
      <c r="X19" s="54"/>
      <c r="Y19" s="258">
        <f>ROUND('LI-0007'!Y42,2)</f>
        <v>12747.27</v>
      </c>
      <c r="Z19" s="10"/>
    </row>
    <row r="20" spans="1:26" s="9" customFormat="1" ht="15">
      <c r="A20" s="7"/>
      <c r="B20" s="105"/>
      <c r="C20" s="18"/>
      <c r="D20" s="19"/>
      <c r="E20" s="18"/>
      <c r="F20" s="18"/>
      <c r="G20" s="247"/>
      <c r="H20" s="18"/>
      <c r="I20" s="20"/>
      <c r="J20" s="20"/>
      <c r="K20" s="20"/>
      <c r="L20" s="19"/>
      <c r="M20" s="18"/>
      <c r="N20" s="264"/>
      <c r="O20" s="269"/>
      <c r="P20" s="275"/>
      <c r="Q20" s="281"/>
      <c r="R20" s="282"/>
      <c r="S20" s="289"/>
      <c r="T20" s="293"/>
      <c r="U20" s="297"/>
      <c r="V20" s="302"/>
      <c r="W20" s="307"/>
      <c r="X20" s="21"/>
      <c r="Y20" s="145"/>
      <c r="Z20" s="10"/>
    </row>
    <row r="21" spans="1:26" s="9" customFormat="1" ht="15">
      <c r="A21" s="7"/>
      <c r="B21" s="105"/>
      <c r="C21" s="11">
        <v>21</v>
      </c>
      <c r="D21" s="55" t="s">
        <v>8</v>
      </c>
      <c r="E21" s="8">
        <v>132</v>
      </c>
      <c r="F21" s="45">
        <v>17.1</v>
      </c>
      <c r="G21" s="248">
        <f aca="true" t="shared" si="0" ref="G21:G40">$E$16/100*IF(F21&gt;25,F21,25)</f>
        <v>12.648500000000002</v>
      </c>
      <c r="H21" s="22">
        <v>36726.36388888889</v>
      </c>
      <c r="I21" s="29">
        <v>36726.62222222222</v>
      </c>
      <c r="J21" s="23">
        <f aca="true" t="shared" si="1" ref="J21:J40">IF(D21="","",(I21-H21)*24)</f>
        <v>6.199999999953434</v>
      </c>
      <c r="K21" s="24">
        <f aca="true" t="shared" si="2" ref="K21:K40">IF(D21="","",ROUND((I21-H21)*24*60,0))</f>
        <v>372</v>
      </c>
      <c r="L21" s="25" t="s">
        <v>140</v>
      </c>
      <c r="M21" s="26" t="str">
        <f aca="true" t="shared" si="3" ref="M21:M40">IF(D21="","","--")</f>
        <v>--</v>
      </c>
      <c r="N21" s="265">
        <f aca="true" t="shared" si="4" ref="N21:N40">IF(L21="P",ROUND(K21/60,2)*G21*$J$16*0.01,"--")</f>
        <v>23.526210000000003</v>
      </c>
      <c r="O21" s="270" t="str">
        <f aca="true" t="shared" si="5" ref="O21:O40">IF(L21="RP",G21*M21*ROUND(J21/60,2)*0.01*K21/100,"--")</f>
        <v>--</v>
      </c>
      <c r="P21" s="275" t="str">
        <f aca="true" t="shared" si="6" ref="P21:P40">IF(L21="F",G21*$J$16,"--")</f>
        <v>--</v>
      </c>
      <c r="Q21" s="276" t="str">
        <f aca="true" t="shared" si="7" ref="Q21:Q40">IF(AND(K21&gt;10,L21="F"),G21*$J$16*IF(K21&gt;180,3,ROUND((K21)/60,2)),"--")</f>
        <v>--</v>
      </c>
      <c r="R21" s="277" t="str">
        <f aca="true" t="shared" si="8" ref="R21:R40">IF(AND(K21&gt;180,L21="F"),(ROUND(K21/60,2)-3)*G21*$J$16*0.1,"--")</f>
        <v>--</v>
      </c>
      <c r="S21" s="290" t="str">
        <f aca="true" t="shared" si="9" ref="S21:S40">IF(L21="R",G21*$J$16*M21/100,"--")</f>
        <v>--</v>
      </c>
      <c r="T21" s="294" t="str">
        <f aca="true" t="shared" si="10" ref="T21:T40">IF(AND(K21&gt;10,L21="R"),G21*$J$16*M21/100*IF(K21&gt;180,3,ROUND(K21/60,2)),"--")</f>
        <v>--</v>
      </c>
      <c r="U21" s="298" t="str">
        <f aca="true" t="shared" si="11" ref="U21:U40">IF(AND(K21&gt;180,L21="R"),(ROUND(K21/60,2)-3)*G21*$J$16*0.1*M21/100,"--")</f>
        <v>--</v>
      </c>
      <c r="V21" s="303" t="str">
        <f aca="true" t="shared" si="12" ref="V21:V40">IF(L21="RF",ROUND(K21/60,2)*G21*$J$16*0.1,"--")</f>
        <v>--</v>
      </c>
      <c r="W21" s="308" t="str">
        <f aca="true" t="shared" si="13" ref="W21:W40">IF(L21="RR",ROUND(K21/60,2)*G21*$J$16*0.1*M21/100,"--")</f>
        <v>--</v>
      </c>
      <c r="X21" s="56" t="str">
        <f aca="true" t="shared" si="14" ref="X21:X40">IF(D21="","","SI")</f>
        <v>SI</v>
      </c>
      <c r="Y21" s="57">
        <f aca="true" t="shared" si="15" ref="Y21:Y40">IF(D21="","",SUM(N21:W21)*IF(X21="SI",1,2))</f>
        <v>23.526210000000003</v>
      </c>
      <c r="Z21" s="386"/>
    </row>
    <row r="22" spans="1:26" s="9" customFormat="1" ht="15">
      <c r="A22" s="7"/>
      <c r="B22" s="105"/>
      <c r="C22" s="11">
        <v>22</v>
      </c>
      <c r="D22" s="55" t="s">
        <v>123</v>
      </c>
      <c r="E22" s="8">
        <v>132</v>
      </c>
      <c r="F22" s="45">
        <v>17</v>
      </c>
      <c r="G22" s="248">
        <f t="shared" si="0"/>
        <v>12.648500000000002</v>
      </c>
      <c r="H22" s="22">
        <v>36726.62430555555</v>
      </c>
      <c r="I22" s="29">
        <v>36726.63680555556</v>
      </c>
      <c r="J22" s="23">
        <f t="shared" si="1"/>
        <v>0.3000000001047738</v>
      </c>
      <c r="K22" s="24">
        <f t="shared" si="2"/>
        <v>18</v>
      </c>
      <c r="L22" s="25" t="s">
        <v>141</v>
      </c>
      <c r="M22" s="26" t="str">
        <f t="shared" si="3"/>
        <v>--</v>
      </c>
      <c r="N22" s="265" t="str">
        <f t="shared" si="4"/>
        <v>--</v>
      </c>
      <c r="O22" s="270" t="str">
        <f t="shared" si="5"/>
        <v>--</v>
      </c>
      <c r="P22" s="275">
        <f t="shared" si="6"/>
        <v>379.45500000000004</v>
      </c>
      <c r="Q22" s="276">
        <f t="shared" si="7"/>
        <v>113.83650000000002</v>
      </c>
      <c r="R22" s="277" t="str">
        <f t="shared" si="8"/>
        <v>--</v>
      </c>
      <c r="S22" s="290" t="str">
        <f t="shared" si="9"/>
        <v>--</v>
      </c>
      <c r="T22" s="294" t="str">
        <f t="shared" si="10"/>
        <v>--</v>
      </c>
      <c r="U22" s="298" t="str">
        <f t="shared" si="11"/>
        <v>--</v>
      </c>
      <c r="V22" s="303" t="str">
        <f t="shared" si="12"/>
        <v>--</v>
      </c>
      <c r="W22" s="308" t="str">
        <f t="shared" si="13"/>
        <v>--</v>
      </c>
      <c r="X22" s="56" t="str">
        <f t="shared" si="14"/>
        <v>SI</v>
      </c>
      <c r="Y22" s="57">
        <f t="shared" si="15"/>
        <v>493.29150000000004</v>
      </c>
      <c r="Z22" s="386"/>
    </row>
    <row r="23" spans="1:26" s="9" customFormat="1" ht="15">
      <c r="A23" s="7"/>
      <c r="B23" s="105"/>
      <c r="C23" s="11">
        <v>23</v>
      </c>
      <c r="D23" s="55" t="s">
        <v>17</v>
      </c>
      <c r="E23" s="8">
        <v>132</v>
      </c>
      <c r="F23" s="45">
        <v>31.5</v>
      </c>
      <c r="G23" s="248">
        <f t="shared" si="0"/>
        <v>15.937110000000002</v>
      </c>
      <c r="H23" s="22">
        <v>36726.62430555555</v>
      </c>
      <c r="I23" s="29">
        <v>36726.63611111111</v>
      </c>
      <c r="J23" s="23">
        <f t="shared" si="1"/>
        <v>0.28333333338378</v>
      </c>
      <c r="K23" s="24">
        <f t="shared" si="2"/>
        <v>17</v>
      </c>
      <c r="L23" s="25" t="s">
        <v>141</v>
      </c>
      <c r="M23" s="26" t="str">
        <f t="shared" si="3"/>
        <v>--</v>
      </c>
      <c r="N23" s="265" t="str">
        <f t="shared" si="4"/>
        <v>--</v>
      </c>
      <c r="O23" s="270" t="str">
        <f t="shared" si="5"/>
        <v>--</v>
      </c>
      <c r="P23" s="275">
        <f t="shared" si="6"/>
        <v>478.1133000000001</v>
      </c>
      <c r="Q23" s="276">
        <f t="shared" si="7"/>
        <v>133.87172400000003</v>
      </c>
      <c r="R23" s="277" t="str">
        <f t="shared" si="8"/>
        <v>--</v>
      </c>
      <c r="S23" s="290" t="str">
        <f t="shared" si="9"/>
        <v>--</v>
      </c>
      <c r="T23" s="294" t="str">
        <f t="shared" si="10"/>
        <v>--</v>
      </c>
      <c r="U23" s="298" t="str">
        <f t="shared" si="11"/>
        <v>--</v>
      </c>
      <c r="V23" s="303" t="str">
        <f t="shared" si="12"/>
        <v>--</v>
      </c>
      <c r="W23" s="308" t="str">
        <f t="shared" si="13"/>
        <v>--</v>
      </c>
      <c r="X23" s="56" t="str">
        <f t="shared" si="14"/>
        <v>SI</v>
      </c>
      <c r="Y23" s="57">
        <f t="shared" si="15"/>
        <v>611.9850240000001</v>
      </c>
      <c r="Z23" s="386"/>
    </row>
    <row r="24" spans="1:26" s="9" customFormat="1" ht="15">
      <c r="A24" s="7"/>
      <c r="B24" s="105"/>
      <c r="C24" s="11">
        <v>24</v>
      </c>
      <c r="D24" s="55" t="s">
        <v>8</v>
      </c>
      <c r="E24" s="8">
        <v>132</v>
      </c>
      <c r="F24" s="45">
        <v>17.1</v>
      </c>
      <c r="G24" s="248">
        <f t="shared" si="0"/>
        <v>12.648500000000002</v>
      </c>
      <c r="H24" s="22">
        <v>36727.364583333336</v>
      </c>
      <c r="I24" s="29">
        <v>36727.60555555556</v>
      </c>
      <c r="J24" s="23">
        <f t="shared" si="1"/>
        <v>5.783333333325572</v>
      </c>
      <c r="K24" s="24">
        <f t="shared" si="2"/>
        <v>347</v>
      </c>
      <c r="L24" s="25" t="s">
        <v>140</v>
      </c>
      <c r="M24" s="26" t="str">
        <f t="shared" si="3"/>
        <v>--</v>
      </c>
      <c r="N24" s="265">
        <f t="shared" si="4"/>
        <v>21.932499000000004</v>
      </c>
      <c r="O24" s="270" t="str">
        <f t="shared" si="5"/>
        <v>--</v>
      </c>
      <c r="P24" s="275" t="str">
        <f t="shared" si="6"/>
        <v>--</v>
      </c>
      <c r="Q24" s="276" t="str">
        <f t="shared" si="7"/>
        <v>--</v>
      </c>
      <c r="R24" s="277" t="str">
        <f t="shared" si="8"/>
        <v>--</v>
      </c>
      <c r="S24" s="290" t="str">
        <f t="shared" si="9"/>
        <v>--</v>
      </c>
      <c r="T24" s="294" t="str">
        <f t="shared" si="10"/>
        <v>--</v>
      </c>
      <c r="U24" s="298" t="str">
        <f t="shared" si="11"/>
        <v>--</v>
      </c>
      <c r="V24" s="303" t="str">
        <f t="shared" si="12"/>
        <v>--</v>
      </c>
      <c r="W24" s="308" t="str">
        <f t="shared" si="13"/>
        <v>--</v>
      </c>
      <c r="X24" s="56" t="str">
        <f t="shared" si="14"/>
        <v>SI</v>
      </c>
      <c r="Y24" s="57">
        <f t="shared" si="15"/>
        <v>21.932499000000004</v>
      </c>
      <c r="Z24" s="386"/>
    </row>
    <row r="25" spans="1:26" s="9" customFormat="1" ht="15">
      <c r="A25" s="7"/>
      <c r="B25" s="105"/>
      <c r="C25" s="11">
        <v>25</v>
      </c>
      <c r="D25" s="55" t="s">
        <v>3</v>
      </c>
      <c r="E25" s="8">
        <v>132</v>
      </c>
      <c r="F25" s="45">
        <v>23.8</v>
      </c>
      <c r="G25" s="248">
        <f t="shared" si="0"/>
        <v>12.648500000000002</v>
      </c>
      <c r="H25" s="22">
        <v>36733.36597222222</v>
      </c>
      <c r="I25" s="29">
        <v>36733.73263888889</v>
      </c>
      <c r="J25" s="23">
        <f t="shared" si="1"/>
        <v>8.800000000046566</v>
      </c>
      <c r="K25" s="24">
        <f t="shared" si="2"/>
        <v>528</v>
      </c>
      <c r="L25" s="25" t="s">
        <v>140</v>
      </c>
      <c r="M25" s="26" t="str">
        <f t="shared" si="3"/>
        <v>--</v>
      </c>
      <c r="N25" s="265">
        <f t="shared" si="4"/>
        <v>33.39204000000001</v>
      </c>
      <c r="O25" s="270" t="str">
        <f t="shared" si="5"/>
        <v>--</v>
      </c>
      <c r="P25" s="275" t="str">
        <f t="shared" si="6"/>
        <v>--</v>
      </c>
      <c r="Q25" s="276" t="str">
        <f t="shared" si="7"/>
        <v>--</v>
      </c>
      <c r="R25" s="277" t="str">
        <f t="shared" si="8"/>
        <v>--</v>
      </c>
      <c r="S25" s="290" t="str">
        <f t="shared" si="9"/>
        <v>--</v>
      </c>
      <c r="T25" s="294" t="str">
        <f t="shared" si="10"/>
        <v>--</v>
      </c>
      <c r="U25" s="298" t="str">
        <f t="shared" si="11"/>
        <v>--</v>
      </c>
      <c r="V25" s="303" t="str">
        <f t="shared" si="12"/>
        <v>--</v>
      </c>
      <c r="W25" s="308" t="str">
        <f t="shared" si="13"/>
        <v>--</v>
      </c>
      <c r="X25" s="56" t="str">
        <f t="shared" si="14"/>
        <v>SI</v>
      </c>
      <c r="Y25" s="57">
        <f t="shared" si="15"/>
        <v>33.39204000000001</v>
      </c>
      <c r="Z25" s="386"/>
    </row>
    <row r="26" spans="1:26" s="9" customFormat="1" ht="15">
      <c r="A26" s="7"/>
      <c r="B26" s="105"/>
      <c r="C26" s="11">
        <v>26</v>
      </c>
      <c r="D26" s="55" t="s">
        <v>129</v>
      </c>
      <c r="E26" s="8">
        <v>132</v>
      </c>
      <c r="F26" s="45">
        <v>75</v>
      </c>
      <c r="G26" s="248">
        <f t="shared" si="0"/>
        <v>37.9455</v>
      </c>
      <c r="H26" s="22">
        <v>36733.70486111111</v>
      </c>
      <c r="I26" s="29">
        <v>36733.71111111111</v>
      </c>
      <c r="J26" s="23">
        <f t="shared" si="1"/>
        <v>0.1499999999650754</v>
      </c>
      <c r="K26" s="24">
        <f t="shared" si="2"/>
        <v>9</v>
      </c>
      <c r="L26" s="25" t="s">
        <v>141</v>
      </c>
      <c r="M26" s="26" t="str">
        <f t="shared" si="3"/>
        <v>--</v>
      </c>
      <c r="N26" s="265" t="str">
        <f t="shared" si="4"/>
        <v>--</v>
      </c>
      <c r="O26" s="270" t="str">
        <f t="shared" si="5"/>
        <v>--</v>
      </c>
      <c r="P26" s="275">
        <f t="shared" si="6"/>
        <v>1138.365</v>
      </c>
      <c r="Q26" s="276" t="str">
        <f t="shared" si="7"/>
        <v>--</v>
      </c>
      <c r="R26" s="277" t="str">
        <f t="shared" si="8"/>
        <v>--</v>
      </c>
      <c r="S26" s="290" t="str">
        <f t="shared" si="9"/>
        <v>--</v>
      </c>
      <c r="T26" s="294" t="str">
        <f t="shared" si="10"/>
        <v>--</v>
      </c>
      <c r="U26" s="298" t="str">
        <f t="shared" si="11"/>
        <v>--</v>
      </c>
      <c r="V26" s="303" t="str">
        <f t="shared" si="12"/>
        <v>--</v>
      </c>
      <c r="W26" s="308" t="str">
        <f t="shared" si="13"/>
        <v>--</v>
      </c>
      <c r="X26" s="56" t="str">
        <f t="shared" si="14"/>
        <v>SI</v>
      </c>
      <c r="Y26" s="57">
        <f t="shared" si="15"/>
        <v>1138.365</v>
      </c>
      <c r="Z26" s="386"/>
    </row>
    <row r="27" spans="1:26" s="9" customFormat="1" ht="15">
      <c r="A27" s="7"/>
      <c r="B27" s="105"/>
      <c r="C27" s="11">
        <v>27</v>
      </c>
      <c r="D27" s="55" t="s">
        <v>7</v>
      </c>
      <c r="E27" s="8">
        <v>132</v>
      </c>
      <c r="F27" s="45">
        <v>36.24</v>
      </c>
      <c r="G27" s="248">
        <f t="shared" si="0"/>
        <v>18.335265600000003</v>
      </c>
      <c r="H27" s="22">
        <v>36734.37847222222</v>
      </c>
      <c r="I27" s="29">
        <v>36734.444444444445</v>
      </c>
      <c r="J27" s="23">
        <f t="shared" si="1"/>
        <v>1.583333333430346</v>
      </c>
      <c r="K27" s="24">
        <f t="shared" si="2"/>
        <v>95</v>
      </c>
      <c r="L27" s="25" t="s">
        <v>140</v>
      </c>
      <c r="M27" s="26" t="str">
        <f t="shared" si="3"/>
        <v>--</v>
      </c>
      <c r="N27" s="265">
        <f t="shared" si="4"/>
        <v>8.690915894400002</v>
      </c>
      <c r="O27" s="270" t="str">
        <f t="shared" si="5"/>
        <v>--</v>
      </c>
      <c r="P27" s="275" t="str">
        <f t="shared" si="6"/>
        <v>--</v>
      </c>
      <c r="Q27" s="276" t="str">
        <f t="shared" si="7"/>
        <v>--</v>
      </c>
      <c r="R27" s="277" t="str">
        <f t="shared" si="8"/>
        <v>--</v>
      </c>
      <c r="S27" s="290" t="str">
        <f t="shared" si="9"/>
        <v>--</v>
      </c>
      <c r="T27" s="294" t="str">
        <f t="shared" si="10"/>
        <v>--</v>
      </c>
      <c r="U27" s="298" t="str">
        <f t="shared" si="11"/>
        <v>--</v>
      </c>
      <c r="V27" s="303" t="str">
        <f t="shared" si="12"/>
        <v>--</v>
      </c>
      <c r="W27" s="308" t="str">
        <f t="shared" si="13"/>
        <v>--</v>
      </c>
      <c r="X27" s="56" t="str">
        <f t="shared" si="14"/>
        <v>SI</v>
      </c>
      <c r="Y27" s="57">
        <f t="shared" si="15"/>
        <v>8.690915894400002</v>
      </c>
      <c r="Z27" s="386"/>
    </row>
    <row r="28" spans="1:26" s="9" customFormat="1" ht="15">
      <c r="A28" s="7"/>
      <c r="B28" s="105"/>
      <c r="C28" s="11">
        <v>28</v>
      </c>
      <c r="D28" s="55" t="s">
        <v>3</v>
      </c>
      <c r="E28" s="8">
        <v>132</v>
      </c>
      <c r="F28" s="45">
        <v>23.8</v>
      </c>
      <c r="G28" s="248">
        <f t="shared" si="0"/>
        <v>12.648500000000002</v>
      </c>
      <c r="H28" s="22">
        <v>36734.45208333333</v>
      </c>
      <c r="I28" s="29">
        <v>36734.714583333334</v>
      </c>
      <c r="J28" s="23">
        <f t="shared" si="1"/>
        <v>6.300000000104774</v>
      </c>
      <c r="K28" s="24">
        <f t="shared" si="2"/>
        <v>378</v>
      </c>
      <c r="L28" s="25" t="s">
        <v>140</v>
      </c>
      <c r="M28" s="26" t="str">
        <f t="shared" si="3"/>
        <v>--</v>
      </c>
      <c r="N28" s="265">
        <f t="shared" si="4"/>
        <v>23.905665000000003</v>
      </c>
      <c r="O28" s="270" t="str">
        <f t="shared" si="5"/>
        <v>--</v>
      </c>
      <c r="P28" s="275" t="str">
        <f t="shared" si="6"/>
        <v>--</v>
      </c>
      <c r="Q28" s="276" t="str">
        <f t="shared" si="7"/>
        <v>--</v>
      </c>
      <c r="R28" s="277" t="str">
        <f t="shared" si="8"/>
        <v>--</v>
      </c>
      <c r="S28" s="290" t="str">
        <f t="shared" si="9"/>
        <v>--</v>
      </c>
      <c r="T28" s="294" t="str">
        <f t="shared" si="10"/>
        <v>--</v>
      </c>
      <c r="U28" s="298" t="str">
        <f t="shared" si="11"/>
        <v>--</v>
      </c>
      <c r="V28" s="303" t="str">
        <f t="shared" si="12"/>
        <v>--</v>
      </c>
      <c r="W28" s="308" t="str">
        <f t="shared" si="13"/>
        <v>--</v>
      </c>
      <c r="X28" s="56" t="str">
        <f t="shared" si="14"/>
        <v>SI</v>
      </c>
      <c r="Y28" s="57">
        <f t="shared" si="15"/>
        <v>23.905665000000003</v>
      </c>
      <c r="Z28" s="10"/>
    </row>
    <row r="29" spans="1:26" s="9" customFormat="1" ht="15">
      <c r="A29" s="7"/>
      <c r="B29" s="105"/>
      <c r="C29" s="11">
        <v>29</v>
      </c>
      <c r="D29" s="55" t="s">
        <v>3</v>
      </c>
      <c r="E29" s="8">
        <v>132</v>
      </c>
      <c r="F29" s="45">
        <v>23.8</v>
      </c>
      <c r="G29" s="248">
        <f t="shared" si="0"/>
        <v>12.648500000000002</v>
      </c>
      <c r="H29" s="22">
        <v>36735.37222222222</v>
      </c>
      <c r="I29" s="29">
        <v>36735.739583333336</v>
      </c>
      <c r="J29" s="23">
        <f t="shared" si="1"/>
        <v>8.81666666676756</v>
      </c>
      <c r="K29" s="24">
        <f t="shared" si="2"/>
        <v>529</v>
      </c>
      <c r="L29" s="25" t="s">
        <v>140</v>
      </c>
      <c r="M29" s="26" t="str">
        <f t="shared" si="3"/>
        <v>--</v>
      </c>
      <c r="N29" s="265">
        <f t="shared" si="4"/>
        <v>33.46793100000001</v>
      </c>
      <c r="O29" s="270" t="str">
        <f t="shared" si="5"/>
        <v>--</v>
      </c>
      <c r="P29" s="275" t="str">
        <f t="shared" si="6"/>
        <v>--</v>
      </c>
      <c r="Q29" s="276" t="str">
        <f t="shared" si="7"/>
        <v>--</v>
      </c>
      <c r="R29" s="277" t="str">
        <f t="shared" si="8"/>
        <v>--</v>
      </c>
      <c r="S29" s="290" t="str">
        <f t="shared" si="9"/>
        <v>--</v>
      </c>
      <c r="T29" s="294" t="str">
        <f t="shared" si="10"/>
        <v>--</v>
      </c>
      <c r="U29" s="298" t="str">
        <f t="shared" si="11"/>
        <v>--</v>
      </c>
      <c r="V29" s="303" t="str">
        <f t="shared" si="12"/>
        <v>--</v>
      </c>
      <c r="W29" s="308" t="str">
        <f t="shared" si="13"/>
        <v>--</v>
      </c>
      <c r="X29" s="56" t="str">
        <f t="shared" si="14"/>
        <v>SI</v>
      </c>
      <c r="Y29" s="57">
        <f t="shared" si="15"/>
        <v>33.46793100000001</v>
      </c>
      <c r="Z29" s="10"/>
    </row>
    <row r="30" spans="1:26" s="9" customFormat="1" ht="15">
      <c r="A30" s="7"/>
      <c r="B30" s="105"/>
      <c r="C30" s="11">
        <v>30</v>
      </c>
      <c r="D30" s="55" t="s">
        <v>134</v>
      </c>
      <c r="E30" s="8">
        <v>132</v>
      </c>
      <c r="F30" s="45">
        <v>56</v>
      </c>
      <c r="G30" s="248">
        <f t="shared" si="0"/>
        <v>28.332640000000005</v>
      </c>
      <c r="H30" s="22">
        <v>36735.73888888889</v>
      </c>
      <c r="I30" s="29">
        <v>36735.745833333334</v>
      </c>
      <c r="J30" s="23">
        <f t="shared" si="1"/>
        <v>0.16666666668606922</v>
      </c>
      <c r="K30" s="24">
        <f t="shared" si="2"/>
        <v>10</v>
      </c>
      <c r="L30" s="25" t="s">
        <v>141</v>
      </c>
      <c r="M30" s="26" t="str">
        <f t="shared" si="3"/>
        <v>--</v>
      </c>
      <c r="N30" s="265" t="str">
        <f t="shared" si="4"/>
        <v>--</v>
      </c>
      <c r="O30" s="270" t="str">
        <f t="shared" si="5"/>
        <v>--</v>
      </c>
      <c r="P30" s="275">
        <f t="shared" si="6"/>
        <v>849.9792000000001</v>
      </c>
      <c r="Q30" s="276" t="str">
        <f t="shared" si="7"/>
        <v>--</v>
      </c>
      <c r="R30" s="277" t="str">
        <f t="shared" si="8"/>
        <v>--</v>
      </c>
      <c r="S30" s="290" t="str">
        <f t="shared" si="9"/>
        <v>--</v>
      </c>
      <c r="T30" s="294" t="str">
        <f t="shared" si="10"/>
        <v>--</v>
      </c>
      <c r="U30" s="298" t="str">
        <f t="shared" si="11"/>
        <v>--</v>
      </c>
      <c r="V30" s="303" t="str">
        <f t="shared" si="12"/>
        <v>--</v>
      </c>
      <c r="W30" s="308" t="str">
        <f t="shared" si="13"/>
        <v>--</v>
      </c>
      <c r="X30" s="56" t="str">
        <f t="shared" si="14"/>
        <v>SI</v>
      </c>
      <c r="Y30" s="57">
        <f t="shared" si="15"/>
        <v>849.9792000000001</v>
      </c>
      <c r="Z30" s="10"/>
    </row>
    <row r="31" spans="1:26" s="9" customFormat="1" ht="15">
      <c r="A31" s="7"/>
      <c r="B31" s="105"/>
      <c r="C31" s="11">
        <v>31</v>
      </c>
      <c r="D31" s="55" t="s">
        <v>10</v>
      </c>
      <c r="E31" s="8">
        <v>132</v>
      </c>
      <c r="F31" s="45">
        <v>17</v>
      </c>
      <c r="G31" s="248">
        <f t="shared" si="0"/>
        <v>12.648500000000002</v>
      </c>
      <c r="H31" s="22">
        <v>36737.350694444445</v>
      </c>
      <c r="I31" s="29">
        <v>36737.65138888889</v>
      </c>
      <c r="J31" s="23">
        <f t="shared" si="1"/>
        <v>7.21666666661622</v>
      </c>
      <c r="K31" s="24">
        <f t="shared" si="2"/>
        <v>433</v>
      </c>
      <c r="L31" s="25" t="s">
        <v>140</v>
      </c>
      <c r="M31" s="26" t="str">
        <f t="shared" si="3"/>
        <v>--</v>
      </c>
      <c r="N31" s="265">
        <f t="shared" si="4"/>
        <v>27.396651000000006</v>
      </c>
      <c r="O31" s="270" t="str">
        <f t="shared" si="5"/>
        <v>--</v>
      </c>
      <c r="P31" s="275" t="str">
        <f t="shared" si="6"/>
        <v>--</v>
      </c>
      <c r="Q31" s="276" t="str">
        <f t="shared" si="7"/>
        <v>--</v>
      </c>
      <c r="R31" s="277" t="str">
        <f t="shared" si="8"/>
        <v>--</v>
      </c>
      <c r="S31" s="290" t="str">
        <f t="shared" si="9"/>
        <v>--</v>
      </c>
      <c r="T31" s="294" t="str">
        <f t="shared" si="10"/>
        <v>--</v>
      </c>
      <c r="U31" s="298" t="str">
        <f t="shared" si="11"/>
        <v>--</v>
      </c>
      <c r="V31" s="303" t="str">
        <f t="shared" si="12"/>
        <v>--</v>
      </c>
      <c r="W31" s="308" t="str">
        <f t="shared" si="13"/>
        <v>--</v>
      </c>
      <c r="X31" s="56" t="str">
        <f t="shared" si="14"/>
        <v>SI</v>
      </c>
      <c r="Y31" s="57">
        <f t="shared" si="15"/>
        <v>27.396651000000006</v>
      </c>
      <c r="Z31" s="10"/>
    </row>
    <row r="32" spans="1:26" s="9" customFormat="1" ht="15">
      <c r="A32" s="7"/>
      <c r="B32" s="105"/>
      <c r="C32" s="11">
        <v>32</v>
      </c>
      <c r="D32" s="55" t="s">
        <v>11</v>
      </c>
      <c r="E32" s="8">
        <v>132</v>
      </c>
      <c r="F32" s="45">
        <v>105</v>
      </c>
      <c r="G32" s="248">
        <f t="shared" si="0"/>
        <v>53.12370000000001</v>
      </c>
      <c r="H32" s="22">
        <v>36737.354166666664</v>
      </c>
      <c r="I32" s="29">
        <v>36737.62708333333</v>
      </c>
      <c r="J32" s="23">
        <f t="shared" si="1"/>
        <v>6.550000000046566</v>
      </c>
      <c r="K32" s="24">
        <f t="shared" si="2"/>
        <v>393</v>
      </c>
      <c r="L32" s="25" t="s">
        <v>140</v>
      </c>
      <c r="M32" s="26" t="str">
        <f t="shared" si="3"/>
        <v>--</v>
      </c>
      <c r="N32" s="265">
        <f t="shared" si="4"/>
        <v>104.3880705</v>
      </c>
      <c r="O32" s="270" t="str">
        <f t="shared" si="5"/>
        <v>--</v>
      </c>
      <c r="P32" s="275" t="str">
        <f t="shared" si="6"/>
        <v>--</v>
      </c>
      <c r="Q32" s="276" t="str">
        <f t="shared" si="7"/>
        <v>--</v>
      </c>
      <c r="R32" s="277" t="str">
        <f t="shared" si="8"/>
        <v>--</v>
      </c>
      <c r="S32" s="290" t="str">
        <f t="shared" si="9"/>
        <v>--</v>
      </c>
      <c r="T32" s="294" t="str">
        <f t="shared" si="10"/>
        <v>--</v>
      </c>
      <c r="U32" s="298" t="str">
        <f t="shared" si="11"/>
        <v>--</v>
      </c>
      <c r="V32" s="303" t="str">
        <f t="shared" si="12"/>
        <v>--</v>
      </c>
      <c r="W32" s="308" t="str">
        <f t="shared" si="13"/>
        <v>--</v>
      </c>
      <c r="X32" s="56" t="str">
        <f t="shared" si="14"/>
        <v>SI</v>
      </c>
      <c r="Y32" s="57">
        <f t="shared" si="15"/>
        <v>104.3880705</v>
      </c>
      <c r="Z32" s="10"/>
    </row>
    <row r="33" spans="1:26" s="9" customFormat="1" ht="15">
      <c r="A33" s="7"/>
      <c r="B33" s="105"/>
      <c r="C33" s="11">
        <v>33</v>
      </c>
      <c r="D33" s="55" t="s">
        <v>9</v>
      </c>
      <c r="E33" s="8">
        <v>132</v>
      </c>
      <c r="F33" s="45">
        <v>76</v>
      </c>
      <c r="G33" s="248">
        <f t="shared" si="0"/>
        <v>38.451440000000005</v>
      </c>
      <c r="H33" s="22">
        <v>36737.356944444444</v>
      </c>
      <c r="I33" s="29">
        <v>36737.62152777778</v>
      </c>
      <c r="J33" s="23">
        <f t="shared" si="1"/>
        <v>6.350000000093132</v>
      </c>
      <c r="K33" s="24">
        <f t="shared" si="2"/>
        <v>381</v>
      </c>
      <c r="L33" s="25" t="s">
        <v>140</v>
      </c>
      <c r="M33" s="26" t="str">
        <f t="shared" si="3"/>
        <v>--</v>
      </c>
      <c r="N33" s="265">
        <f t="shared" si="4"/>
        <v>73.2499932</v>
      </c>
      <c r="O33" s="270" t="str">
        <f t="shared" si="5"/>
        <v>--</v>
      </c>
      <c r="P33" s="275" t="str">
        <f t="shared" si="6"/>
        <v>--</v>
      </c>
      <c r="Q33" s="276" t="str">
        <f t="shared" si="7"/>
        <v>--</v>
      </c>
      <c r="R33" s="277" t="str">
        <f t="shared" si="8"/>
        <v>--</v>
      </c>
      <c r="S33" s="290" t="str">
        <f t="shared" si="9"/>
        <v>--</v>
      </c>
      <c r="T33" s="294" t="str">
        <f t="shared" si="10"/>
        <v>--</v>
      </c>
      <c r="U33" s="298" t="str">
        <f t="shared" si="11"/>
        <v>--</v>
      </c>
      <c r="V33" s="303" t="str">
        <f t="shared" si="12"/>
        <v>--</v>
      </c>
      <c r="W33" s="308" t="str">
        <f t="shared" si="13"/>
        <v>--</v>
      </c>
      <c r="X33" s="56" t="str">
        <f t="shared" si="14"/>
        <v>SI</v>
      </c>
      <c r="Y33" s="57">
        <f t="shared" si="15"/>
        <v>73.2499932</v>
      </c>
      <c r="Z33" s="10"/>
    </row>
    <row r="34" spans="1:26" s="9" customFormat="1" ht="15">
      <c r="A34" s="7"/>
      <c r="B34" s="105"/>
      <c r="C34" s="11">
        <v>34</v>
      </c>
      <c r="D34" s="55" t="s">
        <v>16</v>
      </c>
      <c r="E34" s="8">
        <v>132</v>
      </c>
      <c r="F34" s="45">
        <v>49</v>
      </c>
      <c r="G34" s="248">
        <f t="shared" si="0"/>
        <v>24.79106</v>
      </c>
      <c r="H34" s="22">
        <v>36737.35763888889</v>
      </c>
      <c r="I34" s="29">
        <v>36737.62152777778</v>
      </c>
      <c r="J34" s="23">
        <f t="shared" si="1"/>
        <v>6.333333333372138</v>
      </c>
      <c r="K34" s="24">
        <f t="shared" si="2"/>
        <v>380</v>
      </c>
      <c r="L34" s="25" t="s">
        <v>140</v>
      </c>
      <c r="M34" s="26" t="str">
        <f t="shared" si="3"/>
        <v>--</v>
      </c>
      <c r="N34" s="265">
        <f t="shared" si="4"/>
        <v>47.07822294</v>
      </c>
      <c r="O34" s="270" t="str">
        <f t="shared" si="5"/>
        <v>--</v>
      </c>
      <c r="P34" s="275" t="str">
        <f t="shared" si="6"/>
        <v>--</v>
      </c>
      <c r="Q34" s="276" t="str">
        <f t="shared" si="7"/>
        <v>--</v>
      </c>
      <c r="R34" s="277" t="str">
        <f t="shared" si="8"/>
        <v>--</v>
      </c>
      <c r="S34" s="290" t="str">
        <f t="shared" si="9"/>
        <v>--</v>
      </c>
      <c r="T34" s="294" t="str">
        <f t="shared" si="10"/>
        <v>--</v>
      </c>
      <c r="U34" s="298" t="str">
        <f t="shared" si="11"/>
        <v>--</v>
      </c>
      <c r="V34" s="303" t="str">
        <f t="shared" si="12"/>
        <v>--</v>
      </c>
      <c r="W34" s="308" t="str">
        <f t="shared" si="13"/>
        <v>--</v>
      </c>
      <c r="X34" s="56" t="str">
        <f t="shared" si="14"/>
        <v>SI</v>
      </c>
      <c r="Y34" s="57">
        <f t="shared" si="15"/>
        <v>47.07822294</v>
      </c>
      <c r="Z34" s="10"/>
    </row>
    <row r="35" spans="1:26" s="9" customFormat="1" ht="15">
      <c r="A35" s="7"/>
      <c r="B35" s="105"/>
      <c r="C35" s="11"/>
      <c r="D35" s="55"/>
      <c r="E35" s="8"/>
      <c r="F35" s="45"/>
      <c r="G35" s="248">
        <f t="shared" si="0"/>
        <v>12.648500000000002</v>
      </c>
      <c r="H35" s="22"/>
      <c r="I35" s="29"/>
      <c r="J35" s="23">
        <f t="shared" si="1"/>
      </c>
      <c r="K35" s="24">
        <f t="shared" si="2"/>
      </c>
      <c r="L35" s="25"/>
      <c r="M35" s="26">
        <f t="shared" si="3"/>
      </c>
      <c r="N35" s="265" t="str">
        <f t="shared" si="4"/>
        <v>--</v>
      </c>
      <c r="O35" s="270" t="str">
        <f t="shared" si="5"/>
        <v>--</v>
      </c>
      <c r="P35" s="275" t="str">
        <f t="shared" si="6"/>
        <v>--</v>
      </c>
      <c r="Q35" s="276" t="str">
        <f t="shared" si="7"/>
        <v>--</v>
      </c>
      <c r="R35" s="277" t="str">
        <f t="shared" si="8"/>
        <v>--</v>
      </c>
      <c r="S35" s="290" t="str">
        <f t="shared" si="9"/>
        <v>--</v>
      </c>
      <c r="T35" s="294" t="str">
        <f t="shared" si="10"/>
        <v>--</v>
      </c>
      <c r="U35" s="298" t="str">
        <f t="shared" si="11"/>
        <v>--</v>
      </c>
      <c r="V35" s="303" t="str">
        <f t="shared" si="12"/>
        <v>--</v>
      </c>
      <c r="W35" s="308" t="str">
        <f t="shared" si="13"/>
        <v>--</v>
      </c>
      <c r="X35" s="56">
        <f t="shared" si="14"/>
      </c>
      <c r="Y35" s="57">
        <f t="shared" si="15"/>
      </c>
      <c r="Z35" s="10"/>
    </row>
    <row r="36" spans="1:26" s="9" customFormat="1" ht="15">
      <c r="A36" s="7"/>
      <c r="B36" s="105"/>
      <c r="C36" s="11"/>
      <c r="D36" s="55"/>
      <c r="E36" s="8"/>
      <c r="F36" s="45"/>
      <c r="G36" s="248">
        <f t="shared" si="0"/>
        <v>12.648500000000002</v>
      </c>
      <c r="H36" s="22"/>
      <c r="I36" s="29"/>
      <c r="J36" s="23">
        <f t="shared" si="1"/>
      </c>
      <c r="K36" s="24">
        <f t="shared" si="2"/>
      </c>
      <c r="L36" s="25"/>
      <c r="M36" s="26">
        <f t="shared" si="3"/>
      </c>
      <c r="N36" s="265" t="str">
        <f t="shared" si="4"/>
        <v>--</v>
      </c>
      <c r="O36" s="270" t="str">
        <f t="shared" si="5"/>
        <v>--</v>
      </c>
      <c r="P36" s="275" t="str">
        <f t="shared" si="6"/>
        <v>--</v>
      </c>
      <c r="Q36" s="276" t="str">
        <f t="shared" si="7"/>
        <v>--</v>
      </c>
      <c r="R36" s="277" t="str">
        <f t="shared" si="8"/>
        <v>--</v>
      </c>
      <c r="S36" s="290" t="str">
        <f t="shared" si="9"/>
        <v>--</v>
      </c>
      <c r="T36" s="294" t="str">
        <f t="shared" si="10"/>
        <v>--</v>
      </c>
      <c r="U36" s="298" t="str">
        <f t="shared" si="11"/>
        <v>--</v>
      </c>
      <c r="V36" s="303" t="str">
        <f t="shared" si="12"/>
        <v>--</v>
      </c>
      <c r="W36" s="308" t="str">
        <f t="shared" si="13"/>
        <v>--</v>
      </c>
      <c r="X36" s="56">
        <f t="shared" si="14"/>
      </c>
      <c r="Y36" s="57">
        <f t="shared" si="15"/>
      </c>
      <c r="Z36" s="10"/>
    </row>
    <row r="37" spans="1:26" s="9" customFormat="1" ht="15">
      <c r="A37" s="7"/>
      <c r="B37" s="105"/>
      <c r="C37" s="11"/>
      <c r="D37" s="55"/>
      <c r="E37" s="8"/>
      <c r="F37" s="45"/>
      <c r="G37" s="248">
        <f t="shared" si="0"/>
        <v>12.648500000000002</v>
      </c>
      <c r="H37" s="22"/>
      <c r="I37" s="29"/>
      <c r="J37" s="23">
        <f t="shared" si="1"/>
      </c>
      <c r="K37" s="24">
        <f t="shared" si="2"/>
      </c>
      <c r="L37" s="25"/>
      <c r="M37" s="26">
        <f t="shared" si="3"/>
      </c>
      <c r="N37" s="265" t="str">
        <f t="shared" si="4"/>
        <v>--</v>
      </c>
      <c r="O37" s="270" t="str">
        <f t="shared" si="5"/>
        <v>--</v>
      </c>
      <c r="P37" s="275" t="str">
        <f t="shared" si="6"/>
        <v>--</v>
      </c>
      <c r="Q37" s="276" t="str">
        <f t="shared" si="7"/>
        <v>--</v>
      </c>
      <c r="R37" s="277" t="str">
        <f t="shared" si="8"/>
        <v>--</v>
      </c>
      <c r="S37" s="290" t="str">
        <f t="shared" si="9"/>
        <v>--</v>
      </c>
      <c r="T37" s="294" t="str">
        <f t="shared" si="10"/>
        <v>--</v>
      </c>
      <c r="U37" s="298" t="str">
        <f t="shared" si="11"/>
        <v>--</v>
      </c>
      <c r="V37" s="303" t="str">
        <f t="shared" si="12"/>
        <v>--</v>
      </c>
      <c r="W37" s="308" t="str">
        <f t="shared" si="13"/>
        <v>--</v>
      </c>
      <c r="X37" s="56">
        <f t="shared" si="14"/>
      </c>
      <c r="Y37" s="57">
        <f t="shared" si="15"/>
      </c>
      <c r="Z37" s="10"/>
    </row>
    <row r="38" spans="1:26" s="9" customFormat="1" ht="15">
      <c r="A38" s="7"/>
      <c r="B38" s="105"/>
      <c r="C38" s="11"/>
      <c r="D38" s="55"/>
      <c r="E38" s="8"/>
      <c r="F38" s="45"/>
      <c r="G38" s="248">
        <f t="shared" si="0"/>
        <v>12.648500000000002</v>
      </c>
      <c r="H38" s="22"/>
      <c r="I38" s="29"/>
      <c r="J38" s="23">
        <f t="shared" si="1"/>
      </c>
      <c r="K38" s="24">
        <f t="shared" si="2"/>
      </c>
      <c r="L38" s="25"/>
      <c r="M38" s="26">
        <f t="shared" si="3"/>
      </c>
      <c r="N38" s="265" t="str">
        <f t="shared" si="4"/>
        <v>--</v>
      </c>
      <c r="O38" s="270" t="str">
        <f t="shared" si="5"/>
        <v>--</v>
      </c>
      <c r="P38" s="275" t="str">
        <f t="shared" si="6"/>
        <v>--</v>
      </c>
      <c r="Q38" s="276" t="str">
        <f t="shared" si="7"/>
        <v>--</v>
      </c>
      <c r="R38" s="277" t="str">
        <f t="shared" si="8"/>
        <v>--</v>
      </c>
      <c r="S38" s="290" t="str">
        <f t="shared" si="9"/>
        <v>--</v>
      </c>
      <c r="T38" s="294" t="str">
        <f t="shared" si="10"/>
        <v>--</v>
      </c>
      <c r="U38" s="298" t="str">
        <f t="shared" si="11"/>
        <v>--</v>
      </c>
      <c r="V38" s="303" t="str">
        <f t="shared" si="12"/>
        <v>--</v>
      </c>
      <c r="W38" s="308" t="str">
        <f t="shared" si="13"/>
        <v>--</v>
      </c>
      <c r="X38" s="56">
        <f t="shared" si="14"/>
      </c>
      <c r="Y38" s="57">
        <f t="shared" si="15"/>
      </c>
      <c r="Z38" s="10"/>
    </row>
    <row r="39" spans="1:26" s="9" customFormat="1" ht="15">
      <c r="A39" s="7"/>
      <c r="B39" s="105"/>
      <c r="C39" s="11"/>
      <c r="D39" s="55"/>
      <c r="E39" s="8"/>
      <c r="F39" s="45"/>
      <c r="G39" s="248">
        <f t="shared" si="0"/>
        <v>12.648500000000002</v>
      </c>
      <c r="H39" s="22"/>
      <c r="I39" s="29"/>
      <c r="J39" s="23">
        <f t="shared" si="1"/>
      </c>
      <c r="K39" s="24">
        <f t="shared" si="2"/>
      </c>
      <c r="L39" s="25"/>
      <c r="M39" s="26">
        <f t="shared" si="3"/>
      </c>
      <c r="N39" s="265" t="str">
        <f t="shared" si="4"/>
        <v>--</v>
      </c>
      <c r="O39" s="270" t="str">
        <f t="shared" si="5"/>
        <v>--</v>
      </c>
      <c r="P39" s="275" t="str">
        <f t="shared" si="6"/>
        <v>--</v>
      </c>
      <c r="Q39" s="276" t="str">
        <f t="shared" si="7"/>
        <v>--</v>
      </c>
      <c r="R39" s="277" t="str">
        <f t="shared" si="8"/>
        <v>--</v>
      </c>
      <c r="S39" s="290" t="str">
        <f t="shared" si="9"/>
        <v>--</v>
      </c>
      <c r="T39" s="294" t="str">
        <f t="shared" si="10"/>
        <v>--</v>
      </c>
      <c r="U39" s="298" t="str">
        <f t="shared" si="11"/>
        <v>--</v>
      </c>
      <c r="V39" s="303" t="str">
        <f t="shared" si="12"/>
        <v>--</v>
      </c>
      <c r="W39" s="308" t="str">
        <f t="shared" si="13"/>
        <v>--</v>
      </c>
      <c r="X39" s="56">
        <f t="shared" si="14"/>
      </c>
      <c r="Y39" s="57">
        <f t="shared" si="15"/>
      </c>
      <c r="Z39" s="10"/>
    </row>
    <row r="40" spans="1:26" s="9" customFormat="1" ht="15">
      <c r="A40" s="7"/>
      <c r="B40" s="105"/>
      <c r="C40" s="11"/>
      <c r="D40" s="55"/>
      <c r="E40" s="8"/>
      <c r="F40" s="45"/>
      <c r="G40" s="248">
        <f t="shared" si="0"/>
        <v>12.648500000000002</v>
      </c>
      <c r="H40" s="22"/>
      <c r="I40" s="29"/>
      <c r="J40" s="23">
        <f t="shared" si="1"/>
      </c>
      <c r="K40" s="24">
        <f t="shared" si="2"/>
      </c>
      <c r="L40" s="25"/>
      <c r="M40" s="26">
        <f t="shared" si="3"/>
      </c>
      <c r="N40" s="265" t="str">
        <f t="shared" si="4"/>
        <v>--</v>
      </c>
      <c r="O40" s="270" t="str">
        <f t="shared" si="5"/>
        <v>--</v>
      </c>
      <c r="P40" s="275" t="str">
        <f t="shared" si="6"/>
        <v>--</v>
      </c>
      <c r="Q40" s="276" t="str">
        <f t="shared" si="7"/>
        <v>--</v>
      </c>
      <c r="R40" s="277" t="str">
        <f t="shared" si="8"/>
        <v>--</v>
      </c>
      <c r="S40" s="290" t="str">
        <f t="shared" si="9"/>
        <v>--</v>
      </c>
      <c r="T40" s="294" t="str">
        <f t="shared" si="10"/>
        <v>--</v>
      </c>
      <c r="U40" s="298" t="str">
        <f t="shared" si="11"/>
        <v>--</v>
      </c>
      <c r="V40" s="303" t="str">
        <f t="shared" si="12"/>
        <v>--</v>
      </c>
      <c r="W40" s="308" t="str">
        <f t="shared" si="13"/>
        <v>--</v>
      </c>
      <c r="X40" s="56">
        <f t="shared" si="14"/>
      </c>
      <c r="Y40" s="57">
        <f t="shared" si="15"/>
      </c>
      <c r="Z40" s="10"/>
    </row>
    <row r="41" spans="1:26" s="9" customFormat="1" ht="15.75" thickBot="1">
      <c r="A41" s="7"/>
      <c r="B41" s="105"/>
      <c r="C41" s="58"/>
      <c r="D41" s="59"/>
      <c r="E41" s="60"/>
      <c r="F41" s="61"/>
      <c r="G41" s="249"/>
      <c r="H41" s="27"/>
      <c r="I41" s="27"/>
      <c r="J41" s="27"/>
      <c r="K41" s="27"/>
      <c r="L41" s="27"/>
      <c r="M41" s="62"/>
      <c r="N41" s="266"/>
      <c r="O41" s="271"/>
      <c r="P41" s="278"/>
      <c r="Q41" s="279"/>
      <c r="R41" s="280"/>
      <c r="S41" s="291"/>
      <c r="T41" s="295"/>
      <c r="U41" s="299"/>
      <c r="V41" s="304"/>
      <c r="W41" s="309"/>
      <c r="X41" s="28"/>
      <c r="Y41" s="146"/>
      <c r="Z41" s="10"/>
    </row>
    <row r="42" spans="1:26" s="9" customFormat="1" ht="17.25" thickBot="1" thickTop="1">
      <c r="A42" s="7"/>
      <c r="B42" s="105"/>
      <c r="C42" s="234" t="s">
        <v>97</v>
      </c>
      <c r="D42" s="235" t="s">
        <v>98</v>
      </c>
      <c r="E42" s="7"/>
      <c r="F42" s="7"/>
      <c r="G42" s="7"/>
      <c r="H42" s="7"/>
      <c r="I42" s="7"/>
      <c r="J42" s="7"/>
      <c r="K42" s="7"/>
      <c r="L42" s="7"/>
      <c r="M42" s="7"/>
      <c r="N42" s="283">
        <f aca="true" t="shared" si="16" ref="N42:W42">SUM(N19:N41)</f>
        <v>397.0281985344001</v>
      </c>
      <c r="O42" s="284">
        <f t="shared" si="16"/>
        <v>0</v>
      </c>
      <c r="P42" s="310">
        <f t="shared" si="16"/>
        <v>2845.9125000000004</v>
      </c>
      <c r="Q42" s="310">
        <f t="shared" si="16"/>
        <v>247.70822400000003</v>
      </c>
      <c r="R42" s="310">
        <f t="shared" si="16"/>
        <v>0</v>
      </c>
      <c r="S42" s="311">
        <f t="shared" si="16"/>
        <v>0</v>
      </c>
      <c r="T42" s="311">
        <f t="shared" si="16"/>
        <v>0</v>
      </c>
      <c r="U42" s="311">
        <f t="shared" si="16"/>
        <v>0</v>
      </c>
      <c r="V42" s="312">
        <f t="shared" si="16"/>
        <v>0</v>
      </c>
      <c r="W42" s="313">
        <f t="shared" si="16"/>
        <v>0</v>
      </c>
      <c r="X42" s="7"/>
      <c r="Y42" s="400">
        <f>ROUND(SUM(Y19:Y41),2)</f>
        <v>16237.92</v>
      </c>
      <c r="Z42" s="10"/>
    </row>
    <row r="43" spans="1:26" s="240" customFormat="1" ht="13.5" thickTop="1">
      <c r="A43" s="238"/>
      <c r="B43" s="239"/>
      <c r="C43" s="236"/>
      <c r="D43" s="237" t="s">
        <v>99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41"/>
    </row>
    <row r="44" spans="1:26" s="9" customFormat="1" ht="13.5" thickBot="1">
      <c r="A44" s="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</row>
    <row r="45" spans="1:2" ht="13.5" thickTop="1">
      <c r="A45" s="1"/>
      <c r="B45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AB48"/>
  <sheetViews>
    <sheetView zoomScale="75" zoomScaleNormal="75" workbookViewId="0" topLeftCell="A1">
      <selection activeCell="P26" sqref="P26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+'tot-0007'!B2</f>
        <v>ANEXO I A LA RESOLUCION ENRE N° 336/2001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65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66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74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100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101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102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8.75">
      <c r="A16" s="186"/>
      <c r="B16" s="194" t="str">
        <f>+'tot-0007'!B14</f>
        <v>Desde el 01 al 31 de julio de 2000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3.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103</v>
      </c>
      <c r="E18" s="188"/>
      <c r="F18" s="189"/>
      <c r="G18" s="190">
        <v>0.176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104</v>
      </c>
      <c r="E19" s="192"/>
      <c r="F19" s="192"/>
      <c r="G19" s="193">
        <f>30*'tot-0007'!B13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79</v>
      </c>
      <c r="D21" s="220" t="s">
        <v>105</v>
      </c>
      <c r="E21" s="219" t="s">
        <v>106</v>
      </c>
      <c r="F21" s="222" t="s">
        <v>107</v>
      </c>
      <c r="G21" s="223" t="s">
        <v>80</v>
      </c>
      <c r="H21" s="246" t="s">
        <v>82</v>
      </c>
      <c r="I21" s="219" t="s">
        <v>83</v>
      </c>
      <c r="J21" s="219" t="s">
        <v>84</v>
      </c>
      <c r="K21" s="220" t="s">
        <v>108</v>
      </c>
      <c r="L21" s="220" t="s">
        <v>109</v>
      </c>
      <c r="M21" s="157" t="s">
        <v>87</v>
      </c>
      <c r="N21" s="219" t="s">
        <v>110</v>
      </c>
      <c r="O21" s="220" t="s">
        <v>88</v>
      </c>
      <c r="P21" s="219" t="s">
        <v>111</v>
      </c>
      <c r="Q21" s="315" t="s">
        <v>112</v>
      </c>
      <c r="R21" s="320" t="s">
        <v>89</v>
      </c>
      <c r="S21" s="326" t="s">
        <v>90</v>
      </c>
      <c r="T21" s="272" t="s">
        <v>113</v>
      </c>
      <c r="U21" s="274"/>
      <c r="V21" s="340" t="s">
        <v>114</v>
      </c>
      <c r="W21" s="341"/>
      <c r="X21" s="351" t="s">
        <v>93</v>
      </c>
      <c r="Y21" s="357" t="s">
        <v>94</v>
      </c>
      <c r="Z21" s="223" t="s">
        <v>95</v>
      </c>
      <c r="AA21" s="223" t="s">
        <v>96</v>
      </c>
      <c r="AB21" s="63"/>
    </row>
    <row r="22" spans="1:28" s="9" customFormat="1" ht="15.75" hidden="1" thickTop="1">
      <c r="A22" s="161"/>
      <c r="B22" s="166"/>
      <c r="C22" s="30"/>
      <c r="D22" s="70"/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/>
      <c r="AB22" s="63"/>
    </row>
    <row r="23" spans="1:28" s="9" customFormat="1" ht="15.75" thickTop="1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35</v>
      </c>
      <c r="D24" s="8" t="s">
        <v>37</v>
      </c>
      <c r="E24" s="11" t="s">
        <v>25</v>
      </c>
      <c r="F24" s="37">
        <v>28</v>
      </c>
      <c r="G24" s="38" t="s">
        <v>21</v>
      </c>
      <c r="H24" s="248">
        <f aca="true" t="shared" si="0" ref="H24:H43">F24*$G$18</f>
        <v>4.928</v>
      </c>
      <c r="I24" s="40">
        <v>36708</v>
      </c>
      <c r="J24" s="41">
        <v>36723.68541666667</v>
      </c>
      <c r="K24" s="42">
        <f aca="true" t="shared" si="1" ref="K24:K43">IF(D24="","",(J24-I24)*24)</f>
        <v>376.45000000001164</v>
      </c>
      <c r="L24" s="43">
        <f aca="true" t="shared" si="2" ref="L24:L43">IF(D24="","",ROUND((J24-I24)*24*60,0))</f>
        <v>22587</v>
      </c>
      <c r="M24" s="39" t="s">
        <v>144</v>
      </c>
      <c r="N24" s="39" t="str">
        <f aca="true" t="shared" si="3" ref="N24:N43">IF(D24="","",IF(OR(M24="P",M24="RP"),"--","NO"))</f>
        <v>NO</v>
      </c>
      <c r="O24" s="318">
        <v>46</v>
      </c>
      <c r="P24" s="39" t="s">
        <v>142</v>
      </c>
      <c r="Q24" s="319">
        <f aca="true" t="shared" si="4" ref="Q24:Q43">$G$19*IF(P24="SI",1,0.1)*IF(OR(M24="P",M24="RP"),0.1,1)</f>
        <v>3</v>
      </c>
      <c r="R24" s="323" t="str">
        <f aca="true" t="shared" si="5" ref="R24:R43">IF(M24="P",H24*Q24*ROUND(L24/60,2),"--")</f>
        <v>--</v>
      </c>
      <c r="S24" s="329" t="str">
        <f aca="true" t="shared" si="6" ref="S24:S43">IF(M24="RP",H24*Q24*O24/100*ROUND(L24/60,2),"--")</f>
        <v>--</v>
      </c>
      <c r="T24" s="275" t="str">
        <f aca="true" t="shared" si="7" ref="T24:T43">IF(AND(M24="F",N24="NO"),H24*Q24,"--")</f>
        <v>--</v>
      </c>
      <c r="U24" s="337" t="str">
        <f aca="true" t="shared" si="8" ref="U24:U43">IF(M24="F",H24*Q24*ROUND(L24/60,2),"--")</f>
        <v>--</v>
      </c>
      <c r="V24" s="346" t="str">
        <f aca="true" t="shared" si="9" ref="V24:V43">IF(AND(M24="R",N24="NO"),H24*Q24*O24/100,"--")</f>
        <v>--</v>
      </c>
      <c r="W24" s="347" t="str">
        <f aca="true" t="shared" si="10" ref="W24:W43">IF(M24="R",H24*Q24*ROUND(L24/60,2)*O24/100,"--")</f>
        <v>--</v>
      </c>
      <c r="X24" s="354" t="str">
        <f aca="true" t="shared" si="11" ref="X24:X43">IF(M24="RF",H24*Q24*ROUND(L24/60,2),"--")</f>
        <v>--</v>
      </c>
      <c r="Y24" s="360">
        <f aca="true" t="shared" si="12" ref="Y24:Y43">IF(M24="RR",H24*Q24*ROUND(L24/60,2)*O24/100,"--")</f>
        <v>2560.100928</v>
      </c>
      <c r="Z24" s="39" t="str">
        <f aca="true" t="shared" si="13" ref="Z24:Z43">IF(D24="","","SI")</f>
        <v>SI</v>
      </c>
      <c r="AA24" s="52">
        <f aca="true" t="shared" si="14" ref="AA24:AA43">IF(D24="","",SUM(R24:Y24)*IF(Z24="SI",1,2))</f>
        <v>2560.100928</v>
      </c>
      <c r="AB24" s="387"/>
    </row>
    <row r="25" spans="1:28" s="9" customFormat="1" ht="15">
      <c r="A25" s="161"/>
      <c r="B25" s="166"/>
      <c r="C25" s="30">
        <v>36</v>
      </c>
      <c r="D25" s="8" t="s">
        <v>131</v>
      </c>
      <c r="E25" s="11" t="s">
        <v>20</v>
      </c>
      <c r="F25" s="37">
        <v>15</v>
      </c>
      <c r="G25" s="38" t="s">
        <v>21</v>
      </c>
      <c r="H25" s="248">
        <f t="shared" si="0"/>
        <v>2.6399999999999997</v>
      </c>
      <c r="I25" s="40">
        <v>36708</v>
      </c>
      <c r="J25" s="41">
        <v>36728.73125</v>
      </c>
      <c r="K25" s="42">
        <f t="shared" si="1"/>
        <v>497.54999999993015</v>
      </c>
      <c r="L25" s="43">
        <f t="shared" si="2"/>
        <v>29853</v>
      </c>
      <c r="M25" s="39" t="s">
        <v>140</v>
      </c>
      <c r="N25" s="39" t="str">
        <f t="shared" si="3"/>
        <v>--</v>
      </c>
      <c r="O25" s="318" t="str">
        <f aca="true" t="shared" si="15" ref="O25:O40">IF(D25="","","--")</f>
        <v>--</v>
      </c>
      <c r="P25" s="39" t="s">
        <v>142</v>
      </c>
      <c r="Q25" s="319">
        <f t="shared" si="4"/>
        <v>0.30000000000000004</v>
      </c>
      <c r="R25" s="323">
        <f t="shared" si="5"/>
        <v>394.05960000000005</v>
      </c>
      <c r="S25" s="329" t="str">
        <f t="shared" si="6"/>
        <v>--</v>
      </c>
      <c r="T25" s="275" t="str">
        <f t="shared" si="7"/>
        <v>--</v>
      </c>
      <c r="U25" s="337" t="str">
        <f t="shared" si="8"/>
        <v>--</v>
      </c>
      <c r="V25" s="346" t="str">
        <f t="shared" si="9"/>
        <v>--</v>
      </c>
      <c r="W25" s="347" t="str">
        <f t="shared" si="10"/>
        <v>--</v>
      </c>
      <c r="X25" s="354" t="str">
        <f t="shared" si="11"/>
        <v>--</v>
      </c>
      <c r="Y25" s="360" t="str">
        <f t="shared" si="12"/>
        <v>--</v>
      </c>
      <c r="Z25" s="39" t="str">
        <f t="shared" si="13"/>
        <v>SI</v>
      </c>
      <c r="AA25" s="52">
        <f t="shared" si="14"/>
        <v>394.05960000000005</v>
      </c>
      <c r="AB25" s="387"/>
    </row>
    <row r="26" spans="1:28" s="9" customFormat="1" ht="15">
      <c r="A26" s="161"/>
      <c r="B26" s="166"/>
      <c r="C26" s="30">
        <v>37</v>
      </c>
      <c r="D26" s="8" t="s">
        <v>36</v>
      </c>
      <c r="E26" s="11" t="s">
        <v>25</v>
      </c>
      <c r="F26" s="37">
        <v>20</v>
      </c>
      <c r="G26" s="38" t="s">
        <v>26</v>
      </c>
      <c r="H26" s="248">
        <f t="shared" si="0"/>
        <v>3.5199999999999996</v>
      </c>
      <c r="I26" s="40">
        <v>36709.33472222222</v>
      </c>
      <c r="J26" s="41">
        <v>36709.67083333333</v>
      </c>
      <c r="K26" s="42">
        <f t="shared" si="1"/>
        <v>8.066666666592937</v>
      </c>
      <c r="L26" s="43">
        <f t="shared" si="2"/>
        <v>484</v>
      </c>
      <c r="M26" s="39" t="s">
        <v>140</v>
      </c>
      <c r="N26" s="39" t="str">
        <f t="shared" si="3"/>
        <v>--</v>
      </c>
      <c r="O26" s="318" t="str">
        <f t="shared" si="15"/>
        <v>--</v>
      </c>
      <c r="P26" s="39" t="s">
        <v>142</v>
      </c>
      <c r="Q26" s="319">
        <f t="shared" si="4"/>
        <v>0.30000000000000004</v>
      </c>
      <c r="R26" s="323">
        <f t="shared" si="5"/>
        <v>8.521920000000001</v>
      </c>
      <c r="S26" s="329" t="str">
        <f t="shared" si="6"/>
        <v>--</v>
      </c>
      <c r="T26" s="275" t="str">
        <f t="shared" si="7"/>
        <v>--</v>
      </c>
      <c r="U26" s="337" t="str">
        <f t="shared" si="8"/>
        <v>--</v>
      </c>
      <c r="V26" s="346" t="str">
        <f t="shared" si="9"/>
        <v>--</v>
      </c>
      <c r="W26" s="347" t="str">
        <f t="shared" si="10"/>
        <v>--</v>
      </c>
      <c r="X26" s="354" t="str">
        <f t="shared" si="11"/>
        <v>--</v>
      </c>
      <c r="Y26" s="360" t="str">
        <f t="shared" si="12"/>
        <v>--</v>
      </c>
      <c r="Z26" s="39" t="str">
        <f t="shared" si="13"/>
        <v>SI</v>
      </c>
      <c r="AA26" s="52">
        <f t="shared" si="14"/>
        <v>8.521920000000001</v>
      </c>
      <c r="AB26" s="387"/>
    </row>
    <row r="27" spans="1:28" s="9" customFormat="1" ht="15">
      <c r="A27" s="161"/>
      <c r="B27" s="166"/>
      <c r="C27" s="30">
        <v>38</v>
      </c>
      <c r="D27" s="8" t="s">
        <v>23</v>
      </c>
      <c r="E27" s="11" t="s">
        <v>20</v>
      </c>
      <c r="F27" s="37">
        <v>30</v>
      </c>
      <c r="G27" s="38" t="s">
        <v>21</v>
      </c>
      <c r="H27" s="248">
        <f t="shared" si="0"/>
        <v>5.279999999999999</v>
      </c>
      <c r="I27" s="40">
        <v>36709.40347222222</v>
      </c>
      <c r="J27" s="41">
        <v>36709.59166666667</v>
      </c>
      <c r="K27" s="42">
        <f t="shared" si="1"/>
        <v>4.516666666720994</v>
      </c>
      <c r="L27" s="43">
        <f t="shared" si="2"/>
        <v>271</v>
      </c>
      <c r="M27" s="39" t="s">
        <v>140</v>
      </c>
      <c r="N27" s="39" t="str">
        <f t="shared" si="3"/>
        <v>--</v>
      </c>
      <c r="O27" s="318" t="str">
        <f t="shared" si="15"/>
        <v>--</v>
      </c>
      <c r="P27" s="39" t="s">
        <v>143</v>
      </c>
      <c r="Q27" s="319">
        <f t="shared" si="4"/>
        <v>3</v>
      </c>
      <c r="R27" s="323">
        <f t="shared" si="5"/>
        <v>71.59679999999999</v>
      </c>
      <c r="S27" s="329" t="str">
        <f t="shared" si="6"/>
        <v>--</v>
      </c>
      <c r="T27" s="275" t="str">
        <f t="shared" si="7"/>
        <v>--</v>
      </c>
      <c r="U27" s="337" t="str">
        <f t="shared" si="8"/>
        <v>--</v>
      </c>
      <c r="V27" s="346" t="str">
        <f t="shared" si="9"/>
        <v>--</v>
      </c>
      <c r="W27" s="347" t="str">
        <f t="shared" si="10"/>
        <v>--</v>
      </c>
      <c r="X27" s="354" t="str">
        <f t="shared" si="11"/>
        <v>--</v>
      </c>
      <c r="Y27" s="360" t="str">
        <f t="shared" si="12"/>
        <v>--</v>
      </c>
      <c r="Z27" s="39" t="str">
        <f t="shared" si="13"/>
        <v>SI</v>
      </c>
      <c r="AA27" s="52">
        <f t="shared" si="14"/>
        <v>71.59679999999999</v>
      </c>
      <c r="AB27" s="387"/>
    </row>
    <row r="28" spans="1:28" s="9" customFormat="1" ht="15">
      <c r="A28" s="161"/>
      <c r="B28" s="166"/>
      <c r="C28" s="30">
        <v>39</v>
      </c>
      <c r="D28" s="8" t="s">
        <v>39</v>
      </c>
      <c r="E28" s="11" t="s">
        <v>20</v>
      </c>
      <c r="F28" s="37">
        <v>30</v>
      </c>
      <c r="G28" s="38" t="s">
        <v>26</v>
      </c>
      <c r="H28" s="248">
        <f t="shared" si="0"/>
        <v>5.279999999999999</v>
      </c>
      <c r="I28" s="40">
        <v>36710.38125</v>
      </c>
      <c r="J28" s="41">
        <v>36713.697222222225</v>
      </c>
      <c r="K28" s="42">
        <f t="shared" si="1"/>
        <v>79.58333333343035</v>
      </c>
      <c r="L28" s="43">
        <f t="shared" si="2"/>
        <v>4775</v>
      </c>
      <c r="M28" s="39" t="s">
        <v>140</v>
      </c>
      <c r="N28" s="39" t="str">
        <f t="shared" si="3"/>
        <v>--</v>
      </c>
      <c r="O28" s="318" t="str">
        <f t="shared" si="15"/>
        <v>--</v>
      </c>
      <c r="P28" s="39" t="s">
        <v>142</v>
      </c>
      <c r="Q28" s="319">
        <f t="shared" si="4"/>
        <v>0.30000000000000004</v>
      </c>
      <c r="R28" s="323">
        <f t="shared" si="5"/>
        <v>126.05472</v>
      </c>
      <c r="S28" s="329" t="str">
        <f t="shared" si="6"/>
        <v>--</v>
      </c>
      <c r="T28" s="275" t="str">
        <f t="shared" si="7"/>
        <v>--</v>
      </c>
      <c r="U28" s="337" t="str">
        <f t="shared" si="8"/>
        <v>--</v>
      </c>
      <c r="V28" s="346" t="str">
        <f t="shared" si="9"/>
        <v>--</v>
      </c>
      <c r="W28" s="347" t="str">
        <f t="shared" si="10"/>
        <v>--</v>
      </c>
      <c r="X28" s="354" t="str">
        <f t="shared" si="11"/>
        <v>--</v>
      </c>
      <c r="Y28" s="360" t="str">
        <f t="shared" si="12"/>
        <v>--</v>
      </c>
      <c r="Z28" s="39" t="str">
        <f t="shared" si="13"/>
        <v>SI</v>
      </c>
      <c r="AA28" s="52">
        <f t="shared" si="14"/>
        <v>126.05472</v>
      </c>
      <c r="AB28" s="387"/>
    </row>
    <row r="29" spans="1:28" s="9" customFormat="1" ht="15">
      <c r="A29" s="161"/>
      <c r="B29" s="166"/>
      <c r="C29" s="30">
        <v>40</v>
      </c>
      <c r="D29" s="8" t="s">
        <v>31</v>
      </c>
      <c r="E29" s="11" t="s">
        <v>20</v>
      </c>
      <c r="F29" s="37">
        <v>30</v>
      </c>
      <c r="G29" s="38" t="s">
        <v>21</v>
      </c>
      <c r="H29" s="248">
        <f t="shared" si="0"/>
        <v>5.279999999999999</v>
      </c>
      <c r="I29" s="40">
        <v>36711.27013888889</v>
      </c>
      <c r="J29" s="41">
        <v>36711.73055555556</v>
      </c>
      <c r="K29" s="42">
        <f t="shared" si="1"/>
        <v>11.050000000046566</v>
      </c>
      <c r="L29" s="43">
        <f t="shared" si="2"/>
        <v>663</v>
      </c>
      <c r="M29" s="39" t="s">
        <v>140</v>
      </c>
      <c r="N29" s="39" t="str">
        <f t="shared" si="3"/>
        <v>--</v>
      </c>
      <c r="O29" s="318" t="str">
        <f t="shared" si="15"/>
        <v>--</v>
      </c>
      <c r="P29" s="39" t="s">
        <v>142</v>
      </c>
      <c r="Q29" s="319">
        <f t="shared" si="4"/>
        <v>0.30000000000000004</v>
      </c>
      <c r="R29" s="323">
        <f t="shared" si="5"/>
        <v>17.503200000000003</v>
      </c>
      <c r="S29" s="329" t="str">
        <f t="shared" si="6"/>
        <v>--</v>
      </c>
      <c r="T29" s="275" t="str">
        <f t="shared" si="7"/>
        <v>--</v>
      </c>
      <c r="U29" s="337" t="str">
        <f t="shared" si="8"/>
        <v>--</v>
      </c>
      <c r="V29" s="346" t="str">
        <f t="shared" si="9"/>
        <v>--</v>
      </c>
      <c r="W29" s="347" t="str">
        <f t="shared" si="10"/>
        <v>--</v>
      </c>
      <c r="X29" s="354" t="str">
        <f t="shared" si="11"/>
        <v>--</v>
      </c>
      <c r="Y29" s="360" t="str">
        <f t="shared" si="12"/>
        <v>--</v>
      </c>
      <c r="Z29" s="39" t="str">
        <f t="shared" si="13"/>
        <v>SI</v>
      </c>
      <c r="AA29" s="52">
        <f t="shared" si="14"/>
        <v>17.503200000000003</v>
      </c>
      <c r="AB29" s="387"/>
    </row>
    <row r="30" spans="1:28" s="9" customFormat="1" ht="15">
      <c r="A30" s="161"/>
      <c r="B30" s="166"/>
      <c r="C30" s="30">
        <v>41</v>
      </c>
      <c r="D30" s="8" t="s">
        <v>29</v>
      </c>
      <c r="E30" s="11" t="s">
        <v>24</v>
      </c>
      <c r="F30" s="37">
        <v>24</v>
      </c>
      <c r="G30" s="38" t="s">
        <v>26</v>
      </c>
      <c r="H30" s="248">
        <f t="shared" si="0"/>
        <v>4.224</v>
      </c>
      <c r="I30" s="40">
        <v>36714.393055555556</v>
      </c>
      <c r="J30" s="41">
        <v>36714.501388888886</v>
      </c>
      <c r="K30" s="42">
        <f t="shared" si="1"/>
        <v>2.5999999999185093</v>
      </c>
      <c r="L30" s="43">
        <f t="shared" si="2"/>
        <v>156</v>
      </c>
      <c r="M30" s="39" t="s">
        <v>140</v>
      </c>
      <c r="N30" s="39" t="str">
        <f t="shared" si="3"/>
        <v>--</v>
      </c>
      <c r="O30" s="318" t="str">
        <f t="shared" si="15"/>
        <v>--</v>
      </c>
      <c r="P30" s="39" t="s">
        <v>142</v>
      </c>
      <c r="Q30" s="319">
        <f t="shared" si="4"/>
        <v>0.30000000000000004</v>
      </c>
      <c r="R30" s="323">
        <f t="shared" si="5"/>
        <v>3.2947200000000008</v>
      </c>
      <c r="S30" s="329" t="str">
        <f t="shared" si="6"/>
        <v>--</v>
      </c>
      <c r="T30" s="275" t="str">
        <f t="shared" si="7"/>
        <v>--</v>
      </c>
      <c r="U30" s="337" t="str">
        <f t="shared" si="8"/>
        <v>--</v>
      </c>
      <c r="V30" s="346" t="str">
        <f t="shared" si="9"/>
        <v>--</v>
      </c>
      <c r="W30" s="347" t="str">
        <f t="shared" si="10"/>
        <v>--</v>
      </c>
      <c r="X30" s="354" t="str">
        <f t="shared" si="11"/>
        <v>--</v>
      </c>
      <c r="Y30" s="360" t="str">
        <f t="shared" si="12"/>
        <v>--</v>
      </c>
      <c r="Z30" s="39" t="str">
        <f t="shared" si="13"/>
        <v>SI</v>
      </c>
      <c r="AA30" s="52">
        <f t="shared" si="14"/>
        <v>3.2947200000000008</v>
      </c>
      <c r="AB30" s="387"/>
    </row>
    <row r="31" spans="1:28" s="9" customFormat="1" ht="15">
      <c r="A31" s="161"/>
      <c r="B31" s="166"/>
      <c r="C31" s="30">
        <v>42</v>
      </c>
      <c r="D31" s="8" t="s">
        <v>30</v>
      </c>
      <c r="E31" s="11" t="s">
        <v>20</v>
      </c>
      <c r="F31" s="37">
        <v>15</v>
      </c>
      <c r="G31" s="38" t="s">
        <v>21</v>
      </c>
      <c r="H31" s="248">
        <f t="shared" si="0"/>
        <v>2.6399999999999997</v>
      </c>
      <c r="I31" s="40">
        <v>36715.32708333333</v>
      </c>
      <c r="J31" s="41">
        <v>36715.70138888889</v>
      </c>
      <c r="K31" s="42">
        <f t="shared" si="1"/>
        <v>8.98333333345363</v>
      </c>
      <c r="L31" s="43">
        <f t="shared" si="2"/>
        <v>539</v>
      </c>
      <c r="M31" s="39" t="s">
        <v>140</v>
      </c>
      <c r="N31" s="39" t="str">
        <f t="shared" si="3"/>
        <v>--</v>
      </c>
      <c r="O31" s="318" t="str">
        <f t="shared" si="15"/>
        <v>--</v>
      </c>
      <c r="P31" s="39" t="s">
        <v>142</v>
      </c>
      <c r="Q31" s="319">
        <f t="shared" si="4"/>
        <v>0.30000000000000004</v>
      </c>
      <c r="R31" s="323">
        <f t="shared" si="5"/>
        <v>7.11216</v>
      </c>
      <c r="S31" s="329" t="str">
        <f t="shared" si="6"/>
        <v>--</v>
      </c>
      <c r="T31" s="275" t="str">
        <f t="shared" si="7"/>
        <v>--</v>
      </c>
      <c r="U31" s="337" t="str">
        <f t="shared" si="8"/>
        <v>--</v>
      </c>
      <c r="V31" s="346" t="str">
        <f t="shared" si="9"/>
        <v>--</v>
      </c>
      <c r="W31" s="347" t="str">
        <f t="shared" si="10"/>
        <v>--</v>
      </c>
      <c r="X31" s="354" t="str">
        <f t="shared" si="11"/>
        <v>--</v>
      </c>
      <c r="Y31" s="360" t="str">
        <f t="shared" si="12"/>
        <v>--</v>
      </c>
      <c r="Z31" s="39" t="str">
        <f t="shared" si="13"/>
        <v>SI</v>
      </c>
      <c r="AA31" s="52">
        <f t="shared" si="14"/>
        <v>7.11216</v>
      </c>
      <c r="AB31" s="387"/>
    </row>
    <row r="32" spans="1:28" s="9" customFormat="1" ht="15">
      <c r="A32" s="161"/>
      <c r="B32" s="166"/>
      <c r="C32" s="30">
        <v>43</v>
      </c>
      <c r="D32" s="8" t="s">
        <v>137</v>
      </c>
      <c r="E32" s="11" t="s">
        <v>25</v>
      </c>
      <c r="F32" s="37">
        <v>30</v>
      </c>
      <c r="G32" s="38" t="s">
        <v>26</v>
      </c>
      <c r="H32" s="248">
        <f t="shared" si="0"/>
        <v>5.279999999999999</v>
      </c>
      <c r="I32" s="40">
        <v>36716.330555555556</v>
      </c>
      <c r="J32" s="41">
        <v>36716.56597222222</v>
      </c>
      <c r="K32" s="42">
        <f t="shared" si="1"/>
        <v>5.649999999906868</v>
      </c>
      <c r="L32" s="43">
        <f t="shared" si="2"/>
        <v>339</v>
      </c>
      <c r="M32" s="39" t="s">
        <v>140</v>
      </c>
      <c r="N32" s="39" t="str">
        <f t="shared" si="3"/>
        <v>--</v>
      </c>
      <c r="O32" s="318" t="str">
        <f t="shared" si="15"/>
        <v>--</v>
      </c>
      <c r="P32" s="39" t="s">
        <v>142</v>
      </c>
      <c r="Q32" s="319">
        <f t="shared" si="4"/>
        <v>0.30000000000000004</v>
      </c>
      <c r="R32" s="323">
        <f t="shared" si="5"/>
        <v>8.9496</v>
      </c>
      <c r="S32" s="329" t="str">
        <f t="shared" si="6"/>
        <v>--</v>
      </c>
      <c r="T32" s="275" t="str">
        <f t="shared" si="7"/>
        <v>--</v>
      </c>
      <c r="U32" s="337" t="str">
        <f t="shared" si="8"/>
        <v>--</v>
      </c>
      <c r="V32" s="346" t="str">
        <f t="shared" si="9"/>
        <v>--</v>
      </c>
      <c r="W32" s="347" t="str">
        <f t="shared" si="10"/>
        <v>--</v>
      </c>
      <c r="X32" s="354" t="str">
        <f t="shared" si="11"/>
        <v>--</v>
      </c>
      <c r="Y32" s="360" t="str">
        <f t="shared" si="12"/>
        <v>--</v>
      </c>
      <c r="Z32" s="39" t="str">
        <f t="shared" si="13"/>
        <v>SI</v>
      </c>
      <c r="AA32" s="52">
        <f t="shared" si="14"/>
        <v>8.9496</v>
      </c>
      <c r="AB32" s="387"/>
    </row>
    <row r="33" spans="1:28" s="9" customFormat="1" ht="15">
      <c r="A33" s="161"/>
      <c r="B33" s="166"/>
      <c r="C33" s="30">
        <v>44</v>
      </c>
      <c r="D33" s="8" t="s">
        <v>32</v>
      </c>
      <c r="E33" s="11" t="s">
        <v>25</v>
      </c>
      <c r="F33" s="37">
        <v>15</v>
      </c>
      <c r="G33" s="38" t="s">
        <v>21</v>
      </c>
      <c r="H33" s="248">
        <f t="shared" si="0"/>
        <v>2.6399999999999997</v>
      </c>
      <c r="I33" s="40">
        <v>36719.69583333333</v>
      </c>
      <c r="J33" s="41">
        <v>36719.700694444444</v>
      </c>
      <c r="K33" s="42">
        <f t="shared" si="1"/>
        <v>0.11666666669771075</v>
      </c>
      <c r="L33" s="43">
        <f t="shared" si="2"/>
        <v>7</v>
      </c>
      <c r="M33" s="39" t="s">
        <v>141</v>
      </c>
      <c r="N33" s="39" t="str">
        <f t="shared" si="3"/>
        <v>NO</v>
      </c>
      <c r="O33" s="318" t="str">
        <f t="shared" si="15"/>
        <v>--</v>
      </c>
      <c r="P33" s="39" t="s">
        <v>143</v>
      </c>
      <c r="Q33" s="319">
        <f t="shared" si="4"/>
        <v>30</v>
      </c>
      <c r="R33" s="323" t="str">
        <f t="shared" si="5"/>
        <v>--</v>
      </c>
      <c r="S33" s="329" t="str">
        <f t="shared" si="6"/>
        <v>--</v>
      </c>
      <c r="T33" s="275">
        <f t="shared" si="7"/>
        <v>79.19999999999999</v>
      </c>
      <c r="U33" s="337">
        <f t="shared" si="8"/>
        <v>9.503999999999998</v>
      </c>
      <c r="V33" s="346" t="str">
        <f t="shared" si="9"/>
        <v>--</v>
      </c>
      <c r="W33" s="347" t="str">
        <f t="shared" si="10"/>
        <v>--</v>
      </c>
      <c r="X33" s="354" t="str">
        <f t="shared" si="11"/>
        <v>--</v>
      </c>
      <c r="Y33" s="360" t="str">
        <f t="shared" si="12"/>
        <v>--</v>
      </c>
      <c r="Z33" s="39" t="str">
        <f t="shared" si="13"/>
        <v>SI</v>
      </c>
      <c r="AA33" s="52">
        <f t="shared" si="14"/>
        <v>88.70399999999998</v>
      </c>
      <c r="AB33" s="387"/>
    </row>
    <row r="34" spans="1:28" s="9" customFormat="1" ht="15">
      <c r="A34" s="161"/>
      <c r="B34" s="166"/>
      <c r="C34" s="30">
        <v>45</v>
      </c>
      <c r="D34" s="8" t="s">
        <v>132</v>
      </c>
      <c r="E34" s="11" t="s">
        <v>25</v>
      </c>
      <c r="F34" s="37">
        <v>15</v>
      </c>
      <c r="G34" s="38" t="s">
        <v>21</v>
      </c>
      <c r="H34" s="248">
        <f t="shared" si="0"/>
        <v>2.6399999999999997</v>
      </c>
      <c r="I34" s="40">
        <v>36720.88958333333</v>
      </c>
      <c r="J34" s="41">
        <v>36720.91388888889</v>
      </c>
      <c r="K34" s="42">
        <f t="shared" si="1"/>
        <v>0.5833333334885538</v>
      </c>
      <c r="L34" s="43">
        <f t="shared" si="2"/>
        <v>35</v>
      </c>
      <c r="M34" s="39" t="s">
        <v>141</v>
      </c>
      <c r="N34" s="39" t="str">
        <f t="shared" si="3"/>
        <v>NO</v>
      </c>
      <c r="O34" s="318" t="str">
        <f t="shared" si="15"/>
        <v>--</v>
      </c>
      <c r="P34" s="39" t="s">
        <v>143</v>
      </c>
      <c r="Q34" s="319">
        <f t="shared" si="4"/>
        <v>30</v>
      </c>
      <c r="R34" s="323" t="str">
        <f t="shared" si="5"/>
        <v>--</v>
      </c>
      <c r="S34" s="329" t="str">
        <f t="shared" si="6"/>
        <v>--</v>
      </c>
      <c r="T34" s="275">
        <f t="shared" si="7"/>
        <v>79.19999999999999</v>
      </c>
      <c r="U34" s="337">
        <f t="shared" si="8"/>
        <v>45.93599999999999</v>
      </c>
      <c r="V34" s="346" t="str">
        <f t="shared" si="9"/>
        <v>--</v>
      </c>
      <c r="W34" s="347" t="str">
        <f t="shared" si="10"/>
        <v>--</v>
      </c>
      <c r="X34" s="354" t="str">
        <f t="shared" si="11"/>
        <v>--</v>
      </c>
      <c r="Y34" s="360" t="str">
        <f t="shared" si="12"/>
        <v>--</v>
      </c>
      <c r="Z34" s="39" t="str">
        <f t="shared" si="13"/>
        <v>SI</v>
      </c>
      <c r="AA34" s="52">
        <f t="shared" si="14"/>
        <v>125.13599999999998</v>
      </c>
      <c r="AB34" s="387"/>
    </row>
    <row r="35" spans="1:28" s="9" customFormat="1" ht="15">
      <c r="A35" s="161"/>
      <c r="B35" s="166"/>
      <c r="C35" s="30">
        <v>46</v>
      </c>
      <c r="D35" s="8" t="s">
        <v>38</v>
      </c>
      <c r="E35" s="11" t="s">
        <v>22</v>
      </c>
      <c r="F35" s="37">
        <v>30</v>
      </c>
      <c r="G35" s="38" t="s">
        <v>21</v>
      </c>
      <c r="H35" s="248">
        <f t="shared" si="0"/>
        <v>5.279999999999999</v>
      </c>
      <c r="I35" s="40">
        <v>36723.04652777778</v>
      </c>
      <c r="J35" s="41">
        <v>36723.04722222222</v>
      </c>
      <c r="K35" s="42">
        <f t="shared" si="1"/>
        <v>0.016666666720993817</v>
      </c>
      <c r="L35" s="43">
        <f t="shared" si="2"/>
        <v>1</v>
      </c>
      <c r="M35" s="39" t="s">
        <v>145</v>
      </c>
      <c r="N35" s="39" t="str">
        <f t="shared" si="3"/>
        <v>NO</v>
      </c>
      <c r="O35" s="318">
        <v>60</v>
      </c>
      <c r="P35" s="39" t="s">
        <v>143</v>
      </c>
      <c r="Q35" s="319">
        <f t="shared" si="4"/>
        <v>30</v>
      </c>
      <c r="R35" s="323" t="str">
        <f t="shared" si="5"/>
        <v>--</v>
      </c>
      <c r="S35" s="329" t="str">
        <f t="shared" si="6"/>
        <v>--</v>
      </c>
      <c r="T35" s="275" t="str">
        <f t="shared" si="7"/>
        <v>--</v>
      </c>
      <c r="U35" s="337" t="str">
        <f t="shared" si="8"/>
        <v>--</v>
      </c>
      <c r="V35" s="346">
        <f t="shared" si="9"/>
        <v>95.03999999999998</v>
      </c>
      <c r="W35" s="347">
        <f t="shared" si="10"/>
        <v>1.9007999999999998</v>
      </c>
      <c r="X35" s="354" t="str">
        <f t="shared" si="11"/>
        <v>--</v>
      </c>
      <c r="Y35" s="360" t="str">
        <f t="shared" si="12"/>
        <v>--</v>
      </c>
      <c r="Z35" s="39" t="str">
        <f t="shared" si="13"/>
        <v>SI</v>
      </c>
      <c r="AA35" s="52">
        <f t="shared" si="14"/>
        <v>96.94079999999998</v>
      </c>
      <c r="AB35" s="387"/>
    </row>
    <row r="36" spans="1:28" s="9" customFormat="1" ht="15">
      <c r="A36" s="161"/>
      <c r="B36" s="166"/>
      <c r="C36" s="30">
        <v>47</v>
      </c>
      <c r="D36" s="8" t="s">
        <v>34</v>
      </c>
      <c r="E36" s="11" t="s">
        <v>25</v>
      </c>
      <c r="F36" s="37">
        <v>15</v>
      </c>
      <c r="G36" s="38" t="s">
        <v>21</v>
      </c>
      <c r="H36" s="248">
        <f t="shared" si="0"/>
        <v>2.6399999999999997</v>
      </c>
      <c r="I36" s="40">
        <v>36723.37152777778</v>
      </c>
      <c r="J36" s="41">
        <v>36723.708333333336</v>
      </c>
      <c r="K36" s="42">
        <f t="shared" si="1"/>
        <v>8.08333333331393</v>
      </c>
      <c r="L36" s="43">
        <f t="shared" si="2"/>
        <v>485</v>
      </c>
      <c r="M36" s="39" t="s">
        <v>140</v>
      </c>
      <c r="N36" s="39" t="str">
        <f t="shared" si="3"/>
        <v>--</v>
      </c>
      <c r="O36" s="318" t="str">
        <f t="shared" si="15"/>
        <v>--</v>
      </c>
      <c r="P36" s="39" t="s">
        <v>143</v>
      </c>
      <c r="Q36" s="319">
        <f t="shared" si="4"/>
        <v>3</v>
      </c>
      <c r="R36" s="323">
        <f t="shared" si="5"/>
        <v>63.993599999999994</v>
      </c>
      <c r="S36" s="329" t="str">
        <f t="shared" si="6"/>
        <v>--</v>
      </c>
      <c r="T36" s="275" t="str">
        <f t="shared" si="7"/>
        <v>--</v>
      </c>
      <c r="U36" s="337" t="str">
        <f t="shared" si="8"/>
        <v>--</v>
      </c>
      <c r="V36" s="346" t="str">
        <f t="shared" si="9"/>
        <v>--</v>
      </c>
      <c r="W36" s="347" t="str">
        <f t="shared" si="10"/>
        <v>--</v>
      </c>
      <c r="X36" s="354" t="str">
        <f t="shared" si="11"/>
        <v>--</v>
      </c>
      <c r="Y36" s="360" t="str">
        <f t="shared" si="12"/>
        <v>--</v>
      </c>
      <c r="Z36" s="39" t="str">
        <f t="shared" si="13"/>
        <v>SI</v>
      </c>
      <c r="AA36" s="52">
        <f t="shared" si="14"/>
        <v>63.993599999999994</v>
      </c>
      <c r="AB36" s="387"/>
    </row>
    <row r="37" spans="1:28" s="9" customFormat="1" ht="15">
      <c r="A37" s="161"/>
      <c r="B37" s="166"/>
      <c r="C37" s="30">
        <v>48</v>
      </c>
      <c r="D37" s="8" t="s">
        <v>35</v>
      </c>
      <c r="E37" s="11" t="s">
        <v>25</v>
      </c>
      <c r="F37" s="37">
        <v>15</v>
      </c>
      <c r="G37" s="38" t="s">
        <v>21</v>
      </c>
      <c r="H37" s="248">
        <f t="shared" si="0"/>
        <v>2.6399999999999997</v>
      </c>
      <c r="I37" s="41">
        <v>36723.37152777778</v>
      </c>
      <c r="J37" s="41">
        <v>36723.69513888889</v>
      </c>
      <c r="K37" s="42">
        <f t="shared" si="1"/>
        <v>7.766666666662786</v>
      </c>
      <c r="L37" s="43">
        <f t="shared" si="2"/>
        <v>466</v>
      </c>
      <c r="M37" s="39" t="s">
        <v>140</v>
      </c>
      <c r="N37" s="39" t="str">
        <f t="shared" si="3"/>
        <v>--</v>
      </c>
      <c r="O37" s="318" t="str">
        <f t="shared" si="15"/>
        <v>--</v>
      </c>
      <c r="P37" s="39" t="s">
        <v>143</v>
      </c>
      <c r="Q37" s="319">
        <f t="shared" si="4"/>
        <v>3</v>
      </c>
      <c r="R37" s="323">
        <f t="shared" si="5"/>
        <v>61.53839999999999</v>
      </c>
      <c r="S37" s="329" t="str">
        <f t="shared" si="6"/>
        <v>--</v>
      </c>
      <c r="T37" s="275" t="str">
        <f t="shared" si="7"/>
        <v>--</v>
      </c>
      <c r="U37" s="337" t="str">
        <f t="shared" si="8"/>
        <v>--</v>
      </c>
      <c r="V37" s="346" t="str">
        <f t="shared" si="9"/>
        <v>--</v>
      </c>
      <c r="W37" s="347" t="str">
        <f t="shared" si="10"/>
        <v>--</v>
      </c>
      <c r="X37" s="354" t="str">
        <f t="shared" si="11"/>
        <v>--</v>
      </c>
      <c r="Y37" s="360" t="str">
        <f t="shared" si="12"/>
        <v>--</v>
      </c>
      <c r="Z37" s="39" t="str">
        <f t="shared" si="13"/>
        <v>SI</v>
      </c>
      <c r="AA37" s="52">
        <f t="shared" si="14"/>
        <v>61.53839999999999</v>
      </c>
      <c r="AB37" s="63"/>
    </row>
    <row r="38" spans="1:28" s="9" customFormat="1" ht="15">
      <c r="A38" s="161"/>
      <c r="B38" s="166"/>
      <c r="C38" s="30">
        <v>49</v>
      </c>
      <c r="D38" s="8" t="s">
        <v>40</v>
      </c>
      <c r="E38" s="11" t="s">
        <v>20</v>
      </c>
      <c r="F38" s="37">
        <v>30</v>
      </c>
      <c r="G38" s="38" t="s">
        <v>21</v>
      </c>
      <c r="H38" s="248">
        <f t="shared" si="0"/>
        <v>5.279999999999999</v>
      </c>
      <c r="I38" s="40">
        <v>36723.37152777778</v>
      </c>
      <c r="J38" s="41">
        <v>36723.714583333334</v>
      </c>
      <c r="K38" s="42">
        <f t="shared" si="1"/>
        <v>8.233333333279006</v>
      </c>
      <c r="L38" s="43">
        <f t="shared" si="2"/>
        <v>494</v>
      </c>
      <c r="M38" s="39" t="s">
        <v>140</v>
      </c>
      <c r="N38" s="39" t="str">
        <f t="shared" si="3"/>
        <v>--</v>
      </c>
      <c r="O38" s="318" t="str">
        <f t="shared" si="15"/>
        <v>--</v>
      </c>
      <c r="P38" s="39" t="s">
        <v>143</v>
      </c>
      <c r="Q38" s="319">
        <f t="shared" si="4"/>
        <v>3</v>
      </c>
      <c r="R38" s="323">
        <f t="shared" si="5"/>
        <v>130.36319999999998</v>
      </c>
      <c r="S38" s="329" t="str">
        <f t="shared" si="6"/>
        <v>--</v>
      </c>
      <c r="T38" s="275" t="str">
        <f t="shared" si="7"/>
        <v>--</v>
      </c>
      <c r="U38" s="337" t="str">
        <f t="shared" si="8"/>
        <v>--</v>
      </c>
      <c r="V38" s="346" t="str">
        <f t="shared" si="9"/>
        <v>--</v>
      </c>
      <c r="W38" s="347" t="str">
        <f t="shared" si="10"/>
        <v>--</v>
      </c>
      <c r="X38" s="354" t="str">
        <f t="shared" si="11"/>
        <v>--</v>
      </c>
      <c r="Y38" s="360" t="str">
        <f t="shared" si="12"/>
        <v>--</v>
      </c>
      <c r="Z38" s="39" t="str">
        <f t="shared" si="13"/>
        <v>SI</v>
      </c>
      <c r="AA38" s="52">
        <f t="shared" si="14"/>
        <v>130.36319999999998</v>
      </c>
      <c r="AB38" s="63"/>
    </row>
    <row r="39" spans="1:28" s="9" customFormat="1" ht="15">
      <c r="A39" s="161"/>
      <c r="B39" s="166"/>
      <c r="C39" s="30">
        <v>50</v>
      </c>
      <c r="D39" s="8" t="s">
        <v>33</v>
      </c>
      <c r="E39" s="11" t="s">
        <v>25</v>
      </c>
      <c r="F39" s="37">
        <v>15</v>
      </c>
      <c r="G39" s="38" t="s">
        <v>21</v>
      </c>
      <c r="H39" s="248">
        <f t="shared" si="0"/>
        <v>2.6399999999999997</v>
      </c>
      <c r="I39" s="40">
        <v>36723.686111111114</v>
      </c>
      <c r="J39" s="41">
        <v>36723.75069444445</v>
      </c>
      <c r="K39" s="42">
        <f t="shared" si="1"/>
        <v>1.5499999999883585</v>
      </c>
      <c r="L39" s="43">
        <f t="shared" si="2"/>
        <v>93</v>
      </c>
      <c r="M39" s="39" t="s">
        <v>140</v>
      </c>
      <c r="N39" s="39" t="str">
        <f t="shared" si="3"/>
        <v>--</v>
      </c>
      <c r="O39" s="318" t="str">
        <f t="shared" si="15"/>
        <v>--</v>
      </c>
      <c r="P39" s="39" t="s">
        <v>143</v>
      </c>
      <c r="Q39" s="319">
        <f t="shared" si="4"/>
        <v>3</v>
      </c>
      <c r="R39" s="323">
        <f t="shared" si="5"/>
        <v>12.275999999999998</v>
      </c>
      <c r="S39" s="329" t="str">
        <f t="shared" si="6"/>
        <v>--</v>
      </c>
      <c r="T39" s="275" t="str">
        <f t="shared" si="7"/>
        <v>--</v>
      </c>
      <c r="U39" s="337" t="str">
        <f t="shared" si="8"/>
        <v>--</v>
      </c>
      <c r="V39" s="346" t="str">
        <f t="shared" si="9"/>
        <v>--</v>
      </c>
      <c r="W39" s="347" t="str">
        <f t="shared" si="10"/>
        <v>--</v>
      </c>
      <c r="X39" s="354" t="str">
        <f t="shared" si="11"/>
        <v>--</v>
      </c>
      <c r="Y39" s="360" t="str">
        <f t="shared" si="12"/>
        <v>--</v>
      </c>
      <c r="Z39" s="39" t="str">
        <f t="shared" si="13"/>
        <v>SI</v>
      </c>
      <c r="AA39" s="52">
        <f t="shared" si="14"/>
        <v>12.275999999999998</v>
      </c>
      <c r="AB39" s="63"/>
    </row>
    <row r="40" spans="1:28" s="9" customFormat="1" ht="15">
      <c r="A40" s="161"/>
      <c r="B40" s="166"/>
      <c r="C40" s="30">
        <v>51</v>
      </c>
      <c r="D40" s="8" t="s">
        <v>37</v>
      </c>
      <c r="E40" s="11" t="s">
        <v>25</v>
      </c>
      <c r="F40" s="37">
        <v>28</v>
      </c>
      <c r="G40" s="38" t="s">
        <v>21</v>
      </c>
      <c r="H40" s="248">
        <f t="shared" si="0"/>
        <v>4.928</v>
      </c>
      <c r="I40" s="40">
        <v>36723.686111111114</v>
      </c>
      <c r="J40" s="41">
        <v>36723.68958333333</v>
      </c>
      <c r="K40" s="42">
        <f t="shared" si="1"/>
        <v>0.08333333325572312</v>
      </c>
      <c r="L40" s="43">
        <f t="shared" si="2"/>
        <v>5</v>
      </c>
      <c r="M40" s="39" t="s">
        <v>140</v>
      </c>
      <c r="N40" s="39" t="str">
        <f t="shared" si="3"/>
        <v>--</v>
      </c>
      <c r="O40" s="318" t="str">
        <f t="shared" si="15"/>
        <v>--</v>
      </c>
      <c r="P40" s="39" t="s">
        <v>143</v>
      </c>
      <c r="Q40" s="319">
        <f t="shared" si="4"/>
        <v>3</v>
      </c>
      <c r="R40" s="323">
        <f t="shared" si="5"/>
        <v>1.18272</v>
      </c>
      <c r="S40" s="329" t="str">
        <f t="shared" si="6"/>
        <v>--</v>
      </c>
      <c r="T40" s="275" t="str">
        <f t="shared" si="7"/>
        <v>--</v>
      </c>
      <c r="U40" s="337" t="str">
        <f t="shared" si="8"/>
        <v>--</v>
      </c>
      <c r="V40" s="346" t="str">
        <f t="shared" si="9"/>
        <v>--</v>
      </c>
      <c r="W40" s="347" t="str">
        <f t="shared" si="10"/>
        <v>--</v>
      </c>
      <c r="X40" s="354" t="str">
        <f t="shared" si="11"/>
        <v>--</v>
      </c>
      <c r="Y40" s="360" t="str">
        <f t="shared" si="12"/>
        <v>--</v>
      </c>
      <c r="Z40" s="39" t="str">
        <f t="shared" si="13"/>
        <v>SI</v>
      </c>
      <c r="AA40" s="52">
        <f t="shared" si="14"/>
        <v>1.18272</v>
      </c>
      <c r="AB40" s="63"/>
    </row>
    <row r="41" spans="1:28" s="9" customFormat="1" ht="15">
      <c r="A41" s="161"/>
      <c r="B41" s="166"/>
      <c r="C41" s="30">
        <v>52</v>
      </c>
      <c r="D41" s="8" t="s">
        <v>37</v>
      </c>
      <c r="E41" s="11" t="s">
        <v>25</v>
      </c>
      <c r="F41" s="37">
        <v>28</v>
      </c>
      <c r="G41" s="38" t="s">
        <v>21</v>
      </c>
      <c r="H41" s="248">
        <f t="shared" si="0"/>
        <v>4.928</v>
      </c>
      <c r="I41" s="40">
        <v>36723.69027777778</v>
      </c>
      <c r="J41" s="41">
        <v>36738.99930555555</v>
      </c>
      <c r="K41" s="42">
        <f t="shared" si="1"/>
        <v>367.41666666656965</v>
      </c>
      <c r="L41" s="43">
        <f t="shared" si="2"/>
        <v>22045</v>
      </c>
      <c r="M41" s="39" t="s">
        <v>145</v>
      </c>
      <c r="N41" s="39" t="str">
        <f t="shared" si="3"/>
        <v>NO</v>
      </c>
      <c r="O41" s="318">
        <v>46</v>
      </c>
      <c r="P41" s="39" t="s">
        <v>142</v>
      </c>
      <c r="Q41" s="319">
        <f t="shared" si="4"/>
        <v>3</v>
      </c>
      <c r="R41" s="323" t="str">
        <f t="shared" si="5"/>
        <v>--</v>
      </c>
      <c r="S41" s="329" t="str">
        <f t="shared" si="6"/>
        <v>--</v>
      </c>
      <c r="T41" s="275" t="str">
        <f t="shared" si="7"/>
        <v>--</v>
      </c>
      <c r="U41" s="337" t="str">
        <f t="shared" si="8"/>
        <v>--</v>
      </c>
      <c r="V41" s="346">
        <f t="shared" si="9"/>
        <v>6.80064</v>
      </c>
      <c r="W41" s="347">
        <f t="shared" si="10"/>
        <v>2498.6911488</v>
      </c>
      <c r="X41" s="354" t="str">
        <f t="shared" si="11"/>
        <v>--</v>
      </c>
      <c r="Y41" s="360" t="str">
        <f t="shared" si="12"/>
        <v>--</v>
      </c>
      <c r="Z41" s="39" t="str">
        <f t="shared" si="13"/>
        <v>SI</v>
      </c>
      <c r="AA41" s="52">
        <f t="shared" si="14"/>
        <v>2505.4917888</v>
      </c>
      <c r="AB41" s="63"/>
    </row>
    <row r="42" spans="1:28" s="9" customFormat="1" ht="15">
      <c r="A42" s="161"/>
      <c r="B42" s="166"/>
      <c r="C42" s="30">
        <v>53</v>
      </c>
      <c r="D42" s="8" t="s">
        <v>19</v>
      </c>
      <c r="E42" s="11" t="s">
        <v>20</v>
      </c>
      <c r="F42" s="37">
        <v>15</v>
      </c>
      <c r="G42" s="38" t="s">
        <v>21</v>
      </c>
      <c r="H42" s="248">
        <f t="shared" si="0"/>
        <v>2.6399999999999997</v>
      </c>
      <c r="I42" s="40">
        <v>36724.805555555555</v>
      </c>
      <c r="J42" s="41">
        <v>36724.80625</v>
      </c>
      <c r="K42" s="42">
        <f t="shared" si="1"/>
        <v>0.016666666720993817</v>
      </c>
      <c r="L42" s="43">
        <f t="shared" si="2"/>
        <v>1</v>
      </c>
      <c r="M42" s="39" t="s">
        <v>146</v>
      </c>
      <c r="N42" s="39" t="str">
        <f t="shared" si="3"/>
        <v>--</v>
      </c>
      <c r="O42" s="318">
        <v>40</v>
      </c>
      <c r="P42" s="39" t="s">
        <v>143</v>
      </c>
      <c r="Q42" s="319">
        <f t="shared" si="4"/>
        <v>3</v>
      </c>
      <c r="R42" s="323" t="str">
        <f t="shared" si="5"/>
        <v>--</v>
      </c>
      <c r="S42" s="329">
        <f t="shared" si="6"/>
        <v>0.06336</v>
      </c>
      <c r="T42" s="275" t="str">
        <f t="shared" si="7"/>
        <v>--</v>
      </c>
      <c r="U42" s="337" t="str">
        <f t="shared" si="8"/>
        <v>--</v>
      </c>
      <c r="V42" s="346" t="str">
        <f t="shared" si="9"/>
        <v>--</v>
      </c>
      <c r="W42" s="347" t="str">
        <f t="shared" si="10"/>
        <v>--</v>
      </c>
      <c r="X42" s="354" t="str">
        <f t="shared" si="11"/>
        <v>--</v>
      </c>
      <c r="Y42" s="360" t="str">
        <f t="shared" si="12"/>
        <v>--</v>
      </c>
      <c r="Z42" s="39" t="str">
        <f t="shared" si="13"/>
        <v>SI</v>
      </c>
      <c r="AA42" s="52">
        <f t="shared" si="14"/>
        <v>0.06336</v>
      </c>
      <c r="AB42" s="63"/>
    </row>
    <row r="43" spans="1:28" s="9" customFormat="1" ht="15">
      <c r="A43" s="161"/>
      <c r="B43" s="166"/>
      <c r="C43" s="30">
        <v>54</v>
      </c>
      <c r="D43" s="8" t="s">
        <v>19</v>
      </c>
      <c r="E43" s="11" t="s">
        <v>22</v>
      </c>
      <c r="F43" s="37">
        <v>30</v>
      </c>
      <c r="G43" s="38" t="s">
        <v>21</v>
      </c>
      <c r="H43" s="248">
        <f t="shared" si="0"/>
        <v>5.279999999999999</v>
      </c>
      <c r="I43" s="40">
        <v>36724.805555555555</v>
      </c>
      <c r="J43" s="41">
        <v>36724.80625</v>
      </c>
      <c r="K43" s="42">
        <f t="shared" si="1"/>
        <v>0.016666666720993817</v>
      </c>
      <c r="L43" s="43">
        <f t="shared" si="2"/>
        <v>1</v>
      </c>
      <c r="M43" s="39" t="s">
        <v>146</v>
      </c>
      <c r="N43" s="39" t="str">
        <f t="shared" si="3"/>
        <v>--</v>
      </c>
      <c r="O43" s="318">
        <v>40</v>
      </c>
      <c r="P43" s="39" t="s">
        <v>143</v>
      </c>
      <c r="Q43" s="319">
        <f t="shared" si="4"/>
        <v>3</v>
      </c>
      <c r="R43" s="323" t="str">
        <f t="shared" si="5"/>
        <v>--</v>
      </c>
      <c r="S43" s="329">
        <f t="shared" si="6"/>
        <v>0.12672</v>
      </c>
      <c r="T43" s="275" t="str">
        <f t="shared" si="7"/>
        <v>--</v>
      </c>
      <c r="U43" s="337" t="str">
        <f t="shared" si="8"/>
        <v>--</v>
      </c>
      <c r="V43" s="346" t="str">
        <f t="shared" si="9"/>
        <v>--</v>
      </c>
      <c r="W43" s="347" t="str">
        <f t="shared" si="10"/>
        <v>--</v>
      </c>
      <c r="X43" s="354" t="str">
        <f t="shared" si="11"/>
        <v>--</v>
      </c>
      <c r="Y43" s="360" t="str">
        <f t="shared" si="12"/>
        <v>--</v>
      </c>
      <c r="Z43" s="39" t="str">
        <f t="shared" si="13"/>
        <v>SI</v>
      </c>
      <c r="AA43" s="52">
        <f t="shared" si="14"/>
        <v>0.12672</v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2"/>
      <c r="I44" s="46"/>
      <c r="J44" s="46"/>
      <c r="K44" s="46"/>
      <c r="L44" s="46"/>
      <c r="M44" s="46"/>
      <c r="N44" s="46"/>
      <c r="O44" s="46"/>
      <c r="P44" s="46"/>
      <c r="Q44" s="314"/>
      <c r="R44" s="324"/>
      <c r="S44" s="330"/>
      <c r="T44" s="333"/>
      <c r="U44" s="334"/>
      <c r="V44" s="348"/>
      <c r="W44" s="349"/>
      <c r="X44" s="355"/>
      <c r="Y44" s="361"/>
      <c r="Z44" s="46"/>
      <c r="AA44" s="255"/>
      <c r="AB44" s="63"/>
    </row>
    <row r="45" spans="1:28" s="9" customFormat="1" ht="17.25" thickBot="1" thickTop="1">
      <c r="A45" s="161"/>
      <c r="B45" s="166"/>
      <c r="C45" s="234" t="s">
        <v>97</v>
      </c>
      <c r="D45" s="235" t="s">
        <v>98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5">
        <f aca="true" t="shared" si="16" ref="R45:Y45">SUM(R22:R44)</f>
        <v>906.4466400000001</v>
      </c>
      <c r="S45" s="331">
        <f t="shared" si="16"/>
        <v>0.19008</v>
      </c>
      <c r="T45" s="335">
        <f t="shared" si="16"/>
        <v>158.39999999999998</v>
      </c>
      <c r="U45" s="335">
        <f t="shared" si="16"/>
        <v>55.43999999999999</v>
      </c>
      <c r="V45" s="350">
        <f t="shared" si="16"/>
        <v>101.84063999999998</v>
      </c>
      <c r="W45" s="350">
        <f t="shared" si="16"/>
        <v>2500.5919488</v>
      </c>
      <c r="X45" s="356">
        <f t="shared" si="16"/>
        <v>0</v>
      </c>
      <c r="Y45" s="362">
        <f t="shared" si="16"/>
        <v>2560.100928</v>
      </c>
      <c r="Z45" s="256"/>
      <c r="AA45" s="175">
        <f>ROUND(SUM(AA22:AA44),2)</f>
        <v>6283.01</v>
      </c>
      <c r="AB45" s="63"/>
    </row>
    <row r="46" spans="1:28" s="9" customFormat="1" ht="13.5" thickTop="1">
      <c r="A46" s="161"/>
      <c r="B46" s="166"/>
      <c r="C46" s="236"/>
      <c r="D46" s="237" t="s">
        <v>99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AB48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+'tot-0007'!B2</f>
        <v>ANEXO I A LA RESOLUCION ENRE N° 336/2001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65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66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74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100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101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102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8.75">
      <c r="A16" s="186"/>
      <c r="B16" s="194" t="str">
        <f>+'tot-0007'!B14</f>
        <v>Desde el 01 al 31 de julio de 2000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3.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103</v>
      </c>
      <c r="E18" s="188"/>
      <c r="F18" s="189"/>
      <c r="G18" s="190">
        <v>0.176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104</v>
      </c>
      <c r="E19" s="192"/>
      <c r="F19" s="192"/>
      <c r="G19" s="193">
        <f>30*'tot-0007'!B13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79</v>
      </c>
      <c r="D21" s="220" t="s">
        <v>105</v>
      </c>
      <c r="E21" s="219" t="s">
        <v>106</v>
      </c>
      <c r="F21" s="222" t="s">
        <v>107</v>
      </c>
      <c r="G21" s="223" t="s">
        <v>80</v>
      </c>
      <c r="H21" s="246" t="s">
        <v>82</v>
      </c>
      <c r="I21" s="219" t="s">
        <v>83</v>
      </c>
      <c r="J21" s="219" t="s">
        <v>84</v>
      </c>
      <c r="K21" s="220" t="s">
        <v>108</v>
      </c>
      <c r="L21" s="220" t="s">
        <v>109</v>
      </c>
      <c r="M21" s="157" t="s">
        <v>87</v>
      </c>
      <c r="N21" s="219" t="s">
        <v>110</v>
      </c>
      <c r="O21" s="220" t="s">
        <v>88</v>
      </c>
      <c r="P21" s="219" t="s">
        <v>111</v>
      </c>
      <c r="Q21" s="315" t="s">
        <v>112</v>
      </c>
      <c r="R21" s="320" t="s">
        <v>89</v>
      </c>
      <c r="S21" s="326" t="s">
        <v>90</v>
      </c>
      <c r="T21" s="272" t="s">
        <v>113</v>
      </c>
      <c r="U21" s="274"/>
      <c r="V21" s="340" t="s">
        <v>114</v>
      </c>
      <c r="W21" s="341"/>
      <c r="X21" s="351" t="s">
        <v>93</v>
      </c>
      <c r="Y21" s="357" t="s">
        <v>94</v>
      </c>
      <c r="Z21" s="223" t="s">
        <v>95</v>
      </c>
      <c r="AA21" s="223" t="s">
        <v>96</v>
      </c>
      <c r="AB21" s="63"/>
    </row>
    <row r="22" spans="1:28" s="9" customFormat="1" ht="15.75" thickTop="1">
      <c r="A22" s="161"/>
      <c r="B22" s="166"/>
      <c r="C22" s="30"/>
      <c r="D22" s="36" t="s">
        <v>138</v>
      </c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>
        <f>ROUND('TR-0007'!AA45,2)</f>
        <v>6283.01</v>
      </c>
      <c r="AB22" s="63"/>
    </row>
    <row r="23" spans="1:28" s="9" customFormat="1" ht="15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55</v>
      </c>
      <c r="D24" s="8" t="s">
        <v>38</v>
      </c>
      <c r="E24" s="11" t="s">
        <v>24</v>
      </c>
      <c r="F24" s="37">
        <v>15</v>
      </c>
      <c r="G24" s="38" t="s">
        <v>21</v>
      </c>
      <c r="H24" s="248">
        <f aca="true" t="shared" si="0" ref="H24:H42">F24*$G$18</f>
        <v>2.6399999999999997</v>
      </c>
      <c r="I24" s="40">
        <v>36725.319444444445</v>
      </c>
      <c r="J24" s="41">
        <v>36725.493055555555</v>
      </c>
      <c r="K24" s="42">
        <f aca="true" t="shared" si="1" ref="K24:K42">IF(D24="","",(J24-I24)*24)</f>
        <v>4.166666666627862</v>
      </c>
      <c r="L24" s="43">
        <f aca="true" t="shared" si="2" ref="L24:L42">IF(D24="","",ROUND((J24-I24)*24*60,0))</f>
        <v>250</v>
      </c>
      <c r="M24" s="39" t="s">
        <v>145</v>
      </c>
      <c r="N24" s="39" t="str">
        <f aca="true" t="shared" si="3" ref="N24:N42">IF(D24="","",IF(OR(M24="P",M24="RP"),"--","NO"))</f>
        <v>NO</v>
      </c>
      <c r="O24" s="318">
        <v>40</v>
      </c>
      <c r="P24" s="39" t="s">
        <v>142</v>
      </c>
      <c r="Q24" s="319">
        <f aca="true" t="shared" si="4" ref="Q24:Q42">$G$19*IF(P24="SI",1,0.1)*IF(OR(M24="P",M24="RP"),0.1,1)</f>
        <v>3</v>
      </c>
      <c r="R24" s="323" t="str">
        <f aca="true" t="shared" si="5" ref="R24:R42">IF(M24="P",H24*Q24*ROUND(L24/60,2),"--")</f>
        <v>--</v>
      </c>
      <c r="S24" s="329" t="str">
        <f aca="true" t="shared" si="6" ref="S24:S42">IF(M24="RP",H24*Q24*O24/100*ROUND(L24/60,2),"--")</f>
        <v>--</v>
      </c>
      <c r="T24" s="275" t="str">
        <f aca="true" t="shared" si="7" ref="T24:T42">IF(AND(M24="F",N24="NO"),H24*Q24,"--")</f>
        <v>--</v>
      </c>
      <c r="U24" s="337" t="str">
        <f aca="true" t="shared" si="8" ref="U24:U42">IF(M24="F",H24*Q24*ROUND(L24/60,2),"--")</f>
        <v>--</v>
      </c>
      <c r="V24" s="346">
        <f aca="true" t="shared" si="9" ref="V24:V42">IF(AND(M24="R",N24="NO"),H24*Q24*O24/100,"--")</f>
        <v>3.1679999999999997</v>
      </c>
      <c r="W24" s="347">
        <f aca="true" t="shared" si="10" ref="W24:W42">IF(M24="R",H24*Q24*ROUND(L24/60,2)*O24/100,"--")</f>
        <v>13.210559999999997</v>
      </c>
      <c r="X24" s="354" t="str">
        <f aca="true" t="shared" si="11" ref="X24:X42">IF(M24="RF",H24*Q24*ROUND(L24/60,2),"--")</f>
        <v>--</v>
      </c>
      <c r="Y24" s="360" t="str">
        <f aca="true" t="shared" si="12" ref="Y24:Y42">IF(M24="RR",H24*Q24*ROUND(L24/60,2)*O24/100,"--")</f>
        <v>--</v>
      </c>
      <c r="Z24" s="39" t="str">
        <f aca="true" t="shared" si="13" ref="Z24:Z42">IF(D24="","","SI")</f>
        <v>SI</v>
      </c>
      <c r="AA24" s="52">
        <f aca="true" t="shared" si="14" ref="AA24:AA42">IF(D24="","",SUM(R24:Y24)*IF(Z24="SI",1,2))</f>
        <v>16.378559999999997</v>
      </c>
      <c r="AB24" s="387"/>
    </row>
    <row r="25" spans="1:28" s="9" customFormat="1" ht="15">
      <c r="A25" s="161"/>
      <c r="B25" s="166"/>
      <c r="C25" s="30">
        <v>56</v>
      </c>
      <c r="D25" s="8" t="s">
        <v>131</v>
      </c>
      <c r="E25" s="11" t="s">
        <v>22</v>
      </c>
      <c r="F25" s="37">
        <v>15</v>
      </c>
      <c r="G25" s="38" t="s">
        <v>21</v>
      </c>
      <c r="H25" s="248">
        <f t="shared" si="0"/>
        <v>2.6399999999999997</v>
      </c>
      <c r="I25" s="40">
        <v>36728.62986111111</v>
      </c>
      <c r="J25" s="41">
        <v>36728.64722222222</v>
      </c>
      <c r="K25" s="42">
        <f t="shared" si="1"/>
        <v>0.41666666662786156</v>
      </c>
      <c r="L25" s="43">
        <f t="shared" si="2"/>
        <v>25</v>
      </c>
      <c r="M25" s="39" t="s">
        <v>140</v>
      </c>
      <c r="N25" s="39" t="str">
        <f t="shared" si="3"/>
        <v>--</v>
      </c>
      <c r="O25" s="318" t="str">
        <f aca="true" t="shared" si="15" ref="O25:O42">IF(D25="","","--")</f>
        <v>--</v>
      </c>
      <c r="P25" s="39" t="s">
        <v>143</v>
      </c>
      <c r="Q25" s="319">
        <f t="shared" si="4"/>
        <v>3</v>
      </c>
      <c r="R25" s="323">
        <f t="shared" si="5"/>
        <v>3.3263999999999996</v>
      </c>
      <c r="S25" s="329" t="str">
        <f t="shared" si="6"/>
        <v>--</v>
      </c>
      <c r="T25" s="275" t="str">
        <f t="shared" si="7"/>
        <v>--</v>
      </c>
      <c r="U25" s="337" t="str">
        <f t="shared" si="8"/>
        <v>--</v>
      </c>
      <c r="V25" s="346" t="str">
        <f t="shared" si="9"/>
        <v>--</v>
      </c>
      <c r="W25" s="347" t="str">
        <f t="shared" si="10"/>
        <v>--</v>
      </c>
      <c r="X25" s="354" t="str">
        <f t="shared" si="11"/>
        <v>--</v>
      </c>
      <c r="Y25" s="360" t="str">
        <f t="shared" si="12"/>
        <v>--</v>
      </c>
      <c r="Z25" s="39" t="str">
        <f t="shared" si="13"/>
        <v>SI</v>
      </c>
      <c r="AA25" s="52">
        <f t="shared" si="14"/>
        <v>3.3263999999999996</v>
      </c>
      <c r="AB25" s="387"/>
    </row>
    <row r="26" spans="1:28" s="9" customFormat="1" ht="15">
      <c r="A26" s="161"/>
      <c r="B26" s="166"/>
      <c r="C26" s="30">
        <v>57</v>
      </c>
      <c r="D26" s="8" t="s">
        <v>35</v>
      </c>
      <c r="E26" s="11" t="s">
        <v>25</v>
      </c>
      <c r="F26" s="37">
        <v>15</v>
      </c>
      <c r="G26" s="38" t="s">
        <v>21</v>
      </c>
      <c r="H26" s="248">
        <f t="shared" si="0"/>
        <v>2.6399999999999997</v>
      </c>
      <c r="I26" s="40">
        <v>36728.79791666667</v>
      </c>
      <c r="J26" s="41">
        <v>36728.80347222222</v>
      </c>
      <c r="K26" s="42">
        <f t="shared" si="1"/>
        <v>0.1333333332440816</v>
      </c>
      <c r="L26" s="43">
        <f t="shared" si="2"/>
        <v>8</v>
      </c>
      <c r="M26" s="39" t="s">
        <v>145</v>
      </c>
      <c r="N26" s="39" t="str">
        <f t="shared" si="3"/>
        <v>NO</v>
      </c>
      <c r="O26" s="318">
        <v>40</v>
      </c>
      <c r="P26" s="39" t="s">
        <v>143</v>
      </c>
      <c r="Q26" s="319">
        <f t="shared" si="4"/>
        <v>30</v>
      </c>
      <c r="R26" s="323" t="str">
        <f t="shared" si="5"/>
        <v>--</v>
      </c>
      <c r="S26" s="329" t="str">
        <f t="shared" si="6"/>
        <v>--</v>
      </c>
      <c r="T26" s="275" t="str">
        <f t="shared" si="7"/>
        <v>--</v>
      </c>
      <c r="U26" s="337" t="str">
        <f t="shared" si="8"/>
        <v>--</v>
      </c>
      <c r="V26" s="346">
        <f t="shared" si="9"/>
        <v>31.679999999999996</v>
      </c>
      <c r="W26" s="347">
        <f t="shared" si="10"/>
        <v>4.118399999999999</v>
      </c>
      <c r="X26" s="354" t="str">
        <f t="shared" si="11"/>
        <v>--</v>
      </c>
      <c r="Y26" s="360" t="str">
        <f t="shared" si="12"/>
        <v>--</v>
      </c>
      <c r="Z26" s="39" t="str">
        <f t="shared" si="13"/>
        <v>SI</v>
      </c>
      <c r="AA26" s="52">
        <f t="shared" si="14"/>
        <v>35.798399999999994</v>
      </c>
      <c r="AB26" s="387"/>
    </row>
    <row r="27" spans="1:28" s="9" customFormat="1" ht="15">
      <c r="A27" s="161"/>
      <c r="B27" s="166"/>
      <c r="C27" s="30">
        <v>58</v>
      </c>
      <c r="D27" s="8" t="s">
        <v>41</v>
      </c>
      <c r="E27" s="11" t="s">
        <v>20</v>
      </c>
      <c r="F27" s="37">
        <v>30</v>
      </c>
      <c r="G27" s="38" t="s">
        <v>21</v>
      </c>
      <c r="H27" s="248">
        <f t="shared" si="0"/>
        <v>5.279999999999999</v>
      </c>
      <c r="I27" s="40">
        <v>36732.379166666666</v>
      </c>
      <c r="J27" s="41">
        <v>36735.7375</v>
      </c>
      <c r="K27" s="42">
        <f t="shared" si="1"/>
        <v>80.60000000009313</v>
      </c>
      <c r="L27" s="43">
        <f t="shared" si="2"/>
        <v>4836</v>
      </c>
      <c r="M27" s="39" t="s">
        <v>146</v>
      </c>
      <c r="N27" s="39" t="str">
        <f t="shared" si="3"/>
        <v>--</v>
      </c>
      <c r="O27" s="318">
        <v>40</v>
      </c>
      <c r="P27" s="39" t="s">
        <v>142</v>
      </c>
      <c r="Q27" s="319">
        <f t="shared" si="4"/>
        <v>0.30000000000000004</v>
      </c>
      <c r="R27" s="323" t="str">
        <f t="shared" si="5"/>
        <v>--</v>
      </c>
      <c r="S27" s="329">
        <f t="shared" si="6"/>
        <v>51.06815999999999</v>
      </c>
      <c r="T27" s="275" t="str">
        <f t="shared" si="7"/>
        <v>--</v>
      </c>
      <c r="U27" s="337" t="str">
        <f t="shared" si="8"/>
        <v>--</v>
      </c>
      <c r="V27" s="346" t="str">
        <f t="shared" si="9"/>
        <v>--</v>
      </c>
      <c r="W27" s="347" t="str">
        <f t="shared" si="10"/>
        <v>--</v>
      </c>
      <c r="X27" s="354" t="str">
        <f t="shared" si="11"/>
        <v>--</v>
      </c>
      <c r="Y27" s="360" t="str">
        <f t="shared" si="12"/>
        <v>--</v>
      </c>
      <c r="Z27" s="39" t="str">
        <f t="shared" si="13"/>
        <v>SI</v>
      </c>
      <c r="AA27" s="52">
        <f t="shared" si="14"/>
        <v>51.06815999999999</v>
      </c>
      <c r="AB27" s="387"/>
    </row>
    <row r="28" spans="1:28" s="9" customFormat="1" ht="15">
      <c r="A28" s="161"/>
      <c r="B28" s="166"/>
      <c r="C28" s="30">
        <v>59</v>
      </c>
      <c r="D28" s="8" t="s">
        <v>28</v>
      </c>
      <c r="E28" s="11" t="s">
        <v>22</v>
      </c>
      <c r="F28" s="37">
        <v>15</v>
      </c>
      <c r="G28" s="38" t="s">
        <v>26</v>
      </c>
      <c r="H28" s="248">
        <f t="shared" si="0"/>
        <v>2.6399999999999997</v>
      </c>
      <c r="I28" s="40">
        <v>36735.36388888889</v>
      </c>
      <c r="J28" s="41">
        <v>36735.7875</v>
      </c>
      <c r="K28" s="42">
        <f t="shared" si="1"/>
        <v>10.166666666627862</v>
      </c>
      <c r="L28" s="43">
        <f t="shared" si="2"/>
        <v>610</v>
      </c>
      <c r="M28" s="39" t="s">
        <v>140</v>
      </c>
      <c r="N28" s="39" t="str">
        <f t="shared" si="3"/>
        <v>--</v>
      </c>
      <c r="O28" s="318" t="str">
        <f t="shared" si="15"/>
        <v>--</v>
      </c>
      <c r="P28" s="39" t="s">
        <v>142</v>
      </c>
      <c r="Q28" s="319">
        <f t="shared" si="4"/>
        <v>0.30000000000000004</v>
      </c>
      <c r="R28" s="323">
        <f t="shared" si="5"/>
        <v>8.054640000000001</v>
      </c>
      <c r="S28" s="329" t="str">
        <f t="shared" si="6"/>
        <v>--</v>
      </c>
      <c r="T28" s="275" t="str">
        <f t="shared" si="7"/>
        <v>--</v>
      </c>
      <c r="U28" s="337" t="str">
        <f t="shared" si="8"/>
        <v>--</v>
      </c>
      <c r="V28" s="346" t="str">
        <f t="shared" si="9"/>
        <v>--</v>
      </c>
      <c r="W28" s="347" t="str">
        <f t="shared" si="10"/>
        <v>--</v>
      </c>
      <c r="X28" s="354" t="str">
        <f t="shared" si="11"/>
        <v>--</v>
      </c>
      <c r="Y28" s="360" t="str">
        <f t="shared" si="12"/>
        <v>--</v>
      </c>
      <c r="Z28" s="39" t="str">
        <f t="shared" si="13"/>
        <v>SI</v>
      </c>
      <c r="AA28" s="52">
        <f t="shared" si="14"/>
        <v>8.054640000000001</v>
      </c>
      <c r="AB28" s="387"/>
    </row>
    <row r="29" spans="1:28" s="9" customFormat="1" ht="15">
      <c r="A29" s="161"/>
      <c r="B29" s="166"/>
      <c r="C29" s="30">
        <v>60</v>
      </c>
      <c r="D29" s="8" t="s">
        <v>33</v>
      </c>
      <c r="E29" s="11" t="s">
        <v>25</v>
      </c>
      <c r="F29" s="37">
        <v>15</v>
      </c>
      <c r="G29" s="38" t="s">
        <v>21</v>
      </c>
      <c r="H29" s="248">
        <f t="shared" si="0"/>
        <v>2.6399999999999997</v>
      </c>
      <c r="I29" s="40">
        <v>36737.32986111111</v>
      </c>
      <c r="J29" s="41">
        <v>36737.643055555556</v>
      </c>
      <c r="K29" s="42">
        <f t="shared" si="1"/>
        <v>7.516666666720994</v>
      </c>
      <c r="L29" s="43">
        <f t="shared" si="2"/>
        <v>451</v>
      </c>
      <c r="M29" s="39" t="s">
        <v>140</v>
      </c>
      <c r="N29" s="39" t="str">
        <f t="shared" si="3"/>
        <v>--</v>
      </c>
      <c r="O29" s="318" t="str">
        <f t="shared" si="15"/>
        <v>--</v>
      </c>
      <c r="P29" s="39" t="s">
        <v>143</v>
      </c>
      <c r="Q29" s="319">
        <f t="shared" si="4"/>
        <v>3</v>
      </c>
      <c r="R29" s="323">
        <f t="shared" si="5"/>
        <v>59.55839999999999</v>
      </c>
      <c r="S29" s="329" t="str">
        <f t="shared" si="6"/>
        <v>--</v>
      </c>
      <c r="T29" s="275" t="str">
        <f t="shared" si="7"/>
        <v>--</v>
      </c>
      <c r="U29" s="337" t="str">
        <f t="shared" si="8"/>
        <v>--</v>
      </c>
      <c r="V29" s="346" t="str">
        <f t="shared" si="9"/>
        <v>--</v>
      </c>
      <c r="W29" s="347" t="str">
        <f t="shared" si="10"/>
        <v>--</v>
      </c>
      <c r="X29" s="354" t="str">
        <f t="shared" si="11"/>
        <v>--</v>
      </c>
      <c r="Y29" s="360" t="str">
        <f t="shared" si="12"/>
        <v>--</v>
      </c>
      <c r="Z29" s="39" t="str">
        <f t="shared" si="13"/>
        <v>SI</v>
      </c>
      <c r="AA29" s="52">
        <f t="shared" si="14"/>
        <v>59.55839999999999</v>
      </c>
      <c r="AB29" s="387"/>
    </row>
    <row r="30" spans="1:28" s="9" customFormat="1" ht="15">
      <c r="A30" s="161"/>
      <c r="B30" s="166"/>
      <c r="C30" s="30"/>
      <c r="D30" s="8" t="s">
        <v>27</v>
      </c>
      <c r="E30" s="11" t="s">
        <v>22</v>
      </c>
      <c r="F30" s="37">
        <v>15</v>
      </c>
      <c r="G30" s="45" t="s">
        <v>21</v>
      </c>
      <c r="H30" s="248">
        <f t="shared" si="0"/>
        <v>2.6399999999999997</v>
      </c>
      <c r="I30" s="40">
        <v>36737.43472222222</v>
      </c>
      <c r="J30" s="41">
        <v>36737.44305555556</v>
      </c>
      <c r="K30" s="42">
        <f t="shared" si="1"/>
        <v>0.20000000012805685</v>
      </c>
      <c r="L30" s="43">
        <f t="shared" si="2"/>
        <v>12</v>
      </c>
      <c r="M30" s="39" t="s">
        <v>145</v>
      </c>
      <c r="N30" s="39" t="str">
        <f t="shared" si="3"/>
        <v>NO</v>
      </c>
      <c r="O30" s="318">
        <v>40</v>
      </c>
      <c r="P30" s="39" t="s">
        <v>143</v>
      </c>
      <c r="Q30" s="319">
        <f t="shared" si="4"/>
        <v>30</v>
      </c>
      <c r="R30" s="323" t="str">
        <f t="shared" si="5"/>
        <v>--</v>
      </c>
      <c r="S30" s="329" t="str">
        <f t="shared" si="6"/>
        <v>--</v>
      </c>
      <c r="T30" s="275" t="str">
        <f t="shared" si="7"/>
        <v>--</v>
      </c>
      <c r="U30" s="337" t="str">
        <f t="shared" si="8"/>
        <v>--</v>
      </c>
      <c r="V30" s="346">
        <f t="shared" si="9"/>
        <v>31.679999999999996</v>
      </c>
      <c r="W30" s="347">
        <f t="shared" si="10"/>
        <v>6.335999999999999</v>
      </c>
      <c r="X30" s="354" t="str">
        <f t="shared" si="11"/>
        <v>--</v>
      </c>
      <c r="Y30" s="360" t="str">
        <f t="shared" si="12"/>
        <v>--</v>
      </c>
      <c r="Z30" s="39" t="str">
        <f t="shared" si="13"/>
        <v>SI</v>
      </c>
      <c r="AA30" s="52">
        <f t="shared" si="14"/>
        <v>38.016</v>
      </c>
      <c r="AB30" s="387"/>
    </row>
    <row r="31" spans="1:28" s="9" customFormat="1" ht="15">
      <c r="A31" s="161"/>
      <c r="B31" s="166"/>
      <c r="C31" s="30"/>
      <c r="D31" s="8"/>
      <c r="E31" s="11"/>
      <c r="F31" s="37"/>
      <c r="G31" s="38"/>
      <c r="H31" s="248">
        <f t="shared" si="0"/>
        <v>0</v>
      </c>
      <c r="I31" s="40"/>
      <c r="J31" s="41"/>
      <c r="K31" s="42">
        <f t="shared" si="1"/>
      </c>
      <c r="L31" s="43">
        <f t="shared" si="2"/>
      </c>
      <c r="M31" s="39"/>
      <c r="N31" s="39">
        <f t="shared" si="3"/>
      </c>
      <c r="O31" s="318">
        <f t="shared" si="15"/>
      </c>
      <c r="P31" s="39"/>
      <c r="Q31" s="319">
        <f t="shared" si="4"/>
        <v>3</v>
      </c>
      <c r="R31" s="323" t="str">
        <f t="shared" si="5"/>
        <v>--</v>
      </c>
      <c r="S31" s="329" t="str">
        <f t="shared" si="6"/>
        <v>--</v>
      </c>
      <c r="T31" s="275" t="str">
        <f t="shared" si="7"/>
        <v>--</v>
      </c>
      <c r="U31" s="337" t="str">
        <f t="shared" si="8"/>
        <v>--</v>
      </c>
      <c r="V31" s="346" t="str">
        <f t="shared" si="9"/>
        <v>--</v>
      </c>
      <c r="W31" s="347" t="str">
        <f t="shared" si="10"/>
        <v>--</v>
      </c>
      <c r="X31" s="354" t="str">
        <f t="shared" si="11"/>
        <v>--</v>
      </c>
      <c r="Y31" s="360" t="str">
        <f t="shared" si="12"/>
        <v>--</v>
      </c>
      <c r="Z31" s="39">
        <f t="shared" si="13"/>
      </c>
      <c r="AA31" s="52">
        <f t="shared" si="14"/>
      </c>
      <c r="AB31" s="387"/>
    </row>
    <row r="32" spans="1:28" s="9" customFormat="1" ht="15">
      <c r="A32" s="161"/>
      <c r="B32" s="166"/>
      <c r="C32" s="30"/>
      <c r="D32" s="8"/>
      <c r="E32" s="11"/>
      <c r="F32" s="37"/>
      <c r="G32" s="38"/>
      <c r="H32" s="248">
        <f t="shared" si="0"/>
        <v>0</v>
      </c>
      <c r="I32" s="40"/>
      <c r="J32" s="41"/>
      <c r="K32" s="42">
        <f t="shared" si="1"/>
      </c>
      <c r="L32" s="43">
        <f t="shared" si="2"/>
      </c>
      <c r="M32" s="39"/>
      <c r="N32" s="39">
        <f t="shared" si="3"/>
      </c>
      <c r="O32" s="318">
        <f t="shared" si="15"/>
      </c>
      <c r="P32" s="39"/>
      <c r="Q32" s="319">
        <f t="shared" si="4"/>
        <v>3</v>
      </c>
      <c r="R32" s="323" t="str">
        <f t="shared" si="5"/>
        <v>--</v>
      </c>
      <c r="S32" s="329" t="str">
        <f t="shared" si="6"/>
        <v>--</v>
      </c>
      <c r="T32" s="275" t="str">
        <f t="shared" si="7"/>
        <v>--</v>
      </c>
      <c r="U32" s="337" t="str">
        <f t="shared" si="8"/>
        <v>--</v>
      </c>
      <c r="V32" s="346" t="str">
        <f t="shared" si="9"/>
        <v>--</v>
      </c>
      <c r="W32" s="347" t="str">
        <f t="shared" si="10"/>
        <v>--</v>
      </c>
      <c r="X32" s="354" t="str">
        <f t="shared" si="11"/>
        <v>--</v>
      </c>
      <c r="Y32" s="360" t="str">
        <f t="shared" si="12"/>
        <v>--</v>
      </c>
      <c r="Z32" s="39">
        <f t="shared" si="13"/>
      </c>
      <c r="AA32" s="52">
        <f t="shared" si="14"/>
      </c>
      <c r="AB32" s="387"/>
    </row>
    <row r="33" spans="1:28" s="9" customFormat="1" ht="15">
      <c r="A33" s="161"/>
      <c r="B33" s="166"/>
      <c r="C33" s="30"/>
      <c r="D33" s="8"/>
      <c r="E33" s="11"/>
      <c r="F33" s="37"/>
      <c r="G33" s="38"/>
      <c r="H33" s="248">
        <f t="shared" si="0"/>
        <v>0</v>
      </c>
      <c r="I33" s="40"/>
      <c r="J33" s="41"/>
      <c r="K33" s="42">
        <f t="shared" si="1"/>
      </c>
      <c r="L33" s="43">
        <f t="shared" si="2"/>
      </c>
      <c r="M33" s="39"/>
      <c r="N33" s="39">
        <f t="shared" si="3"/>
      </c>
      <c r="O33" s="318">
        <f t="shared" si="15"/>
      </c>
      <c r="P33" s="39"/>
      <c r="Q33" s="319">
        <f t="shared" si="4"/>
        <v>3</v>
      </c>
      <c r="R33" s="323" t="str">
        <f t="shared" si="5"/>
        <v>--</v>
      </c>
      <c r="S33" s="329" t="str">
        <f t="shared" si="6"/>
        <v>--</v>
      </c>
      <c r="T33" s="275" t="str">
        <f t="shared" si="7"/>
        <v>--</v>
      </c>
      <c r="U33" s="337" t="str">
        <f t="shared" si="8"/>
        <v>--</v>
      </c>
      <c r="V33" s="346" t="str">
        <f t="shared" si="9"/>
        <v>--</v>
      </c>
      <c r="W33" s="347" t="str">
        <f t="shared" si="10"/>
        <v>--</v>
      </c>
      <c r="X33" s="354" t="str">
        <f t="shared" si="11"/>
        <v>--</v>
      </c>
      <c r="Y33" s="360" t="str">
        <f t="shared" si="12"/>
        <v>--</v>
      </c>
      <c r="Z33" s="39">
        <f t="shared" si="13"/>
      </c>
      <c r="AA33" s="52">
        <f t="shared" si="14"/>
      </c>
      <c r="AB33" s="387"/>
    </row>
    <row r="34" spans="1:28" s="9" customFormat="1" ht="15">
      <c r="A34" s="161"/>
      <c r="B34" s="166"/>
      <c r="C34" s="30"/>
      <c r="D34" s="8"/>
      <c r="E34" s="11"/>
      <c r="F34" s="37"/>
      <c r="G34" s="38"/>
      <c r="H34" s="248">
        <f t="shared" si="0"/>
        <v>0</v>
      </c>
      <c r="I34" s="40"/>
      <c r="J34" s="41"/>
      <c r="K34" s="42">
        <f t="shared" si="1"/>
      </c>
      <c r="L34" s="43">
        <f t="shared" si="2"/>
      </c>
      <c r="M34" s="39"/>
      <c r="N34" s="39">
        <f t="shared" si="3"/>
      </c>
      <c r="O34" s="318">
        <f t="shared" si="15"/>
      </c>
      <c r="P34" s="39"/>
      <c r="Q34" s="319">
        <f t="shared" si="4"/>
        <v>3</v>
      </c>
      <c r="R34" s="323" t="str">
        <f t="shared" si="5"/>
        <v>--</v>
      </c>
      <c r="S34" s="329" t="str">
        <f t="shared" si="6"/>
        <v>--</v>
      </c>
      <c r="T34" s="275" t="str">
        <f t="shared" si="7"/>
        <v>--</v>
      </c>
      <c r="U34" s="337" t="str">
        <f t="shared" si="8"/>
        <v>--</v>
      </c>
      <c r="V34" s="346" t="str">
        <f t="shared" si="9"/>
        <v>--</v>
      </c>
      <c r="W34" s="347" t="str">
        <f t="shared" si="10"/>
        <v>--</v>
      </c>
      <c r="X34" s="354" t="str">
        <f t="shared" si="11"/>
        <v>--</v>
      </c>
      <c r="Y34" s="360" t="str">
        <f t="shared" si="12"/>
        <v>--</v>
      </c>
      <c r="Z34" s="39">
        <f t="shared" si="13"/>
      </c>
      <c r="AA34" s="52">
        <f t="shared" si="14"/>
      </c>
      <c r="AB34" s="387"/>
    </row>
    <row r="35" spans="1:28" s="9" customFormat="1" ht="15">
      <c r="A35" s="161"/>
      <c r="B35" s="166"/>
      <c r="C35" s="30"/>
      <c r="D35" s="8"/>
      <c r="E35" s="11"/>
      <c r="F35" s="37"/>
      <c r="G35" s="38"/>
      <c r="H35" s="248">
        <f t="shared" si="0"/>
        <v>0</v>
      </c>
      <c r="I35" s="40"/>
      <c r="J35" s="41"/>
      <c r="K35" s="42">
        <f t="shared" si="1"/>
      </c>
      <c r="L35" s="43">
        <f t="shared" si="2"/>
      </c>
      <c r="M35" s="39"/>
      <c r="N35" s="39">
        <f t="shared" si="3"/>
      </c>
      <c r="O35" s="318">
        <f t="shared" si="15"/>
      </c>
      <c r="P35" s="39"/>
      <c r="Q35" s="319">
        <f t="shared" si="4"/>
        <v>3</v>
      </c>
      <c r="R35" s="323" t="str">
        <f t="shared" si="5"/>
        <v>--</v>
      </c>
      <c r="S35" s="329" t="str">
        <f t="shared" si="6"/>
        <v>--</v>
      </c>
      <c r="T35" s="275" t="str">
        <f t="shared" si="7"/>
        <v>--</v>
      </c>
      <c r="U35" s="337" t="str">
        <f t="shared" si="8"/>
        <v>--</v>
      </c>
      <c r="V35" s="346" t="str">
        <f t="shared" si="9"/>
        <v>--</v>
      </c>
      <c r="W35" s="347" t="str">
        <f t="shared" si="10"/>
        <v>--</v>
      </c>
      <c r="X35" s="354" t="str">
        <f t="shared" si="11"/>
        <v>--</v>
      </c>
      <c r="Y35" s="360" t="str">
        <f t="shared" si="12"/>
        <v>--</v>
      </c>
      <c r="Z35" s="39">
        <f t="shared" si="13"/>
      </c>
      <c r="AA35" s="52">
        <f t="shared" si="14"/>
      </c>
      <c r="AB35" s="387"/>
    </row>
    <row r="36" spans="1:28" s="9" customFormat="1" ht="15">
      <c r="A36" s="161"/>
      <c r="B36" s="166"/>
      <c r="C36" s="30"/>
      <c r="D36" s="8"/>
      <c r="E36" s="11"/>
      <c r="F36" s="37"/>
      <c r="G36" s="38"/>
      <c r="H36" s="248">
        <f t="shared" si="0"/>
        <v>0</v>
      </c>
      <c r="I36" s="41"/>
      <c r="J36" s="41"/>
      <c r="K36" s="42">
        <f t="shared" si="1"/>
      </c>
      <c r="L36" s="43">
        <f t="shared" si="2"/>
      </c>
      <c r="M36" s="39"/>
      <c r="N36" s="39">
        <f t="shared" si="3"/>
      </c>
      <c r="O36" s="318">
        <f t="shared" si="15"/>
      </c>
      <c r="P36" s="39"/>
      <c r="Q36" s="319">
        <f t="shared" si="4"/>
        <v>3</v>
      </c>
      <c r="R36" s="323" t="str">
        <f t="shared" si="5"/>
        <v>--</v>
      </c>
      <c r="S36" s="329" t="str">
        <f t="shared" si="6"/>
        <v>--</v>
      </c>
      <c r="T36" s="275" t="str">
        <f t="shared" si="7"/>
        <v>--</v>
      </c>
      <c r="U36" s="337" t="str">
        <f t="shared" si="8"/>
        <v>--</v>
      </c>
      <c r="V36" s="346" t="str">
        <f t="shared" si="9"/>
        <v>--</v>
      </c>
      <c r="W36" s="347" t="str">
        <f t="shared" si="10"/>
        <v>--</v>
      </c>
      <c r="X36" s="354" t="str">
        <f t="shared" si="11"/>
        <v>--</v>
      </c>
      <c r="Y36" s="360" t="str">
        <f t="shared" si="12"/>
        <v>--</v>
      </c>
      <c r="Z36" s="39">
        <f t="shared" si="13"/>
      </c>
      <c r="AA36" s="52">
        <f t="shared" si="14"/>
      </c>
      <c r="AB36" s="387"/>
    </row>
    <row r="37" spans="1:28" s="9" customFormat="1" ht="15">
      <c r="A37" s="161"/>
      <c r="B37" s="166"/>
      <c r="C37" s="30"/>
      <c r="D37" s="8"/>
      <c r="E37" s="11"/>
      <c r="F37" s="37"/>
      <c r="G37" s="38"/>
      <c r="H37" s="248">
        <f t="shared" si="0"/>
        <v>0</v>
      </c>
      <c r="I37" s="40"/>
      <c r="J37" s="41"/>
      <c r="K37" s="42">
        <f t="shared" si="1"/>
      </c>
      <c r="L37" s="43">
        <f t="shared" si="2"/>
      </c>
      <c r="M37" s="39"/>
      <c r="N37" s="39">
        <f t="shared" si="3"/>
      </c>
      <c r="O37" s="318">
        <f t="shared" si="15"/>
      </c>
      <c r="P37" s="39"/>
      <c r="Q37" s="319">
        <f t="shared" si="4"/>
        <v>3</v>
      </c>
      <c r="R37" s="323" t="str">
        <f t="shared" si="5"/>
        <v>--</v>
      </c>
      <c r="S37" s="329" t="str">
        <f t="shared" si="6"/>
        <v>--</v>
      </c>
      <c r="T37" s="275" t="str">
        <f t="shared" si="7"/>
        <v>--</v>
      </c>
      <c r="U37" s="337" t="str">
        <f t="shared" si="8"/>
        <v>--</v>
      </c>
      <c r="V37" s="346" t="str">
        <f t="shared" si="9"/>
        <v>--</v>
      </c>
      <c r="W37" s="347" t="str">
        <f t="shared" si="10"/>
        <v>--</v>
      </c>
      <c r="X37" s="354" t="str">
        <f t="shared" si="11"/>
        <v>--</v>
      </c>
      <c r="Y37" s="360" t="str">
        <f t="shared" si="12"/>
        <v>--</v>
      </c>
      <c r="Z37" s="39">
        <f t="shared" si="13"/>
      </c>
      <c r="AA37" s="52">
        <f t="shared" si="14"/>
      </c>
      <c r="AB37" s="63"/>
    </row>
    <row r="38" spans="1:28" s="9" customFormat="1" ht="15">
      <c r="A38" s="161"/>
      <c r="B38" s="166"/>
      <c r="C38" s="30"/>
      <c r="D38" s="8"/>
      <c r="E38" s="11"/>
      <c r="F38" s="37"/>
      <c r="G38" s="38"/>
      <c r="H38" s="248">
        <f t="shared" si="0"/>
        <v>0</v>
      </c>
      <c r="I38" s="40"/>
      <c r="J38" s="41"/>
      <c r="K38" s="42">
        <f t="shared" si="1"/>
      </c>
      <c r="L38" s="43">
        <f t="shared" si="2"/>
      </c>
      <c r="M38" s="39"/>
      <c r="N38" s="39">
        <f t="shared" si="3"/>
      </c>
      <c r="O38" s="318">
        <f t="shared" si="15"/>
      </c>
      <c r="P38" s="39"/>
      <c r="Q38" s="319">
        <f t="shared" si="4"/>
        <v>3</v>
      </c>
      <c r="R38" s="323" t="str">
        <f t="shared" si="5"/>
        <v>--</v>
      </c>
      <c r="S38" s="329" t="str">
        <f t="shared" si="6"/>
        <v>--</v>
      </c>
      <c r="T38" s="275" t="str">
        <f t="shared" si="7"/>
        <v>--</v>
      </c>
      <c r="U38" s="337" t="str">
        <f t="shared" si="8"/>
        <v>--</v>
      </c>
      <c r="V38" s="346" t="str">
        <f t="shared" si="9"/>
        <v>--</v>
      </c>
      <c r="W38" s="347" t="str">
        <f t="shared" si="10"/>
        <v>--</v>
      </c>
      <c r="X38" s="354" t="str">
        <f t="shared" si="11"/>
        <v>--</v>
      </c>
      <c r="Y38" s="360" t="str">
        <f t="shared" si="12"/>
        <v>--</v>
      </c>
      <c r="Z38" s="39">
        <f t="shared" si="13"/>
      </c>
      <c r="AA38" s="52">
        <f t="shared" si="14"/>
      </c>
      <c r="AB38" s="63"/>
    </row>
    <row r="39" spans="1:28" s="9" customFormat="1" ht="15">
      <c r="A39" s="161"/>
      <c r="B39" s="166"/>
      <c r="C39" s="30"/>
      <c r="D39" s="8"/>
      <c r="E39" s="11"/>
      <c r="F39" s="37"/>
      <c r="G39" s="38"/>
      <c r="H39" s="248">
        <f t="shared" si="0"/>
        <v>0</v>
      </c>
      <c r="I39" s="40"/>
      <c r="J39" s="41"/>
      <c r="K39" s="42">
        <f t="shared" si="1"/>
      </c>
      <c r="L39" s="43">
        <f t="shared" si="2"/>
      </c>
      <c r="M39" s="39"/>
      <c r="N39" s="39">
        <f t="shared" si="3"/>
      </c>
      <c r="O39" s="318">
        <f t="shared" si="15"/>
      </c>
      <c r="P39" s="39"/>
      <c r="Q39" s="319">
        <f t="shared" si="4"/>
        <v>3</v>
      </c>
      <c r="R39" s="323" t="str">
        <f t="shared" si="5"/>
        <v>--</v>
      </c>
      <c r="S39" s="329" t="str">
        <f t="shared" si="6"/>
        <v>--</v>
      </c>
      <c r="T39" s="275" t="str">
        <f t="shared" si="7"/>
        <v>--</v>
      </c>
      <c r="U39" s="337" t="str">
        <f t="shared" si="8"/>
        <v>--</v>
      </c>
      <c r="V39" s="346" t="str">
        <f t="shared" si="9"/>
        <v>--</v>
      </c>
      <c r="W39" s="347" t="str">
        <f t="shared" si="10"/>
        <v>--</v>
      </c>
      <c r="X39" s="354" t="str">
        <f t="shared" si="11"/>
        <v>--</v>
      </c>
      <c r="Y39" s="360" t="str">
        <f t="shared" si="12"/>
        <v>--</v>
      </c>
      <c r="Z39" s="39">
        <f t="shared" si="13"/>
      </c>
      <c r="AA39" s="52">
        <f t="shared" si="14"/>
      </c>
      <c r="AB39" s="63"/>
    </row>
    <row r="40" spans="1:28" s="9" customFormat="1" ht="15">
      <c r="A40" s="161"/>
      <c r="B40" s="166"/>
      <c r="C40" s="30"/>
      <c r="D40" s="8"/>
      <c r="E40" s="11"/>
      <c r="F40" s="37"/>
      <c r="G40" s="38"/>
      <c r="H40" s="248">
        <f t="shared" si="0"/>
        <v>0</v>
      </c>
      <c r="I40" s="40"/>
      <c r="J40" s="41"/>
      <c r="K40" s="42">
        <f t="shared" si="1"/>
      </c>
      <c r="L40" s="43">
        <f t="shared" si="2"/>
      </c>
      <c r="M40" s="39"/>
      <c r="N40" s="39">
        <f t="shared" si="3"/>
      </c>
      <c r="O40" s="318">
        <f t="shared" si="15"/>
      </c>
      <c r="P40" s="39"/>
      <c r="Q40" s="319">
        <f t="shared" si="4"/>
        <v>3</v>
      </c>
      <c r="R40" s="323" t="str">
        <f t="shared" si="5"/>
        <v>--</v>
      </c>
      <c r="S40" s="329" t="str">
        <f t="shared" si="6"/>
        <v>--</v>
      </c>
      <c r="T40" s="275" t="str">
        <f t="shared" si="7"/>
        <v>--</v>
      </c>
      <c r="U40" s="337" t="str">
        <f t="shared" si="8"/>
        <v>--</v>
      </c>
      <c r="V40" s="346" t="str">
        <f t="shared" si="9"/>
        <v>--</v>
      </c>
      <c r="W40" s="347" t="str">
        <f t="shared" si="10"/>
        <v>--</v>
      </c>
      <c r="X40" s="354" t="str">
        <f t="shared" si="11"/>
        <v>--</v>
      </c>
      <c r="Y40" s="360" t="str">
        <f t="shared" si="12"/>
        <v>--</v>
      </c>
      <c r="Z40" s="39">
        <f t="shared" si="13"/>
      </c>
      <c r="AA40" s="52">
        <f t="shared" si="14"/>
      </c>
      <c r="AB40" s="63"/>
    </row>
    <row r="41" spans="1:28" s="9" customFormat="1" ht="15">
      <c r="A41" s="161"/>
      <c r="B41" s="166"/>
      <c r="C41" s="30"/>
      <c r="D41" s="8"/>
      <c r="E41" s="11"/>
      <c r="F41" s="37"/>
      <c r="G41" s="38"/>
      <c r="H41" s="248">
        <f t="shared" si="0"/>
        <v>0</v>
      </c>
      <c r="I41" s="40"/>
      <c r="J41" s="41"/>
      <c r="K41" s="42">
        <f t="shared" si="1"/>
      </c>
      <c r="L41" s="43">
        <f t="shared" si="2"/>
      </c>
      <c r="M41" s="39"/>
      <c r="N41" s="39">
        <f t="shared" si="3"/>
      </c>
      <c r="O41" s="318">
        <f t="shared" si="15"/>
      </c>
      <c r="P41" s="39"/>
      <c r="Q41" s="319">
        <f t="shared" si="4"/>
        <v>3</v>
      </c>
      <c r="R41" s="323" t="str">
        <f t="shared" si="5"/>
        <v>--</v>
      </c>
      <c r="S41" s="329" t="str">
        <f t="shared" si="6"/>
        <v>--</v>
      </c>
      <c r="T41" s="275" t="str">
        <f t="shared" si="7"/>
        <v>--</v>
      </c>
      <c r="U41" s="337" t="str">
        <f t="shared" si="8"/>
        <v>--</v>
      </c>
      <c r="V41" s="346" t="str">
        <f t="shared" si="9"/>
        <v>--</v>
      </c>
      <c r="W41" s="347" t="str">
        <f t="shared" si="10"/>
        <v>--</v>
      </c>
      <c r="X41" s="354" t="str">
        <f t="shared" si="11"/>
        <v>--</v>
      </c>
      <c r="Y41" s="360" t="str">
        <f t="shared" si="12"/>
        <v>--</v>
      </c>
      <c r="Z41" s="39">
        <f t="shared" si="13"/>
      </c>
      <c r="AA41" s="52">
        <f t="shared" si="14"/>
      </c>
      <c r="AB41" s="63"/>
    </row>
    <row r="42" spans="1:28" s="9" customFormat="1" ht="15">
      <c r="A42" s="161"/>
      <c r="B42" s="166"/>
      <c r="C42" s="30"/>
      <c r="D42" s="8"/>
      <c r="E42" s="11"/>
      <c r="F42" s="37"/>
      <c r="G42" s="38"/>
      <c r="H42" s="248">
        <f t="shared" si="0"/>
        <v>0</v>
      </c>
      <c r="I42" s="40"/>
      <c r="J42" s="41"/>
      <c r="K42" s="42">
        <f t="shared" si="1"/>
      </c>
      <c r="L42" s="43">
        <f t="shared" si="2"/>
      </c>
      <c r="M42" s="39"/>
      <c r="N42" s="39">
        <f t="shared" si="3"/>
      </c>
      <c r="O42" s="318">
        <f t="shared" si="15"/>
      </c>
      <c r="P42" s="39"/>
      <c r="Q42" s="319">
        <f t="shared" si="4"/>
        <v>3</v>
      </c>
      <c r="R42" s="323" t="str">
        <f t="shared" si="5"/>
        <v>--</v>
      </c>
      <c r="S42" s="329" t="str">
        <f t="shared" si="6"/>
        <v>--</v>
      </c>
      <c r="T42" s="275" t="str">
        <f t="shared" si="7"/>
        <v>--</v>
      </c>
      <c r="U42" s="337" t="str">
        <f t="shared" si="8"/>
        <v>--</v>
      </c>
      <c r="V42" s="346" t="str">
        <f t="shared" si="9"/>
        <v>--</v>
      </c>
      <c r="W42" s="347" t="str">
        <f t="shared" si="10"/>
        <v>--</v>
      </c>
      <c r="X42" s="354" t="str">
        <f t="shared" si="11"/>
        <v>--</v>
      </c>
      <c r="Y42" s="360" t="str">
        <f t="shared" si="12"/>
        <v>--</v>
      </c>
      <c r="Z42" s="39">
        <f t="shared" si="13"/>
      </c>
      <c r="AA42" s="52">
        <f t="shared" si="14"/>
      </c>
      <c r="AB42" s="63"/>
    </row>
    <row r="43" spans="1:28" s="9" customFormat="1" ht="15.75" thickBot="1">
      <c r="A43" s="161"/>
      <c r="B43" s="166"/>
      <c r="C43" s="46"/>
      <c r="D43" s="46"/>
      <c r="E43" s="46"/>
      <c r="F43" s="46"/>
      <c r="G43" s="46"/>
      <c r="H43" s="252"/>
      <c r="I43" s="46"/>
      <c r="J43" s="46"/>
      <c r="K43" s="46"/>
      <c r="L43" s="46"/>
      <c r="M43" s="46"/>
      <c r="N43" s="46"/>
      <c r="O43" s="46"/>
      <c r="P43" s="46"/>
      <c r="Q43" s="314"/>
      <c r="R43" s="324"/>
      <c r="S43" s="330"/>
      <c r="T43" s="333"/>
      <c r="U43" s="334"/>
      <c r="V43" s="348"/>
      <c r="W43" s="349"/>
      <c r="X43" s="355"/>
      <c r="Y43" s="361"/>
      <c r="Z43" s="46"/>
      <c r="AA43" s="255"/>
      <c r="AB43" s="63"/>
    </row>
    <row r="44" spans="1:28" s="9" customFormat="1" ht="17.25" thickBot="1" thickTop="1">
      <c r="A44" s="161"/>
      <c r="B44" s="166"/>
      <c r="C44" s="234" t="s">
        <v>97</v>
      </c>
      <c r="D44" s="235" t="s">
        <v>98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325">
        <f aca="true" t="shared" si="16" ref="R44:Y44">SUM(R22:R43)</f>
        <v>70.93943999999999</v>
      </c>
      <c r="S44" s="331">
        <f t="shared" si="16"/>
        <v>51.06815999999999</v>
      </c>
      <c r="T44" s="335">
        <f t="shared" si="16"/>
        <v>0</v>
      </c>
      <c r="U44" s="335">
        <f t="shared" si="16"/>
        <v>0</v>
      </c>
      <c r="V44" s="350">
        <f t="shared" si="16"/>
        <v>66.52799999999999</v>
      </c>
      <c r="W44" s="350">
        <f t="shared" si="16"/>
        <v>23.664959999999994</v>
      </c>
      <c r="X44" s="356">
        <f t="shared" si="16"/>
        <v>0</v>
      </c>
      <c r="Y44" s="362">
        <f t="shared" si="16"/>
        <v>0</v>
      </c>
      <c r="Z44" s="256"/>
      <c r="AA44" s="401">
        <f>ROUND(SUM(AA22:AA43),2)</f>
        <v>6495.21</v>
      </c>
      <c r="AB44" s="63"/>
    </row>
    <row r="45" spans="1:28" s="9" customFormat="1" ht="13.5" thickTop="1">
      <c r="A45" s="161"/>
      <c r="B45" s="166"/>
      <c r="C45" s="236"/>
      <c r="D45" s="237" t="s">
        <v>99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63"/>
    </row>
    <row r="46" spans="1:28" s="9" customFormat="1" ht="12.75">
      <c r="A46" s="161"/>
      <c r="B46" s="166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U48"/>
  <sheetViews>
    <sheetView zoomScale="75" zoomScaleNormal="75" workbookViewId="0" topLeftCell="A1">
      <selection activeCell="D17" sqref="D1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25.7109375" style="0" customWidth="1"/>
    <col min="5" max="5" width="35.7109375" style="0" customWidth="1"/>
    <col min="6" max="6" width="10.7109375" style="0" customWidth="1"/>
    <col min="7" max="7" width="14.7109375" style="0" hidden="1" customWidth="1"/>
    <col min="8" max="9" width="15.7109375" style="0" customWidth="1"/>
    <col min="10" max="12" width="9.7109375" style="0" customWidth="1"/>
    <col min="13" max="13" width="8.140625" style="0" customWidth="1"/>
    <col min="14" max="14" width="13.8515625" style="0" hidden="1" customWidth="1"/>
    <col min="15" max="18" width="16.57421875" style="0" hidden="1" customWidth="1"/>
    <col min="19" max="19" width="16.57421875" style="0" customWidth="1"/>
    <col min="20" max="21" width="15.7109375" style="0" customWidth="1"/>
  </cols>
  <sheetData>
    <row r="1" s="72" customFormat="1" ht="26.25">
      <c r="U1" s="390"/>
    </row>
    <row r="2" spans="2:21" s="72" customFormat="1" ht="26.25">
      <c r="B2" s="73" t="str">
        <f>+'tot-0007'!B2</f>
        <v>ANEXO I A LA RESOLUCION ENRE N° 336/2001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="9" customFormat="1" ht="12.75"/>
    <row r="4" spans="1:2" s="79" customFormat="1" ht="11.25">
      <c r="A4" s="77" t="s">
        <v>65</v>
      </c>
      <c r="B4" s="226"/>
    </row>
    <row r="5" spans="1:2" s="79" customFormat="1" ht="11.25">
      <c r="A5" s="77" t="s">
        <v>66</v>
      </c>
      <c r="B5" s="226"/>
    </row>
    <row r="6" s="9" customFormat="1" ht="16.5" customHeight="1" thickBot="1"/>
    <row r="7" spans="2:21" s="9" customFormat="1" ht="16.5" customHeight="1" thickTop="1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2:21" s="83" customFormat="1" ht="20.25">
      <c r="B8" s="139"/>
      <c r="C8" s="84"/>
      <c r="D8" s="33" t="s">
        <v>115</v>
      </c>
      <c r="E8" s="33"/>
      <c r="N8" s="84"/>
      <c r="O8" s="84"/>
      <c r="P8" s="84"/>
      <c r="Q8" s="84"/>
      <c r="R8" s="84"/>
      <c r="S8" s="84"/>
      <c r="T8" s="84"/>
      <c r="U8" s="140"/>
    </row>
    <row r="9" spans="2:21" s="9" customFormat="1" ht="16.5" customHeight="1">
      <c r="B9" s="105"/>
      <c r="C9" s="7"/>
      <c r="D9" s="7"/>
      <c r="E9" s="7"/>
      <c r="F9" s="7"/>
      <c r="G9" s="135"/>
      <c r="H9" s="135"/>
      <c r="I9" s="135"/>
      <c r="J9" s="135"/>
      <c r="K9" s="135"/>
      <c r="N9" s="7"/>
      <c r="O9" s="7"/>
      <c r="P9" s="7"/>
      <c r="Q9" s="7"/>
      <c r="R9" s="7"/>
      <c r="S9" s="7"/>
      <c r="T9" s="7"/>
      <c r="U9" s="10"/>
    </row>
    <row r="10" spans="2:21" s="83" customFormat="1" ht="20.25">
      <c r="B10" s="139"/>
      <c r="C10" s="84"/>
      <c r="D10" s="33" t="s">
        <v>116</v>
      </c>
      <c r="E10" s="33"/>
      <c r="F10" s="84"/>
      <c r="G10" s="33"/>
      <c r="H10" s="33"/>
      <c r="I10" s="33"/>
      <c r="J10" s="33"/>
      <c r="K10" s="33"/>
      <c r="N10" s="84"/>
      <c r="O10" s="84"/>
      <c r="P10" s="84"/>
      <c r="Q10" s="84"/>
      <c r="R10" s="84"/>
      <c r="S10" s="84"/>
      <c r="T10" s="84"/>
      <c r="U10" s="140"/>
    </row>
    <row r="11" spans="2:21" s="9" customFormat="1" ht="16.5" customHeight="1">
      <c r="B11" s="105"/>
      <c r="C11" s="7"/>
      <c r="D11" s="7"/>
      <c r="E11" s="7"/>
      <c r="F11" s="7"/>
      <c r="G11" s="135"/>
      <c r="H11" s="135"/>
      <c r="I11" s="135"/>
      <c r="J11" s="135"/>
      <c r="K11" s="135"/>
      <c r="N11" s="7"/>
      <c r="O11" s="7"/>
      <c r="P11" s="7"/>
      <c r="Q11" s="7"/>
      <c r="R11" s="7"/>
      <c r="S11" s="7"/>
      <c r="T11" s="7"/>
      <c r="U11" s="10"/>
    </row>
    <row r="12" spans="2:21" s="83" customFormat="1" ht="20.25">
      <c r="B12" s="139"/>
      <c r="C12" s="84"/>
      <c r="D12" s="33" t="s">
        <v>117</v>
      </c>
      <c r="E12" s="33"/>
      <c r="F12" s="84"/>
      <c r="G12" s="33"/>
      <c r="H12" s="33"/>
      <c r="I12" s="33"/>
      <c r="J12" s="33"/>
      <c r="K12" s="33"/>
      <c r="N12" s="84"/>
      <c r="O12" s="84"/>
      <c r="P12" s="84"/>
      <c r="Q12" s="84"/>
      <c r="R12" s="84"/>
      <c r="S12" s="84"/>
      <c r="T12" s="84"/>
      <c r="U12" s="140"/>
    </row>
    <row r="13" spans="2:21" s="9" customFormat="1" ht="16.5" customHeight="1">
      <c r="B13" s="105"/>
      <c r="C13" s="7"/>
      <c r="D13" s="137"/>
      <c r="E13" s="135"/>
      <c r="F13" s="7"/>
      <c r="G13" s="135"/>
      <c r="H13" s="135"/>
      <c r="I13" s="135"/>
      <c r="J13" s="135"/>
      <c r="K13" s="135"/>
      <c r="N13" s="7"/>
      <c r="O13" s="7"/>
      <c r="P13" s="7"/>
      <c r="Q13" s="7"/>
      <c r="R13" s="7"/>
      <c r="S13" s="7"/>
      <c r="T13" s="7"/>
      <c r="U13" s="10"/>
    </row>
    <row r="14" spans="2:21" s="90" customFormat="1" ht="18.75">
      <c r="B14" s="91" t="str">
        <f>+'tot-0007'!B14</f>
        <v>Desde el 01 al 31 de julio de 2000</v>
      </c>
      <c r="C14" s="95"/>
      <c r="D14" s="95"/>
      <c r="E14" s="95"/>
      <c r="F14" s="95"/>
      <c r="G14" s="95"/>
      <c r="H14" s="208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</row>
    <row r="15" spans="2:21" s="9" customFormat="1" ht="16.5" customHeight="1" thickBot="1">
      <c r="B15" s="105"/>
      <c r="C15" s="7"/>
      <c r="G15" s="129"/>
      <c r="I15" s="7"/>
      <c r="J15" s="7"/>
      <c r="K15" s="7"/>
      <c r="L15" s="129"/>
      <c r="M15" s="129"/>
      <c r="N15" s="129"/>
      <c r="O15" s="7"/>
      <c r="P15" s="7"/>
      <c r="Q15" s="7"/>
      <c r="R15" s="7"/>
      <c r="S15" s="7"/>
      <c r="T15" s="7"/>
      <c r="U15" s="10"/>
    </row>
    <row r="16" spans="2:21" s="9" customFormat="1" ht="16.5" customHeight="1" thickBot="1" thickTop="1">
      <c r="B16" s="105"/>
      <c r="C16" s="7"/>
      <c r="D16" s="209" t="s">
        <v>118</v>
      </c>
      <c r="E16" s="210">
        <v>2.353</v>
      </c>
      <c r="F16" s="211">
        <f>50*'tot-0007'!B13</f>
        <v>50</v>
      </c>
      <c r="H16" s="242" t="str">
        <f>IF(F16=50," ",IF(F16=100,"  Coeficiente duplicado por tasa de falla &gt;4 Sal. x año/100 km.","REVISAR COEFICIENTE"))</f>
        <v> </v>
      </c>
      <c r="Q16" s="7"/>
      <c r="R16" s="7"/>
      <c r="S16" s="7"/>
      <c r="T16" s="203"/>
      <c r="U16" s="10"/>
    </row>
    <row r="17" spans="2:21" s="9" customFormat="1" ht="16.5" customHeight="1" thickBot="1" thickTop="1">
      <c r="B17" s="105"/>
      <c r="C17" s="7"/>
      <c r="D17" s="212" t="s">
        <v>119</v>
      </c>
      <c r="E17" s="213">
        <v>1.764</v>
      </c>
      <c r="F17" s="214">
        <f>25*'tot-0007'!B13</f>
        <v>25</v>
      </c>
      <c r="H17" s="242" t="str">
        <f>IF(F17=25," ",IF(F17=50,"  Coeficiente duplicado por tasa de falla &gt;4 Sal. x año/100 km.","REVISAR COEFICIENTE"))</f>
        <v> </v>
      </c>
      <c r="I17" s="130"/>
      <c r="J17" s="130"/>
      <c r="K17" s="7"/>
      <c r="N17" s="204"/>
      <c r="O17" s="205"/>
      <c r="P17" s="123"/>
      <c r="Q17" s="7"/>
      <c r="R17" s="7"/>
      <c r="S17" s="7"/>
      <c r="T17" s="203"/>
      <c r="U17" s="10"/>
    </row>
    <row r="18" spans="2:21" s="9" customFormat="1" ht="16.5" customHeight="1" thickBot="1" thickTop="1">
      <c r="B18" s="105"/>
      <c r="C18" s="7"/>
      <c r="D18" s="215" t="s">
        <v>120</v>
      </c>
      <c r="E18" s="213">
        <v>1.764</v>
      </c>
      <c r="F18" s="216">
        <f>20*'tot-0007'!B13</f>
        <v>20</v>
      </c>
      <c r="H18" s="242" t="str">
        <f>IF(F18=20," ",IF(F18=40,"  Coeficiente duplicado por tasa de falla &gt;4 Sal. x año/100 km.","REVISAR COEFICIENTE"))</f>
        <v> </v>
      </c>
      <c r="I18" s="130"/>
      <c r="J18" s="130"/>
      <c r="K18" s="7"/>
      <c r="L18" s="397"/>
      <c r="M18" s="397"/>
      <c r="N18" s="395"/>
      <c r="O18" s="396"/>
      <c r="P18" s="397"/>
      <c r="Q18" s="398"/>
      <c r="R18" s="398"/>
      <c r="S18" s="399"/>
      <c r="T18" s="203"/>
      <c r="U18" s="10"/>
    </row>
    <row r="19" spans="2:21" s="9" customFormat="1" ht="16.5" customHeight="1" thickBot="1" thickTop="1">
      <c r="B19" s="105"/>
      <c r="C19" s="7"/>
      <c r="D19" s="206"/>
      <c r="E19" s="207"/>
      <c r="F19" s="123"/>
      <c r="G19" s="7"/>
      <c r="H19" s="123"/>
      <c r="I19" s="130"/>
      <c r="J19" s="130"/>
      <c r="K19" s="7"/>
      <c r="L19" s="7"/>
      <c r="M19" s="7"/>
      <c r="N19" s="204"/>
      <c r="O19" s="205"/>
      <c r="P19" s="123"/>
      <c r="Q19" s="7"/>
      <c r="R19" s="7"/>
      <c r="S19" s="7"/>
      <c r="T19" s="203"/>
      <c r="U19" s="10"/>
    </row>
    <row r="20" spans="2:21" s="9" customFormat="1" ht="33.75" customHeight="1" thickBot="1" thickTop="1">
      <c r="B20" s="105"/>
      <c r="C20" s="225" t="s">
        <v>79</v>
      </c>
      <c r="D20" s="220" t="s">
        <v>105</v>
      </c>
      <c r="E20" s="227" t="s">
        <v>106</v>
      </c>
      <c r="F20" s="228" t="s">
        <v>80</v>
      </c>
      <c r="G20" s="246" t="s">
        <v>82</v>
      </c>
      <c r="H20" s="219" t="s">
        <v>83</v>
      </c>
      <c r="I20" s="227" t="s">
        <v>84</v>
      </c>
      <c r="J20" s="229" t="s">
        <v>121</v>
      </c>
      <c r="K20" s="229" t="s">
        <v>109</v>
      </c>
      <c r="L20" s="159" t="s">
        <v>87</v>
      </c>
      <c r="M20" s="224" t="s">
        <v>110</v>
      </c>
      <c r="N20" s="363" t="s">
        <v>122</v>
      </c>
      <c r="O20" s="367" t="s">
        <v>89</v>
      </c>
      <c r="P20" s="373" t="s">
        <v>113</v>
      </c>
      <c r="Q20" s="374"/>
      <c r="R20" s="300" t="s">
        <v>93</v>
      </c>
      <c r="S20" s="223" t="s">
        <v>95</v>
      </c>
      <c r="T20" s="223" t="s">
        <v>96</v>
      </c>
      <c r="U20" s="63"/>
    </row>
    <row r="21" spans="2:21" s="9" customFormat="1" ht="16.5" customHeight="1" hidden="1" thickTop="1">
      <c r="B21" s="105"/>
      <c r="C21" s="32"/>
      <c r="D21" s="64"/>
      <c r="E21" s="48"/>
      <c r="F21" s="12"/>
      <c r="G21" s="253"/>
      <c r="H21" s="49"/>
      <c r="I21" s="50"/>
      <c r="J21" s="51"/>
      <c r="K21" s="43"/>
      <c r="L21" s="44"/>
      <c r="M21" s="44"/>
      <c r="N21" s="370"/>
      <c r="O21" s="371"/>
      <c r="P21" s="375"/>
      <c r="Q21" s="378"/>
      <c r="R21" s="381"/>
      <c r="S21" s="372"/>
      <c r="T21" s="71"/>
      <c r="U21" s="63"/>
    </row>
    <row r="22" spans="2:21" s="9" customFormat="1" ht="16.5" customHeight="1" thickTop="1">
      <c r="B22" s="105"/>
      <c r="C22" s="32"/>
      <c r="D22" s="48"/>
      <c r="E22" s="48"/>
      <c r="F22" s="12"/>
      <c r="G22" s="253"/>
      <c r="H22" s="49"/>
      <c r="I22" s="50"/>
      <c r="J22" s="51"/>
      <c r="K22" s="43"/>
      <c r="L22" s="44"/>
      <c r="M22" s="44"/>
      <c r="N22" s="364"/>
      <c r="O22" s="368"/>
      <c r="P22" s="376"/>
      <c r="Q22" s="379"/>
      <c r="R22" s="382"/>
      <c r="S22" s="39"/>
      <c r="T22" s="217"/>
      <c r="U22" s="63"/>
    </row>
    <row r="23" spans="2:21" s="9" customFormat="1" ht="16.5" customHeight="1">
      <c r="B23" s="105"/>
      <c r="C23" s="32">
        <v>61</v>
      </c>
      <c r="D23" s="48" t="s">
        <v>23</v>
      </c>
      <c r="E23" s="48" t="s">
        <v>42</v>
      </c>
      <c r="F23" s="12">
        <v>33</v>
      </c>
      <c r="G23" s="253">
        <f aca="true" t="shared" si="0" ref="G23:G35">IF(OR(F23=132,F23=66),$E$16,IF(F23=33,$E$17,$E$18))</f>
        <v>1.764</v>
      </c>
      <c r="H23" s="49">
        <v>36709.40347222222</v>
      </c>
      <c r="I23" s="50">
        <v>36709.501388888886</v>
      </c>
      <c r="J23" s="51">
        <f aca="true" t="shared" si="1" ref="J23:J35">IF(D23="","",(I23-H23)*24)</f>
        <v>2.349999999976717</v>
      </c>
      <c r="K23" s="43">
        <f aca="true" t="shared" si="2" ref="K23:K35">IF(D23="","",ROUND((I23-H23)*24*60,0))</f>
        <v>141</v>
      </c>
      <c r="L23" s="44" t="s">
        <v>140</v>
      </c>
      <c r="M23" s="44" t="str">
        <f aca="true" t="shared" si="3" ref="M23:M35">IF(D23="","",IF(OR(L23="P",L23="RP"),"--","NO"))</f>
        <v>--</v>
      </c>
      <c r="N23" s="364">
        <f aca="true" t="shared" si="4" ref="N23:N35">IF(F23&gt;33,$F$16,IF(F23=33,$F$17,$F$18))</f>
        <v>25</v>
      </c>
      <c r="O23" s="368">
        <f aca="true" t="shared" si="5" ref="O23:O35">IF(L23="P",G23*N23*ROUND(K23/60,2)*0.1,"--")</f>
        <v>10.363500000000002</v>
      </c>
      <c r="P23" s="376" t="str">
        <f aca="true" t="shared" si="6" ref="P23:P35">IF(AND(L23="F",M23="NO"),G23*N23,"--")</f>
        <v>--</v>
      </c>
      <c r="Q23" s="379" t="str">
        <f aca="true" t="shared" si="7" ref="Q23:Q35">IF(L23="F",G23*N23*ROUND(K23/60,2),"--")</f>
        <v>--</v>
      </c>
      <c r="R23" s="382" t="str">
        <f aca="true" t="shared" si="8" ref="R23:R35">IF(L23="RF",G23*N23*ROUND(K23/60,2),"--")</f>
        <v>--</v>
      </c>
      <c r="S23" s="39" t="str">
        <f aca="true" t="shared" si="9" ref="S23:S35">IF(D23="","","SI")</f>
        <v>SI</v>
      </c>
      <c r="T23" s="53">
        <f aca="true" t="shared" si="10" ref="T23:T35">IF(D23="","",SUM(O23:R23)*IF(S23="SI",1,2)*IF(F23="500/220",0,1))</f>
        <v>10.363500000000002</v>
      </c>
      <c r="U23" s="387"/>
    </row>
    <row r="24" spans="2:21" s="9" customFormat="1" ht="16.5" customHeight="1">
      <c r="B24" s="105"/>
      <c r="C24" s="32">
        <v>62</v>
      </c>
      <c r="D24" s="48" t="s">
        <v>23</v>
      </c>
      <c r="E24" s="48" t="s">
        <v>43</v>
      </c>
      <c r="F24" s="12">
        <v>33</v>
      </c>
      <c r="G24" s="253">
        <f t="shared" si="0"/>
        <v>1.764</v>
      </c>
      <c r="H24" s="49">
        <v>36709.40347222222</v>
      </c>
      <c r="I24" s="50">
        <v>36709.501388888886</v>
      </c>
      <c r="J24" s="51">
        <f t="shared" si="1"/>
        <v>2.349999999976717</v>
      </c>
      <c r="K24" s="43">
        <f t="shared" si="2"/>
        <v>141</v>
      </c>
      <c r="L24" s="44" t="s">
        <v>140</v>
      </c>
      <c r="M24" s="44" t="str">
        <f t="shared" si="3"/>
        <v>--</v>
      </c>
      <c r="N24" s="364">
        <f t="shared" si="4"/>
        <v>25</v>
      </c>
      <c r="O24" s="368">
        <f t="shared" si="5"/>
        <v>10.363500000000002</v>
      </c>
      <c r="P24" s="376" t="str">
        <f t="shared" si="6"/>
        <v>--</v>
      </c>
      <c r="Q24" s="379" t="str">
        <f t="shared" si="7"/>
        <v>--</v>
      </c>
      <c r="R24" s="382" t="str">
        <f t="shared" si="8"/>
        <v>--</v>
      </c>
      <c r="S24" s="39" t="str">
        <f t="shared" si="9"/>
        <v>SI</v>
      </c>
      <c r="T24" s="53">
        <f t="shared" si="10"/>
        <v>10.363500000000002</v>
      </c>
      <c r="U24" s="387"/>
    </row>
    <row r="25" spans="2:21" s="9" customFormat="1" ht="16.5" customHeight="1">
      <c r="B25" s="105"/>
      <c r="C25" s="32">
        <v>63</v>
      </c>
      <c r="D25" s="48" t="s">
        <v>137</v>
      </c>
      <c r="E25" s="48" t="s">
        <v>127</v>
      </c>
      <c r="F25" s="12">
        <v>13.2</v>
      </c>
      <c r="G25" s="253">
        <f t="shared" si="0"/>
        <v>1.764</v>
      </c>
      <c r="H25" s="49">
        <v>36714.45</v>
      </c>
      <c r="I25" s="50">
        <v>36714.45416666667</v>
      </c>
      <c r="J25" s="51">
        <f t="shared" si="1"/>
        <v>0.10000000015133992</v>
      </c>
      <c r="K25" s="43">
        <f t="shared" si="2"/>
        <v>6</v>
      </c>
      <c r="L25" s="44" t="s">
        <v>141</v>
      </c>
      <c r="M25" s="44" t="str">
        <f t="shared" si="3"/>
        <v>NO</v>
      </c>
      <c r="N25" s="364">
        <f t="shared" si="4"/>
        <v>20</v>
      </c>
      <c r="O25" s="368" t="str">
        <f t="shared" si="5"/>
        <v>--</v>
      </c>
      <c r="P25" s="376">
        <f t="shared" si="6"/>
        <v>35.28</v>
      </c>
      <c r="Q25" s="379">
        <f t="shared" si="7"/>
        <v>3.5280000000000005</v>
      </c>
      <c r="R25" s="382" t="str">
        <f t="shared" si="8"/>
        <v>--</v>
      </c>
      <c r="S25" s="39" t="str">
        <f t="shared" si="9"/>
        <v>SI</v>
      </c>
      <c r="T25" s="53">
        <f t="shared" si="10"/>
        <v>38.808</v>
      </c>
      <c r="U25" s="387"/>
    </row>
    <row r="26" spans="2:21" s="9" customFormat="1" ht="16.5" customHeight="1">
      <c r="B26" s="105"/>
      <c r="C26" s="32">
        <v>64</v>
      </c>
      <c r="D26" s="48" t="s">
        <v>51</v>
      </c>
      <c r="E26" s="48" t="s">
        <v>147</v>
      </c>
      <c r="F26" s="12">
        <v>33</v>
      </c>
      <c r="G26" s="253">
        <f t="shared" si="0"/>
        <v>1.764</v>
      </c>
      <c r="H26" s="49">
        <v>36723.37152777778</v>
      </c>
      <c r="I26" s="50">
        <v>36723.708333333336</v>
      </c>
      <c r="J26" s="51">
        <f t="shared" si="1"/>
        <v>8.08333333331393</v>
      </c>
      <c r="K26" s="43">
        <f t="shared" si="2"/>
        <v>485</v>
      </c>
      <c r="L26" s="44" t="s">
        <v>140</v>
      </c>
      <c r="M26" s="44" t="str">
        <f t="shared" si="3"/>
        <v>--</v>
      </c>
      <c r="N26" s="364">
        <f t="shared" si="4"/>
        <v>25</v>
      </c>
      <c r="O26" s="368">
        <f t="shared" si="5"/>
        <v>35.6328</v>
      </c>
      <c r="P26" s="376" t="str">
        <f t="shared" si="6"/>
        <v>--</v>
      </c>
      <c r="Q26" s="379" t="str">
        <f t="shared" si="7"/>
        <v>--</v>
      </c>
      <c r="R26" s="382" t="str">
        <f t="shared" si="8"/>
        <v>--</v>
      </c>
      <c r="S26" s="39" t="str">
        <f t="shared" si="9"/>
        <v>SI</v>
      </c>
      <c r="T26" s="53">
        <f t="shared" si="10"/>
        <v>35.6328</v>
      </c>
      <c r="U26" s="387"/>
    </row>
    <row r="27" spans="2:21" s="9" customFormat="1" ht="16.5" customHeight="1">
      <c r="B27" s="105"/>
      <c r="C27" s="32">
        <v>65</v>
      </c>
      <c r="D27" s="48" t="s">
        <v>35</v>
      </c>
      <c r="E27" s="48" t="s">
        <v>124</v>
      </c>
      <c r="F27" s="12">
        <v>13.2</v>
      </c>
      <c r="G27" s="253">
        <f t="shared" si="0"/>
        <v>1.764</v>
      </c>
      <c r="H27" s="49">
        <v>36723.37152777778</v>
      </c>
      <c r="I27" s="50">
        <v>36723.69513888889</v>
      </c>
      <c r="J27" s="51">
        <f t="shared" si="1"/>
        <v>7.766666666662786</v>
      </c>
      <c r="K27" s="43">
        <f t="shared" si="2"/>
        <v>466</v>
      </c>
      <c r="L27" s="44" t="s">
        <v>140</v>
      </c>
      <c r="M27" s="44" t="str">
        <f t="shared" si="3"/>
        <v>--</v>
      </c>
      <c r="N27" s="364">
        <f t="shared" si="4"/>
        <v>20</v>
      </c>
      <c r="O27" s="368">
        <f t="shared" si="5"/>
        <v>27.412560000000003</v>
      </c>
      <c r="P27" s="376" t="str">
        <f t="shared" si="6"/>
        <v>--</v>
      </c>
      <c r="Q27" s="379" t="str">
        <f t="shared" si="7"/>
        <v>--</v>
      </c>
      <c r="R27" s="382" t="str">
        <f t="shared" si="8"/>
        <v>--</v>
      </c>
      <c r="S27" s="39" t="str">
        <f t="shared" si="9"/>
        <v>SI</v>
      </c>
      <c r="T27" s="53">
        <f t="shared" si="10"/>
        <v>27.412560000000003</v>
      </c>
      <c r="U27" s="63"/>
    </row>
    <row r="28" spans="2:21" s="9" customFormat="1" ht="16.5" customHeight="1">
      <c r="B28" s="105"/>
      <c r="C28" s="32">
        <v>66</v>
      </c>
      <c r="D28" s="48" t="s">
        <v>35</v>
      </c>
      <c r="E28" s="48" t="s">
        <v>148</v>
      </c>
      <c r="F28" s="12">
        <v>33</v>
      </c>
      <c r="G28" s="253">
        <f t="shared" si="0"/>
        <v>1.764</v>
      </c>
      <c r="H28" s="49">
        <v>36723.37152777778</v>
      </c>
      <c r="I28" s="50">
        <v>36723.69513888889</v>
      </c>
      <c r="J28" s="51">
        <f t="shared" si="1"/>
        <v>7.766666666662786</v>
      </c>
      <c r="K28" s="43">
        <f t="shared" si="2"/>
        <v>466</v>
      </c>
      <c r="L28" s="44" t="s">
        <v>140</v>
      </c>
      <c r="M28" s="44" t="str">
        <f t="shared" si="3"/>
        <v>--</v>
      </c>
      <c r="N28" s="364">
        <f t="shared" si="4"/>
        <v>25</v>
      </c>
      <c r="O28" s="368">
        <f t="shared" si="5"/>
        <v>34.2657</v>
      </c>
      <c r="P28" s="376" t="str">
        <f t="shared" si="6"/>
        <v>--</v>
      </c>
      <c r="Q28" s="379" t="str">
        <f t="shared" si="7"/>
        <v>--</v>
      </c>
      <c r="R28" s="382" t="str">
        <f t="shared" si="8"/>
        <v>--</v>
      </c>
      <c r="S28" s="39" t="str">
        <f t="shared" si="9"/>
        <v>SI</v>
      </c>
      <c r="T28" s="53">
        <f t="shared" si="10"/>
        <v>34.2657</v>
      </c>
      <c r="U28" s="63"/>
    </row>
    <row r="29" spans="2:21" s="9" customFormat="1" ht="16.5" customHeight="1">
      <c r="B29" s="105"/>
      <c r="C29" s="32">
        <v>67</v>
      </c>
      <c r="D29" s="48" t="s">
        <v>35</v>
      </c>
      <c r="E29" s="48" t="s">
        <v>52</v>
      </c>
      <c r="F29" s="12">
        <v>33</v>
      </c>
      <c r="G29" s="253">
        <f t="shared" si="0"/>
        <v>1.764</v>
      </c>
      <c r="H29" s="49">
        <v>36723.37152777778</v>
      </c>
      <c r="I29" s="50">
        <v>36723.69513888889</v>
      </c>
      <c r="J29" s="51">
        <f t="shared" si="1"/>
        <v>7.766666666662786</v>
      </c>
      <c r="K29" s="43">
        <f t="shared" si="2"/>
        <v>466</v>
      </c>
      <c r="L29" s="44" t="s">
        <v>140</v>
      </c>
      <c r="M29" s="44" t="str">
        <f t="shared" si="3"/>
        <v>--</v>
      </c>
      <c r="N29" s="364">
        <f t="shared" si="4"/>
        <v>25</v>
      </c>
      <c r="O29" s="368">
        <f t="shared" si="5"/>
        <v>34.2657</v>
      </c>
      <c r="P29" s="376" t="str">
        <f t="shared" si="6"/>
        <v>--</v>
      </c>
      <c r="Q29" s="379" t="str">
        <f t="shared" si="7"/>
        <v>--</v>
      </c>
      <c r="R29" s="382" t="str">
        <f t="shared" si="8"/>
        <v>--</v>
      </c>
      <c r="S29" s="39" t="str">
        <f t="shared" si="9"/>
        <v>SI</v>
      </c>
      <c r="T29" s="53">
        <f t="shared" si="10"/>
        <v>34.2657</v>
      </c>
      <c r="U29" s="63"/>
    </row>
    <row r="30" spans="2:21" s="9" customFormat="1" ht="16.5" customHeight="1">
      <c r="B30" s="105"/>
      <c r="C30" s="32">
        <v>68</v>
      </c>
      <c r="D30" s="48" t="s">
        <v>35</v>
      </c>
      <c r="E30" s="48" t="s">
        <v>53</v>
      </c>
      <c r="F30" s="12">
        <v>33</v>
      </c>
      <c r="G30" s="253">
        <f t="shared" si="0"/>
        <v>1.764</v>
      </c>
      <c r="H30" s="49">
        <v>36723.37152777778</v>
      </c>
      <c r="I30" s="50">
        <v>36723.69513888889</v>
      </c>
      <c r="J30" s="51">
        <f t="shared" si="1"/>
        <v>7.766666666662786</v>
      </c>
      <c r="K30" s="43">
        <f t="shared" si="2"/>
        <v>466</v>
      </c>
      <c r="L30" s="44" t="s">
        <v>140</v>
      </c>
      <c r="M30" s="44" t="str">
        <f t="shared" si="3"/>
        <v>--</v>
      </c>
      <c r="N30" s="364">
        <f t="shared" si="4"/>
        <v>25</v>
      </c>
      <c r="O30" s="368">
        <f t="shared" si="5"/>
        <v>34.2657</v>
      </c>
      <c r="P30" s="376" t="str">
        <f t="shared" si="6"/>
        <v>--</v>
      </c>
      <c r="Q30" s="379" t="str">
        <f t="shared" si="7"/>
        <v>--</v>
      </c>
      <c r="R30" s="382" t="str">
        <f t="shared" si="8"/>
        <v>--</v>
      </c>
      <c r="S30" s="39" t="str">
        <f t="shared" si="9"/>
        <v>SI</v>
      </c>
      <c r="T30" s="53">
        <f t="shared" si="10"/>
        <v>34.2657</v>
      </c>
      <c r="U30" s="63"/>
    </row>
    <row r="31" spans="2:21" s="9" customFormat="1" ht="16.5" customHeight="1">
      <c r="B31" s="105"/>
      <c r="C31" s="32">
        <v>69</v>
      </c>
      <c r="D31" s="48" t="s">
        <v>63</v>
      </c>
      <c r="E31" s="48" t="s">
        <v>64</v>
      </c>
      <c r="F31" s="12">
        <v>13.2</v>
      </c>
      <c r="G31" s="253">
        <f t="shared" si="0"/>
        <v>1.764</v>
      </c>
      <c r="H31" s="49">
        <v>36723.37152777778</v>
      </c>
      <c r="I31" s="50">
        <v>36723.714583333334</v>
      </c>
      <c r="J31" s="51">
        <f t="shared" si="1"/>
        <v>8.233333333279006</v>
      </c>
      <c r="K31" s="43">
        <f t="shared" si="2"/>
        <v>494</v>
      </c>
      <c r="L31" s="44" t="s">
        <v>140</v>
      </c>
      <c r="M31" s="44" t="str">
        <f t="shared" si="3"/>
        <v>--</v>
      </c>
      <c r="N31" s="364">
        <f t="shared" si="4"/>
        <v>20</v>
      </c>
      <c r="O31" s="368">
        <f t="shared" si="5"/>
        <v>29.03544</v>
      </c>
      <c r="P31" s="376" t="str">
        <f t="shared" si="6"/>
        <v>--</v>
      </c>
      <c r="Q31" s="379" t="str">
        <f t="shared" si="7"/>
        <v>--</v>
      </c>
      <c r="R31" s="382" t="str">
        <f t="shared" si="8"/>
        <v>--</v>
      </c>
      <c r="S31" s="39" t="str">
        <f t="shared" si="9"/>
        <v>SI</v>
      </c>
      <c r="T31" s="53">
        <f t="shared" si="10"/>
        <v>29.03544</v>
      </c>
      <c r="U31" s="63"/>
    </row>
    <row r="32" spans="2:21" s="9" customFormat="1" ht="16.5" customHeight="1">
      <c r="B32" s="105"/>
      <c r="C32" s="32">
        <v>70</v>
      </c>
      <c r="D32" s="48" t="s">
        <v>63</v>
      </c>
      <c r="E32" s="48" t="s">
        <v>64</v>
      </c>
      <c r="F32" s="12">
        <v>33</v>
      </c>
      <c r="G32" s="253">
        <f t="shared" si="0"/>
        <v>1.764</v>
      </c>
      <c r="H32" s="49">
        <v>36723.37152777778</v>
      </c>
      <c r="I32" s="50">
        <v>36723.714583333334</v>
      </c>
      <c r="J32" s="51">
        <f t="shared" si="1"/>
        <v>8.233333333279006</v>
      </c>
      <c r="K32" s="43">
        <f t="shared" si="2"/>
        <v>494</v>
      </c>
      <c r="L32" s="44" t="s">
        <v>140</v>
      </c>
      <c r="M32" s="44" t="str">
        <f t="shared" si="3"/>
        <v>--</v>
      </c>
      <c r="N32" s="364">
        <f t="shared" si="4"/>
        <v>25</v>
      </c>
      <c r="O32" s="368">
        <f t="shared" si="5"/>
        <v>36.29430000000001</v>
      </c>
      <c r="P32" s="376" t="str">
        <f t="shared" si="6"/>
        <v>--</v>
      </c>
      <c r="Q32" s="379" t="str">
        <f t="shared" si="7"/>
        <v>--</v>
      </c>
      <c r="R32" s="382" t="str">
        <f t="shared" si="8"/>
        <v>--</v>
      </c>
      <c r="S32" s="39" t="str">
        <f t="shared" si="9"/>
        <v>SI</v>
      </c>
      <c r="T32" s="53">
        <f t="shared" si="10"/>
        <v>36.29430000000001</v>
      </c>
      <c r="U32" s="63"/>
    </row>
    <row r="33" spans="2:21" s="9" customFormat="1" ht="16.5" customHeight="1">
      <c r="B33" s="105"/>
      <c r="C33" s="32">
        <v>71</v>
      </c>
      <c r="D33" s="48" t="s">
        <v>44</v>
      </c>
      <c r="E33" s="48" t="s">
        <v>47</v>
      </c>
      <c r="F33" s="12">
        <v>13.2</v>
      </c>
      <c r="G33" s="253">
        <f t="shared" si="0"/>
        <v>1.764</v>
      </c>
      <c r="H33" s="49">
        <v>36723.686111111114</v>
      </c>
      <c r="I33" s="50">
        <v>36723.75069444445</v>
      </c>
      <c r="J33" s="51">
        <f t="shared" si="1"/>
        <v>1.5499999999883585</v>
      </c>
      <c r="K33" s="43">
        <f t="shared" si="2"/>
        <v>93</v>
      </c>
      <c r="L33" s="44" t="s">
        <v>140</v>
      </c>
      <c r="M33" s="44" t="str">
        <f t="shared" si="3"/>
        <v>--</v>
      </c>
      <c r="N33" s="364">
        <f t="shared" si="4"/>
        <v>20</v>
      </c>
      <c r="O33" s="368">
        <f t="shared" si="5"/>
        <v>5.468400000000001</v>
      </c>
      <c r="P33" s="376" t="str">
        <f t="shared" si="6"/>
        <v>--</v>
      </c>
      <c r="Q33" s="379" t="str">
        <f t="shared" si="7"/>
        <v>--</v>
      </c>
      <c r="R33" s="382" t="str">
        <f t="shared" si="8"/>
        <v>--</v>
      </c>
      <c r="S33" s="39" t="str">
        <f t="shared" si="9"/>
        <v>SI</v>
      </c>
      <c r="T33" s="53">
        <f t="shared" si="10"/>
        <v>5.468400000000001</v>
      </c>
      <c r="U33" s="63"/>
    </row>
    <row r="34" spans="2:21" s="9" customFormat="1" ht="16.5" customHeight="1">
      <c r="B34" s="105"/>
      <c r="C34" s="32">
        <v>72</v>
      </c>
      <c r="D34" s="48" t="s">
        <v>44</v>
      </c>
      <c r="E34" s="48" t="s">
        <v>48</v>
      </c>
      <c r="F34" s="12">
        <v>13.2</v>
      </c>
      <c r="G34" s="253">
        <f t="shared" si="0"/>
        <v>1.764</v>
      </c>
      <c r="H34" s="49">
        <v>36723.686111111114</v>
      </c>
      <c r="I34" s="50">
        <v>36723.75069444445</v>
      </c>
      <c r="J34" s="51">
        <f t="shared" si="1"/>
        <v>1.5499999999883585</v>
      </c>
      <c r="K34" s="43">
        <f t="shared" si="2"/>
        <v>93</v>
      </c>
      <c r="L34" s="44" t="s">
        <v>140</v>
      </c>
      <c r="M34" s="44" t="str">
        <f t="shared" si="3"/>
        <v>--</v>
      </c>
      <c r="N34" s="364">
        <f t="shared" si="4"/>
        <v>20</v>
      </c>
      <c r="O34" s="368">
        <f t="shared" si="5"/>
        <v>5.468400000000001</v>
      </c>
      <c r="P34" s="376" t="str">
        <f t="shared" si="6"/>
        <v>--</v>
      </c>
      <c r="Q34" s="379" t="str">
        <f t="shared" si="7"/>
        <v>--</v>
      </c>
      <c r="R34" s="382" t="str">
        <f t="shared" si="8"/>
        <v>--</v>
      </c>
      <c r="S34" s="39" t="str">
        <f t="shared" si="9"/>
        <v>SI</v>
      </c>
      <c r="T34" s="53">
        <f t="shared" si="10"/>
        <v>5.468400000000001</v>
      </c>
      <c r="U34" s="63"/>
    </row>
    <row r="35" spans="2:21" s="9" customFormat="1" ht="16.5" customHeight="1">
      <c r="B35" s="105"/>
      <c r="C35" s="32">
        <v>73</v>
      </c>
      <c r="D35" s="48" t="s">
        <v>44</v>
      </c>
      <c r="E35" s="48" t="s">
        <v>45</v>
      </c>
      <c r="F35" s="12">
        <v>13.2</v>
      </c>
      <c r="G35" s="253">
        <f t="shared" si="0"/>
        <v>1.764</v>
      </c>
      <c r="H35" s="49">
        <v>36723.686111111114</v>
      </c>
      <c r="I35" s="50">
        <v>36723.75069444445</v>
      </c>
      <c r="J35" s="51">
        <f t="shared" si="1"/>
        <v>1.5499999999883585</v>
      </c>
      <c r="K35" s="43">
        <f t="shared" si="2"/>
        <v>93</v>
      </c>
      <c r="L35" s="44" t="s">
        <v>140</v>
      </c>
      <c r="M35" s="44" t="str">
        <f t="shared" si="3"/>
        <v>--</v>
      </c>
      <c r="N35" s="364">
        <f t="shared" si="4"/>
        <v>20</v>
      </c>
      <c r="O35" s="368">
        <f t="shared" si="5"/>
        <v>5.468400000000001</v>
      </c>
      <c r="P35" s="376" t="str">
        <f t="shared" si="6"/>
        <v>--</v>
      </c>
      <c r="Q35" s="379" t="str">
        <f t="shared" si="7"/>
        <v>--</v>
      </c>
      <c r="R35" s="382" t="str">
        <f t="shared" si="8"/>
        <v>--</v>
      </c>
      <c r="S35" s="39" t="str">
        <f t="shared" si="9"/>
        <v>SI</v>
      </c>
      <c r="T35" s="53">
        <f t="shared" si="10"/>
        <v>5.468400000000001</v>
      </c>
      <c r="U35" s="63"/>
    </row>
    <row r="36" spans="2:21" s="9" customFormat="1" ht="16.5" customHeight="1">
      <c r="B36" s="105"/>
      <c r="C36" s="32">
        <v>74</v>
      </c>
      <c r="D36" s="48" t="s">
        <v>44</v>
      </c>
      <c r="E36" s="48" t="s">
        <v>49</v>
      </c>
      <c r="F36" s="12">
        <v>13.2</v>
      </c>
      <c r="G36" s="253"/>
      <c r="H36" s="49">
        <v>36723.686111111114</v>
      </c>
      <c r="I36" s="50">
        <v>36723.75069444445</v>
      </c>
      <c r="J36" s="51">
        <v>1.55</v>
      </c>
      <c r="K36" s="43">
        <v>93</v>
      </c>
      <c r="L36" s="44" t="s">
        <v>140</v>
      </c>
      <c r="M36" s="44"/>
      <c r="N36" s="364"/>
      <c r="O36" s="368"/>
      <c r="P36" s="376"/>
      <c r="Q36" s="379"/>
      <c r="R36" s="382"/>
      <c r="S36" s="39" t="s">
        <v>143</v>
      </c>
      <c r="T36" s="53">
        <v>5.47</v>
      </c>
      <c r="U36" s="63"/>
    </row>
    <row r="37" spans="2:21" s="9" customFormat="1" ht="16.5" customHeight="1">
      <c r="B37" s="105"/>
      <c r="C37" s="32">
        <v>75</v>
      </c>
      <c r="D37" s="48" t="s">
        <v>44</v>
      </c>
      <c r="E37" s="48" t="s">
        <v>50</v>
      </c>
      <c r="F37" s="12">
        <v>13.2</v>
      </c>
      <c r="G37" s="253">
        <f aca="true" t="shared" si="11" ref="G37:G42">IF(OR(F37=132,F37=66),$E$16,IF(F37=33,$E$17,$E$18))</f>
        <v>1.764</v>
      </c>
      <c r="H37" s="49">
        <v>36723.686111111114</v>
      </c>
      <c r="I37" s="50">
        <v>36723.75069444445</v>
      </c>
      <c r="J37" s="51">
        <f aca="true" t="shared" si="12" ref="J37:J42">IF(D37="","",(I37-H37)*24)</f>
        <v>1.5499999999883585</v>
      </c>
      <c r="K37" s="43">
        <f aca="true" t="shared" si="13" ref="K37:K42">IF(D37="","",ROUND((I37-H37)*24*60,0))</f>
        <v>93</v>
      </c>
      <c r="L37" s="44" t="s">
        <v>140</v>
      </c>
      <c r="M37" s="44" t="str">
        <f aca="true" t="shared" si="14" ref="M37:M42">IF(D37="","",IF(OR(L37="P",L37="RP"),"--","NO"))</f>
        <v>--</v>
      </c>
      <c r="N37" s="364">
        <f aca="true" t="shared" si="15" ref="N37:N42">IF(F37&gt;33,$F$16,IF(F37=33,$F$17,$F$18))</f>
        <v>20</v>
      </c>
      <c r="O37" s="368">
        <f aca="true" t="shared" si="16" ref="O37:O42">IF(L37="P",G37*N37*ROUND(K37/60,2)*0.1,"--")</f>
        <v>5.468400000000001</v>
      </c>
      <c r="P37" s="376" t="str">
        <f aca="true" t="shared" si="17" ref="P37:P42">IF(AND(L37="F",M37="NO"),G37*N37,"--")</f>
        <v>--</v>
      </c>
      <c r="Q37" s="379" t="str">
        <f aca="true" t="shared" si="18" ref="Q37:Q42">IF(L37="F",G37*N37*ROUND(K37/60,2),"--")</f>
        <v>--</v>
      </c>
      <c r="R37" s="382" t="str">
        <f aca="true" t="shared" si="19" ref="R37:R42">IF(L37="RF",G37*N37*ROUND(K37/60,2),"--")</f>
        <v>--</v>
      </c>
      <c r="S37" s="39" t="str">
        <f aca="true" t="shared" si="20" ref="S37:S42">IF(D37="","","SI")</f>
        <v>SI</v>
      </c>
      <c r="T37" s="53">
        <f aca="true" t="shared" si="21" ref="T37:T42">IF(D37="","",SUM(O37:R37)*IF(S37="SI",1,2)*IF(F37="500/220",0,1))</f>
        <v>5.468400000000001</v>
      </c>
      <c r="U37" s="63"/>
    </row>
    <row r="38" spans="2:21" s="9" customFormat="1" ht="16.5" customHeight="1">
      <c r="B38" s="105"/>
      <c r="C38" s="32">
        <v>76</v>
      </c>
      <c r="D38" s="48" t="s">
        <v>44</v>
      </c>
      <c r="E38" s="48" t="s">
        <v>45</v>
      </c>
      <c r="F38" s="12">
        <v>33</v>
      </c>
      <c r="G38" s="253">
        <f t="shared" si="11"/>
        <v>1.764</v>
      </c>
      <c r="H38" s="49">
        <v>36723.686111111114</v>
      </c>
      <c r="I38" s="50">
        <v>36723.75069444445</v>
      </c>
      <c r="J38" s="51">
        <f t="shared" si="12"/>
        <v>1.5499999999883585</v>
      </c>
      <c r="K38" s="43">
        <f t="shared" si="13"/>
        <v>93</v>
      </c>
      <c r="L38" s="44" t="s">
        <v>140</v>
      </c>
      <c r="M38" s="44" t="str">
        <f t="shared" si="14"/>
        <v>--</v>
      </c>
      <c r="N38" s="364">
        <f t="shared" si="15"/>
        <v>25</v>
      </c>
      <c r="O38" s="368">
        <f t="shared" si="16"/>
        <v>6.835500000000001</v>
      </c>
      <c r="P38" s="376" t="str">
        <f t="shared" si="17"/>
        <v>--</v>
      </c>
      <c r="Q38" s="379" t="str">
        <f t="shared" si="18"/>
        <v>--</v>
      </c>
      <c r="R38" s="382" t="str">
        <f t="shared" si="19"/>
        <v>--</v>
      </c>
      <c r="S38" s="39" t="str">
        <f t="shared" si="20"/>
        <v>SI</v>
      </c>
      <c r="T38" s="53">
        <f t="shared" si="21"/>
        <v>6.835500000000001</v>
      </c>
      <c r="U38" s="63"/>
    </row>
    <row r="39" spans="2:21" s="9" customFormat="1" ht="16.5" customHeight="1">
      <c r="B39" s="105"/>
      <c r="C39" s="32">
        <v>77</v>
      </c>
      <c r="D39" s="48" t="s">
        <v>44</v>
      </c>
      <c r="E39" s="48" t="s">
        <v>46</v>
      </c>
      <c r="F39" s="12">
        <v>33</v>
      </c>
      <c r="G39" s="253">
        <f t="shared" si="11"/>
        <v>1.764</v>
      </c>
      <c r="H39" s="49">
        <v>36723.686111111114</v>
      </c>
      <c r="I39" s="50">
        <v>36723.75069444445</v>
      </c>
      <c r="J39" s="51">
        <f t="shared" si="12"/>
        <v>1.5499999999883585</v>
      </c>
      <c r="K39" s="43">
        <f t="shared" si="13"/>
        <v>93</v>
      </c>
      <c r="L39" s="44" t="s">
        <v>140</v>
      </c>
      <c r="M39" s="44" t="str">
        <f t="shared" si="14"/>
        <v>--</v>
      </c>
      <c r="N39" s="364">
        <f t="shared" si="15"/>
        <v>25</v>
      </c>
      <c r="O39" s="368">
        <f t="shared" si="16"/>
        <v>6.835500000000001</v>
      </c>
      <c r="P39" s="376" t="str">
        <f t="shared" si="17"/>
        <v>--</v>
      </c>
      <c r="Q39" s="379" t="str">
        <f t="shared" si="18"/>
        <v>--</v>
      </c>
      <c r="R39" s="382" t="str">
        <f t="shared" si="19"/>
        <v>--</v>
      </c>
      <c r="S39" s="39" t="str">
        <f t="shared" si="20"/>
        <v>SI</v>
      </c>
      <c r="T39" s="53">
        <f t="shared" si="21"/>
        <v>6.835500000000001</v>
      </c>
      <c r="U39" s="63"/>
    </row>
    <row r="40" spans="2:21" s="9" customFormat="1" ht="16.5" customHeight="1">
      <c r="B40" s="105"/>
      <c r="C40" s="32">
        <v>78</v>
      </c>
      <c r="D40" s="48" t="s">
        <v>55</v>
      </c>
      <c r="E40" s="48" t="s">
        <v>56</v>
      </c>
      <c r="F40" s="12">
        <v>13.2</v>
      </c>
      <c r="G40" s="253">
        <f t="shared" si="11"/>
        <v>1.764</v>
      </c>
      <c r="H40" s="49">
        <v>36723.686111111114</v>
      </c>
      <c r="I40" s="50">
        <v>36723.68958333333</v>
      </c>
      <c r="J40" s="51">
        <f t="shared" si="12"/>
        <v>0.08333333325572312</v>
      </c>
      <c r="K40" s="43">
        <f t="shared" si="13"/>
        <v>5</v>
      </c>
      <c r="L40" s="44" t="s">
        <v>140</v>
      </c>
      <c r="M40" s="44" t="str">
        <f t="shared" si="14"/>
        <v>--</v>
      </c>
      <c r="N40" s="364">
        <f t="shared" si="15"/>
        <v>20</v>
      </c>
      <c r="O40" s="368">
        <f t="shared" si="16"/>
        <v>0.28224</v>
      </c>
      <c r="P40" s="376" t="str">
        <f t="shared" si="17"/>
        <v>--</v>
      </c>
      <c r="Q40" s="379" t="str">
        <f t="shared" si="18"/>
        <v>--</v>
      </c>
      <c r="R40" s="382" t="str">
        <f t="shared" si="19"/>
        <v>--</v>
      </c>
      <c r="S40" s="39" t="str">
        <f t="shared" si="20"/>
        <v>SI</v>
      </c>
      <c r="T40" s="53">
        <f t="shared" si="21"/>
        <v>0.28224</v>
      </c>
      <c r="U40" s="63"/>
    </row>
    <row r="41" spans="2:21" s="9" customFormat="1" ht="16.5" customHeight="1">
      <c r="B41" s="105"/>
      <c r="C41" s="32">
        <v>79</v>
      </c>
      <c r="D41" s="48" t="s">
        <v>55</v>
      </c>
      <c r="E41" s="48" t="s">
        <v>57</v>
      </c>
      <c r="F41" s="12">
        <v>13.2</v>
      </c>
      <c r="G41" s="253">
        <f t="shared" si="11"/>
        <v>1.764</v>
      </c>
      <c r="H41" s="49">
        <v>36723.686111111114</v>
      </c>
      <c r="I41" s="50">
        <v>36723.68958333333</v>
      </c>
      <c r="J41" s="51">
        <f t="shared" si="12"/>
        <v>0.08333333325572312</v>
      </c>
      <c r="K41" s="43">
        <f t="shared" si="13"/>
        <v>5</v>
      </c>
      <c r="L41" s="44" t="s">
        <v>140</v>
      </c>
      <c r="M41" s="44" t="str">
        <f t="shared" si="14"/>
        <v>--</v>
      </c>
      <c r="N41" s="364">
        <f t="shared" si="15"/>
        <v>20</v>
      </c>
      <c r="O41" s="368">
        <f t="shared" si="16"/>
        <v>0.28224</v>
      </c>
      <c r="P41" s="376" t="str">
        <f t="shared" si="17"/>
        <v>--</v>
      </c>
      <c r="Q41" s="379" t="str">
        <f t="shared" si="18"/>
        <v>--</v>
      </c>
      <c r="R41" s="382" t="str">
        <f t="shared" si="19"/>
        <v>--</v>
      </c>
      <c r="S41" s="39" t="str">
        <f t="shared" si="20"/>
        <v>SI</v>
      </c>
      <c r="T41" s="53">
        <f t="shared" si="21"/>
        <v>0.28224</v>
      </c>
      <c r="U41" s="63"/>
    </row>
    <row r="42" spans="2:21" s="9" customFormat="1" ht="16.5" customHeight="1">
      <c r="B42" s="105"/>
      <c r="C42" s="32">
        <v>80</v>
      </c>
      <c r="D42" s="48" t="s">
        <v>55</v>
      </c>
      <c r="E42" s="48" t="s">
        <v>125</v>
      </c>
      <c r="F42" s="12">
        <v>13.2</v>
      </c>
      <c r="G42" s="253">
        <f t="shared" si="11"/>
        <v>1.764</v>
      </c>
      <c r="H42" s="49">
        <v>36723.686111111114</v>
      </c>
      <c r="I42" s="50">
        <v>36723.68958333333</v>
      </c>
      <c r="J42" s="51">
        <f t="shared" si="12"/>
        <v>0.08333333325572312</v>
      </c>
      <c r="K42" s="43">
        <f t="shared" si="13"/>
        <v>5</v>
      </c>
      <c r="L42" s="44" t="s">
        <v>140</v>
      </c>
      <c r="M42" s="44" t="str">
        <f t="shared" si="14"/>
        <v>--</v>
      </c>
      <c r="N42" s="364">
        <f t="shared" si="15"/>
        <v>20</v>
      </c>
      <c r="O42" s="368">
        <f t="shared" si="16"/>
        <v>0.28224</v>
      </c>
      <c r="P42" s="376" t="str">
        <f t="shared" si="17"/>
        <v>--</v>
      </c>
      <c r="Q42" s="379" t="str">
        <f t="shared" si="18"/>
        <v>--</v>
      </c>
      <c r="R42" s="382" t="str">
        <f t="shared" si="19"/>
        <v>--</v>
      </c>
      <c r="S42" s="39" t="str">
        <f t="shared" si="20"/>
        <v>SI</v>
      </c>
      <c r="T42" s="53">
        <f t="shared" si="21"/>
        <v>0.28224</v>
      </c>
      <c r="U42" s="63"/>
    </row>
    <row r="43" spans="2:21" s="9" customFormat="1" ht="16.5" customHeight="1" thickBot="1">
      <c r="B43" s="105"/>
      <c r="C43" s="65"/>
      <c r="D43" s="66"/>
      <c r="E43" s="66"/>
      <c r="F43" s="67"/>
      <c r="G43" s="254"/>
      <c r="H43" s="68"/>
      <c r="I43" s="68"/>
      <c r="J43" s="68"/>
      <c r="K43" s="68"/>
      <c r="L43" s="69"/>
      <c r="M43" s="69"/>
      <c r="N43" s="365"/>
      <c r="O43" s="369"/>
      <c r="P43" s="377"/>
      <c r="Q43" s="380"/>
      <c r="R43" s="383"/>
      <c r="S43" s="366"/>
      <c r="T43" s="218"/>
      <c r="U43" s="63"/>
    </row>
    <row r="44" spans="2:21" s="9" customFormat="1" ht="16.5" customHeight="1" thickBot="1" thickTop="1">
      <c r="B44" s="105"/>
      <c r="C44" s="234" t="s">
        <v>97</v>
      </c>
      <c r="D44" s="235" t="s">
        <v>98</v>
      </c>
      <c r="O44" s="384">
        <f>SUM(O21:O43)</f>
        <v>288.29051999999996</v>
      </c>
      <c r="P44" s="385">
        <f>SUM(P21:P43)</f>
        <v>35.28</v>
      </c>
      <c r="Q44" s="385">
        <f>SUM(Q21:Q43)</f>
        <v>3.5280000000000005</v>
      </c>
      <c r="R44" s="312">
        <f>SUM(R21:R43)</f>
        <v>0</v>
      </c>
      <c r="T44" s="245">
        <f>ROUND(SUM(T21:T43),2)</f>
        <v>332.57</v>
      </c>
      <c r="U44" s="63"/>
    </row>
    <row r="45" spans="2:21" s="9" customFormat="1" ht="16.5" customHeight="1" thickTop="1">
      <c r="B45" s="105"/>
      <c r="C45" s="236"/>
      <c r="D45" s="237" t="s">
        <v>99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4"/>
      <c r="U45" s="63"/>
    </row>
    <row r="46" spans="2:21" s="240" customFormat="1" ht="13.5" thickBot="1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78"/>
    </row>
    <row r="47" spans="3:20" s="9" customFormat="1" ht="16.5" customHeight="1" thickTop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1" ht="16.5" customHeight="1">
      <c r="A48" s="5"/>
      <c r="B48" s="5"/>
      <c r="U48" s="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U48"/>
  <sheetViews>
    <sheetView zoomScale="75" zoomScaleNormal="75" workbookViewId="0" topLeftCell="A1">
      <selection activeCell="D10" sqref="D1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25.7109375" style="0" customWidth="1"/>
    <col min="5" max="5" width="35.7109375" style="0" customWidth="1"/>
    <col min="6" max="6" width="10.7109375" style="0" customWidth="1"/>
    <col min="7" max="7" width="14.7109375" style="0" hidden="1" customWidth="1"/>
    <col min="8" max="9" width="15.7109375" style="0" customWidth="1"/>
    <col min="10" max="12" width="9.7109375" style="0" customWidth="1"/>
    <col min="13" max="13" width="8.140625" style="0" customWidth="1"/>
    <col min="14" max="14" width="13.8515625" style="0" hidden="1" customWidth="1"/>
    <col min="15" max="18" width="16.57421875" style="0" hidden="1" customWidth="1"/>
    <col min="19" max="19" width="16.57421875" style="0" customWidth="1"/>
    <col min="20" max="21" width="15.7109375" style="0" customWidth="1"/>
  </cols>
  <sheetData>
    <row r="1" s="72" customFormat="1" ht="26.25">
      <c r="U1" s="390"/>
    </row>
    <row r="2" spans="2:21" s="72" customFormat="1" ht="26.25">
      <c r="B2" s="73" t="str">
        <f>+'tot-0007'!B2</f>
        <v>ANEXO I A LA RESOLUCION ENRE N° 336/2001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="9" customFormat="1" ht="12.75"/>
    <row r="4" spans="1:2" s="79" customFormat="1" ht="11.25">
      <c r="A4" s="77" t="s">
        <v>65</v>
      </c>
      <c r="B4" s="226"/>
    </row>
    <row r="5" spans="1:2" s="79" customFormat="1" ht="11.25">
      <c r="A5" s="77" t="s">
        <v>66</v>
      </c>
      <c r="B5" s="226"/>
    </row>
    <row r="6" s="9" customFormat="1" ht="16.5" customHeight="1" thickBot="1"/>
    <row r="7" spans="2:21" s="9" customFormat="1" ht="16.5" customHeight="1" thickTop="1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2:21" s="83" customFormat="1" ht="20.25">
      <c r="B8" s="139"/>
      <c r="C8" s="84"/>
      <c r="D8" s="33" t="s">
        <v>115</v>
      </c>
      <c r="E8" s="33"/>
      <c r="N8" s="84"/>
      <c r="O8" s="84"/>
      <c r="P8" s="84"/>
      <c r="Q8" s="84"/>
      <c r="R8" s="84"/>
      <c r="S8" s="84"/>
      <c r="T8" s="84"/>
      <c r="U8" s="140"/>
    </row>
    <row r="9" spans="2:21" s="9" customFormat="1" ht="16.5" customHeight="1">
      <c r="B9" s="105"/>
      <c r="C9" s="7"/>
      <c r="D9" s="7"/>
      <c r="E9" s="7"/>
      <c r="F9" s="7"/>
      <c r="G9" s="135"/>
      <c r="H9" s="135"/>
      <c r="I9" s="135"/>
      <c r="J9" s="135"/>
      <c r="K9" s="135"/>
      <c r="N9" s="7"/>
      <c r="O9" s="7"/>
      <c r="P9" s="7"/>
      <c r="Q9" s="7"/>
      <c r="R9" s="7"/>
      <c r="S9" s="7"/>
      <c r="T9" s="7"/>
      <c r="U9" s="10"/>
    </row>
    <row r="10" spans="2:21" s="83" customFormat="1" ht="20.25">
      <c r="B10" s="139"/>
      <c r="C10" s="84"/>
      <c r="D10" s="33" t="s">
        <v>116</v>
      </c>
      <c r="E10" s="33"/>
      <c r="F10" s="84"/>
      <c r="G10" s="33"/>
      <c r="H10" s="33"/>
      <c r="I10" s="33"/>
      <c r="J10" s="33"/>
      <c r="K10" s="33"/>
      <c r="N10" s="84"/>
      <c r="O10" s="84"/>
      <c r="P10" s="84"/>
      <c r="Q10" s="84"/>
      <c r="R10" s="84"/>
      <c r="S10" s="84"/>
      <c r="T10" s="84"/>
      <c r="U10" s="140"/>
    </row>
    <row r="11" spans="2:21" s="9" customFormat="1" ht="16.5" customHeight="1">
      <c r="B11" s="105"/>
      <c r="C11" s="7"/>
      <c r="D11" s="7"/>
      <c r="E11" s="7"/>
      <c r="F11" s="7"/>
      <c r="G11" s="135"/>
      <c r="H11" s="135"/>
      <c r="I11" s="135"/>
      <c r="J11" s="135"/>
      <c r="K11" s="135"/>
      <c r="N11" s="7"/>
      <c r="O11" s="7"/>
      <c r="P11" s="7"/>
      <c r="Q11" s="7"/>
      <c r="R11" s="7"/>
      <c r="S11" s="7"/>
      <c r="T11" s="7"/>
      <c r="U11" s="10"/>
    </row>
    <row r="12" spans="2:21" s="83" customFormat="1" ht="20.25">
      <c r="B12" s="139"/>
      <c r="C12" s="84"/>
      <c r="D12" s="33" t="s">
        <v>117</v>
      </c>
      <c r="E12" s="33"/>
      <c r="F12" s="84"/>
      <c r="G12" s="33"/>
      <c r="H12" s="33"/>
      <c r="I12" s="33"/>
      <c r="J12" s="33"/>
      <c r="K12" s="33"/>
      <c r="N12" s="84"/>
      <c r="O12" s="84"/>
      <c r="P12" s="84"/>
      <c r="Q12" s="84"/>
      <c r="R12" s="84"/>
      <c r="S12" s="84"/>
      <c r="T12" s="84"/>
      <c r="U12" s="140"/>
    </row>
    <row r="13" spans="2:21" s="9" customFormat="1" ht="16.5" customHeight="1">
      <c r="B13" s="105"/>
      <c r="C13" s="7"/>
      <c r="D13" s="137"/>
      <c r="E13" s="135"/>
      <c r="F13" s="7"/>
      <c r="G13" s="135"/>
      <c r="H13" s="135"/>
      <c r="I13" s="135"/>
      <c r="J13" s="135"/>
      <c r="K13" s="135"/>
      <c r="N13" s="7"/>
      <c r="O13" s="7"/>
      <c r="P13" s="7"/>
      <c r="Q13" s="7"/>
      <c r="R13" s="7"/>
      <c r="S13" s="7"/>
      <c r="T13" s="7"/>
      <c r="U13" s="10"/>
    </row>
    <row r="14" spans="2:21" s="90" customFormat="1" ht="18.75">
      <c r="B14" s="91" t="str">
        <f>+'tot-0007'!B14</f>
        <v>Desde el 01 al 31 de julio de 2000</v>
      </c>
      <c r="C14" s="95"/>
      <c r="D14" s="95"/>
      <c r="E14" s="95"/>
      <c r="F14" s="95"/>
      <c r="G14" s="95"/>
      <c r="H14" s="208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</row>
    <row r="15" spans="2:21" s="9" customFormat="1" ht="16.5" customHeight="1" thickBot="1">
      <c r="B15" s="105"/>
      <c r="C15" s="7"/>
      <c r="G15" s="129"/>
      <c r="I15" s="7"/>
      <c r="J15" s="7"/>
      <c r="K15" s="7"/>
      <c r="L15" s="129"/>
      <c r="M15" s="129"/>
      <c r="N15" s="129"/>
      <c r="O15" s="7"/>
      <c r="P15" s="7"/>
      <c r="Q15" s="7"/>
      <c r="R15" s="7"/>
      <c r="S15" s="7"/>
      <c r="T15" s="7"/>
      <c r="U15" s="10"/>
    </row>
    <row r="16" spans="2:21" s="9" customFormat="1" ht="16.5" customHeight="1" thickBot="1" thickTop="1">
      <c r="B16" s="105"/>
      <c r="C16" s="7"/>
      <c r="D16" s="209" t="s">
        <v>118</v>
      </c>
      <c r="E16" s="210">
        <v>2.353</v>
      </c>
      <c r="F16" s="211">
        <f>50*'tot-0007'!B13</f>
        <v>50</v>
      </c>
      <c r="H16" s="242" t="str">
        <f>IF(F16=50," ",IF(F16=100,"  Coeficiente duplicado por tasa de falla &gt;4 Sal. x año/100 km.","REVISAR COEFICIENTE"))</f>
        <v> </v>
      </c>
      <c r="Q16" s="7"/>
      <c r="R16" s="7"/>
      <c r="S16" s="7"/>
      <c r="T16" s="203"/>
      <c r="U16" s="10"/>
    </row>
    <row r="17" spans="2:21" s="9" customFormat="1" ht="16.5" customHeight="1" thickBot="1" thickTop="1">
      <c r="B17" s="105"/>
      <c r="C17" s="7"/>
      <c r="D17" s="212" t="s">
        <v>119</v>
      </c>
      <c r="E17" s="213">
        <v>1.764</v>
      </c>
      <c r="F17" s="214">
        <f>25*'tot-0007'!B13</f>
        <v>25</v>
      </c>
      <c r="H17" s="242" t="str">
        <f>IF(F17=25," ",IF(F17=50,"  Coeficiente duplicado por tasa de falla &gt;4 Sal. x año/100 km.","REVISAR COEFICIENTE"))</f>
        <v> </v>
      </c>
      <c r="I17" s="130"/>
      <c r="J17" s="130"/>
      <c r="K17" s="7"/>
      <c r="N17" s="204"/>
      <c r="O17" s="205"/>
      <c r="P17" s="123"/>
      <c r="Q17" s="7"/>
      <c r="R17" s="7"/>
      <c r="S17" s="7"/>
      <c r="T17" s="203"/>
      <c r="U17" s="10"/>
    </row>
    <row r="18" spans="2:21" s="9" customFormat="1" ht="16.5" customHeight="1" thickBot="1" thickTop="1">
      <c r="B18" s="105"/>
      <c r="C18" s="7"/>
      <c r="D18" s="215" t="s">
        <v>120</v>
      </c>
      <c r="E18" s="213">
        <v>1.764</v>
      </c>
      <c r="F18" s="216">
        <f>20*'tot-0007'!B13</f>
        <v>20</v>
      </c>
      <c r="H18" s="242" t="str">
        <f>IF(F18=20," ",IF(F18=40,"  Coeficiente duplicado por tasa de falla &gt;4 Sal. x año/100 km.","REVISAR COEFICIENTE"))</f>
        <v> </v>
      </c>
      <c r="I18" s="130"/>
      <c r="J18" s="130"/>
      <c r="K18" s="7"/>
      <c r="L18" s="397"/>
      <c r="M18" s="397"/>
      <c r="N18" s="395"/>
      <c r="O18" s="396"/>
      <c r="P18" s="397"/>
      <c r="Q18" s="398"/>
      <c r="R18" s="398"/>
      <c r="S18" s="399"/>
      <c r="T18" s="203"/>
      <c r="U18" s="10"/>
    </row>
    <row r="19" spans="2:21" s="9" customFormat="1" ht="16.5" customHeight="1" thickBot="1" thickTop="1">
      <c r="B19" s="105"/>
      <c r="C19" s="7"/>
      <c r="D19" s="206"/>
      <c r="E19" s="207"/>
      <c r="F19" s="123"/>
      <c r="G19" s="7"/>
      <c r="H19" s="123"/>
      <c r="I19" s="130"/>
      <c r="J19" s="130"/>
      <c r="K19" s="7"/>
      <c r="L19" s="7"/>
      <c r="M19" s="7"/>
      <c r="N19" s="204"/>
      <c r="O19" s="205"/>
      <c r="P19" s="123"/>
      <c r="Q19" s="7"/>
      <c r="R19" s="7"/>
      <c r="S19" s="7"/>
      <c r="T19" s="203"/>
      <c r="U19" s="10"/>
    </row>
    <row r="20" spans="2:21" s="9" customFormat="1" ht="33.75" customHeight="1" thickBot="1" thickTop="1">
      <c r="B20" s="105"/>
      <c r="C20" s="225" t="s">
        <v>79</v>
      </c>
      <c r="D20" s="220" t="s">
        <v>105</v>
      </c>
      <c r="E20" s="227" t="s">
        <v>106</v>
      </c>
      <c r="F20" s="228" t="s">
        <v>80</v>
      </c>
      <c r="G20" s="246" t="s">
        <v>82</v>
      </c>
      <c r="H20" s="219" t="s">
        <v>83</v>
      </c>
      <c r="I20" s="227" t="s">
        <v>84</v>
      </c>
      <c r="J20" s="229" t="s">
        <v>121</v>
      </c>
      <c r="K20" s="229" t="s">
        <v>109</v>
      </c>
      <c r="L20" s="159" t="s">
        <v>87</v>
      </c>
      <c r="M20" s="224" t="s">
        <v>110</v>
      </c>
      <c r="N20" s="363" t="s">
        <v>122</v>
      </c>
      <c r="O20" s="367" t="s">
        <v>89</v>
      </c>
      <c r="P20" s="373" t="s">
        <v>113</v>
      </c>
      <c r="Q20" s="374"/>
      <c r="R20" s="300" t="s">
        <v>93</v>
      </c>
      <c r="S20" s="223" t="s">
        <v>95</v>
      </c>
      <c r="T20" s="223" t="s">
        <v>96</v>
      </c>
      <c r="U20" s="63"/>
    </row>
    <row r="21" spans="2:21" s="9" customFormat="1" ht="16.5" customHeight="1" thickTop="1">
      <c r="B21" s="105"/>
      <c r="C21" s="32"/>
      <c r="D21" s="48" t="s">
        <v>138</v>
      </c>
      <c r="E21" s="48"/>
      <c r="F21" s="12"/>
      <c r="G21" s="253"/>
      <c r="H21" s="49"/>
      <c r="I21" s="50"/>
      <c r="J21" s="51"/>
      <c r="K21" s="43"/>
      <c r="L21" s="44"/>
      <c r="M21" s="44"/>
      <c r="N21" s="370"/>
      <c r="O21" s="371"/>
      <c r="P21" s="375"/>
      <c r="Q21" s="378"/>
      <c r="R21" s="381"/>
      <c r="S21" s="372"/>
      <c r="T21" s="71">
        <f>'SA-0007'!T44</f>
        <v>332.57</v>
      </c>
      <c r="U21" s="63"/>
    </row>
    <row r="22" spans="2:21" s="9" customFormat="1" ht="16.5" customHeight="1">
      <c r="B22" s="105"/>
      <c r="C22" s="32"/>
      <c r="D22" s="48"/>
      <c r="E22" s="48"/>
      <c r="F22" s="12"/>
      <c r="G22" s="253"/>
      <c r="H22" s="49"/>
      <c r="I22" s="50"/>
      <c r="J22" s="51"/>
      <c r="K22" s="43"/>
      <c r="L22" s="44"/>
      <c r="M22" s="44"/>
      <c r="N22" s="364"/>
      <c r="O22" s="368"/>
      <c r="P22" s="376"/>
      <c r="Q22" s="379"/>
      <c r="R22" s="382"/>
      <c r="S22" s="39"/>
      <c r="T22" s="217"/>
      <c r="U22" s="63"/>
    </row>
    <row r="23" spans="2:21" s="9" customFormat="1" ht="16.5" customHeight="1">
      <c r="B23" s="105"/>
      <c r="C23" s="32">
        <v>81</v>
      </c>
      <c r="D23" s="48" t="s">
        <v>55</v>
      </c>
      <c r="E23" s="48" t="s">
        <v>58</v>
      </c>
      <c r="F23" s="12">
        <v>13.2</v>
      </c>
      <c r="G23" s="253">
        <f>IF(OR(F23=132,F23=66),'SA-0007'!$E$16,IF(F23=33,'SA-0007'!$E$17,'SA-0007'!$E$18))</f>
        <v>1.764</v>
      </c>
      <c r="H23" s="49">
        <v>36723.686111111114</v>
      </c>
      <c r="I23" s="50">
        <v>36723.68958333333</v>
      </c>
      <c r="J23" s="51">
        <f>IF(D23="","",(I23-H23)*24)</f>
        <v>0.08333333325572312</v>
      </c>
      <c r="K23" s="43">
        <f>IF(D23="","",ROUND((I23-H23)*24*60,0))</f>
        <v>5</v>
      </c>
      <c r="L23" s="44" t="s">
        <v>140</v>
      </c>
      <c r="M23" s="44" t="str">
        <f>IF(D23="","",IF(OR(L23="P",L23="RP"),"--","NO"))</f>
        <v>--</v>
      </c>
      <c r="N23" s="364">
        <f>IF(F23&gt;33,'SA-0007'!$F$16,IF(F23=33,'SA-0007'!$F$17,'SA-0007'!$F$18))</f>
        <v>20</v>
      </c>
      <c r="O23" s="368">
        <f>IF(L23="P",G23*N23*ROUND(K23/60,2)*0.1,"--")</f>
        <v>0.28224</v>
      </c>
      <c r="P23" s="376" t="str">
        <f>IF(AND(L23="F",M23="NO"),G23*N23,"--")</f>
        <v>--</v>
      </c>
      <c r="Q23" s="379" t="str">
        <f>IF(L23="F",G23*N23*ROUND(K23/60,2),"--")</f>
        <v>--</v>
      </c>
      <c r="R23" s="382" t="str">
        <f>IF(L23="RF",G23*N23*ROUND(K23/60,2),"--")</f>
        <v>--</v>
      </c>
      <c r="S23" s="39" t="str">
        <f>IF(D23="","","SI")</f>
        <v>SI</v>
      </c>
      <c r="T23" s="53">
        <f>IF(D23="","",SUM(O23:R23)*IF(S23="SI",1,2)*IF(F23="500/220",0,1))</f>
        <v>0.28224</v>
      </c>
      <c r="U23" s="63"/>
    </row>
    <row r="24" spans="2:21" s="9" customFormat="1" ht="16.5" customHeight="1">
      <c r="B24" s="105"/>
      <c r="C24" s="32">
        <v>82</v>
      </c>
      <c r="D24" s="48" t="s">
        <v>55</v>
      </c>
      <c r="E24" s="48" t="s">
        <v>59</v>
      </c>
      <c r="F24" s="12">
        <v>13.2</v>
      </c>
      <c r="G24" s="253">
        <f aca="true" t="shared" si="0" ref="G24:G43">IF(OR(F24=132,F24=66),$E$16,IF(F24=33,$E$17,$E$18))</f>
        <v>1.764</v>
      </c>
      <c r="H24" s="49">
        <v>36723.686111111114</v>
      </c>
      <c r="I24" s="50">
        <v>36723.68958333333</v>
      </c>
      <c r="J24" s="51">
        <f aca="true" t="shared" si="1" ref="J24:J43">IF(D24="","",(I24-H24)*24)</f>
        <v>0.08333333325572312</v>
      </c>
      <c r="K24" s="43">
        <f aca="true" t="shared" si="2" ref="K24:K43">IF(D24="","",ROUND((I24-H24)*24*60,0))</f>
        <v>5</v>
      </c>
      <c r="L24" s="44" t="s">
        <v>140</v>
      </c>
      <c r="M24" s="44" t="str">
        <f aca="true" t="shared" si="3" ref="M24:M43">IF(D24="","",IF(OR(L24="P",L24="RP"),"--","NO"))</f>
        <v>--</v>
      </c>
      <c r="N24" s="364">
        <f aca="true" t="shared" si="4" ref="N24:N43">IF(F24&gt;33,$F$16,IF(F24=33,$F$17,$F$18))</f>
        <v>20</v>
      </c>
      <c r="O24" s="368">
        <f aca="true" t="shared" si="5" ref="O24:O43">IF(L24="P",G24*N24*ROUND(K24/60,2)*0.1,"--")</f>
        <v>0.28224</v>
      </c>
      <c r="P24" s="376" t="str">
        <f aca="true" t="shared" si="6" ref="P24:P43">IF(AND(L24="F",M24="NO"),G24*N24,"--")</f>
        <v>--</v>
      </c>
      <c r="Q24" s="379" t="str">
        <f aca="true" t="shared" si="7" ref="Q24:Q43">IF(L24="F",G24*N24*ROUND(K24/60,2),"--")</f>
        <v>--</v>
      </c>
      <c r="R24" s="382" t="str">
        <f aca="true" t="shared" si="8" ref="R24:R43">IF(L24="RF",G24*N24*ROUND(K24/60,2),"--")</f>
        <v>--</v>
      </c>
      <c r="S24" s="39" t="str">
        <f aca="true" t="shared" si="9" ref="S24:S43">IF(D24="","","SI")</f>
        <v>SI</v>
      </c>
      <c r="T24" s="53">
        <f aca="true" t="shared" si="10" ref="T24:T43">IF(D24="","",SUM(O24:R24)*IF(S24="SI",1,2)*IF(F24="500/220",0,1))</f>
        <v>0.28224</v>
      </c>
      <c r="U24" s="387"/>
    </row>
    <row r="25" spans="2:21" s="9" customFormat="1" ht="16.5" customHeight="1">
      <c r="B25" s="105"/>
      <c r="C25" s="32">
        <v>83</v>
      </c>
      <c r="D25" s="48" t="s">
        <v>55</v>
      </c>
      <c r="E25" s="48" t="s">
        <v>60</v>
      </c>
      <c r="F25" s="12">
        <v>13.2</v>
      </c>
      <c r="G25" s="253">
        <f t="shared" si="0"/>
        <v>1.764</v>
      </c>
      <c r="H25" s="49">
        <v>36723.686111111114</v>
      </c>
      <c r="I25" s="50">
        <v>36723.68958333333</v>
      </c>
      <c r="J25" s="51">
        <f t="shared" si="1"/>
        <v>0.08333333325572312</v>
      </c>
      <c r="K25" s="43">
        <f t="shared" si="2"/>
        <v>5</v>
      </c>
      <c r="L25" s="44" t="s">
        <v>140</v>
      </c>
      <c r="M25" s="44" t="str">
        <f t="shared" si="3"/>
        <v>--</v>
      </c>
      <c r="N25" s="364">
        <f t="shared" si="4"/>
        <v>20</v>
      </c>
      <c r="O25" s="368">
        <f t="shared" si="5"/>
        <v>0.28224</v>
      </c>
      <c r="P25" s="376" t="str">
        <f t="shared" si="6"/>
        <v>--</v>
      </c>
      <c r="Q25" s="379" t="str">
        <f t="shared" si="7"/>
        <v>--</v>
      </c>
      <c r="R25" s="382" t="str">
        <f t="shared" si="8"/>
        <v>--</v>
      </c>
      <c r="S25" s="39" t="str">
        <f t="shared" si="9"/>
        <v>SI</v>
      </c>
      <c r="T25" s="53">
        <f t="shared" si="10"/>
        <v>0.28224</v>
      </c>
      <c r="U25" s="387"/>
    </row>
    <row r="26" spans="2:21" s="9" customFormat="1" ht="16.5" customHeight="1">
      <c r="B26" s="105"/>
      <c r="C26" s="32">
        <v>84</v>
      </c>
      <c r="D26" s="48" t="s">
        <v>55</v>
      </c>
      <c r="E26" s="48" t="s">
        <v>54</v>
      </c>
      <c r="F26" s="12">
        <v>13.2</v>
      </c>
      <c r="G26" s="253">
        <f t="shared" si="0"/>
        <v>1.764</v>
      </c>
      <c r="H26" s="49">
        <v>36723.686111111114</v>
      </c>
      <c r="I26" s="50">
        <v>36723.68958333333</v>
      </c>
      <c r="J26" s="51">
        <f t="shared" si="1"/>
        <v>0.08333333325572312</v>
      </c>
      <c r="K26" s="43">
        <f t="shared" si="2"/>
        <v>5</v>
      </c>
      <c r="L26" s="44" t="s">
        <v>140</v>
      </c>
      <c r="M26" s="44" t="str">
        <f t="shared" si="3"/>
        <v>--</v>
      </c>
      <c r="N26" s="364">
        <f t="shared" si="4"/>
        <v>20</v>
      </c>
      <c r="O26" s="368">
        <f t="shared" si="5"/>
        <v>0.28224</v>
      </c>
      <c r="P26" s="376" t="str">
        <f t="shared" si="6"/>
        <v>--</v>
      </c>
      <c r="Q26" s="379" t="str">
        <f t="shared" si="7"/>
        <v>--</v>
      </c>
      <c r="R26" s="382" t="str">
        <f t="shared" si="8"/>
        <v>--</v>
      </c>
      <c r="S26" s="39" t="str">
        <f t="shared" si="9"/>
        <v>SI</v>
      </c>
      <c r="T26" s="53">
        <f t="shared" si="10"/>
        <v>0.28224</v>
      </c>
      <c r="U26" s="387"/>
    </row>
    <row r="27" spans="2:21" s="9" customFormat="1" ht="16.5" customHeight="1">
      <c r="B27" s="105"/>
      <c r="C27" s="32">
        <v>85</v>
      </c>
      <c r="D27" s="48" t="s">
        <v>55</v>
      </c>
      <c r="E27" s="48" t="s">
        <v>58</v>
      </c>
      <c r="F27" s="12">
        <v>13.2</v>
      </c>
      <c r="G27" s="253">
        <f t="shared" si="0"/>
        <v>1.764</v>
      </c>
      <c r="H27" s="49">
        <v>36723.686111111114</v>
      </c>
      <c r="I27" s="50">
        <v>36723.68958333333</v>
      </c>
      <c r="J27" s="51">
        <f t="shared" si="1"/>
        <v>0.08333333325572312</v>
      </c>
      <c r="K27" s="43">
        <f t="shared" si="2"/>
        <v>5</v>
      </c>
      <c r="L27" s="44" t="s">
        <v>140</v>
      </c>
      <c r="M27" s="44" t="str">
        <f t="shared" si="3"/>
        <v>--</v>
      </c>
      <c r="N27" s="364">
        <f t="shared" si="4"/>
        <v>20</v>
      </c>
      <c r="O27" s="368">
        <f t="shared" si="5"/>
        <v>0.28224</v>
      </c>
      <c r="P27" s="376" t="str">
        <f t="shared" si="6"/>
        <v>--</v>
      </c>
      <c r="Q27" s="379" t="str">
        <f t="shared" si="7"/>
        <v>--</v>
      </c>
      <c r="R27" s="382" t="str">
        <f t="shared" si="8"/>
        <v>--</v>
      </c>
      <c r="S27" s="39" t="str">
        <f t="shared" si="9"/>
        <v>SI</v>
      </c>
      <c r="T27" s="53">
        <f t="shared" si="10"/>
        <v>0.28224</v>
      </c>
      <c r="U27" s="63"/>
    </row>
    <row r="28" spans="2:21" s="9" customFormat="1" ht="16.5" customHeight="1">
      <c r="B28" s="105"/>
      <c r="C28" s="32">
        <v>86</v>
      </c>
      <c r="D28" s="48" t="s">
        <v>55</v>
      </c>
      <c r="E28" s="48" t="s">
        <v>61</v>
      </c>
      <c r="F28" s="12">
        <v>13.2</v>
      </c>
      <c r="G28" s="253">
        <f t="shared" si="0"/>
        <v>1.764</v>
      </c>
      <c r="H28" s="49">
        <v>36723.686111111114</v>
      </c>
      <c r="I28" s="50">
        <v>36723.68958333333</v>
      </c>
      <c r="J28" s="51">
        <f t="shared" si="1"/>
        <v>0.08333333325572312</v>
      </c>
      <c r="K28" s="43">
        <f t="shared" si="2"/>
        <v>5</v>
      </c>
      <c r="L28" s="44" t="s">
        <v>140</v>
      </c>
      <c r="M28" s="44" t="str">
        <f t="shared" si="3"/>
        <v>--</v>
      </c>
      <c r="N28" s="364">
        <f t="shared" si="4"/>
        <v>20</v>
      </c>
      <c r="O28" s="368">
        <f t="shared" si="5"/>
        <v>0.28224</v>
      </c>
      <c r="P28" s="376" t="str">
        <f t="shared" si="6"/>
        <v>--</v>
      </c>
      <c r="Q28" s="379" t="str">
        <f t="shared" si="7"/>
        <v>--</v>
      </c>
      <c r="R28" s="382" t="str">
        <f t="shared" si="8"/>
        <v>--</v>
      </c>
      <c r="S28" s="39" t="str">
        <f t="shared" si="9"/>
        <v>SI</v>
      </c>
      <c r="T28" s="53">
        <f t="shared" si="10"/>
        <v>0.28224</v>
      </c>
      <c r="U28" s="63"/>
    </row>
    <row r="29" spans="2:21" s="9" customFormat="1" ht="16.5" customHeight="1">
      <c r="B29" s="105"/>
      <c r="C29" s="32">
        <v>87</v>
      </c>
      <c r="D29" s="48" t="s">
        <v>55</v>
      </c>
      <c r="E29" s="48" t="s">
        <v>126</v>
      </c>
      <c r="F29" s="12">
        <v>33</v>
      </c>
      <c r="G29" s="253">
        <f t="shared" si="0"/>
        <v>1.764</v>
      </c>
      <c r="H29" s="49">
        <v>36723.686111111114</v>
      </c>
      <c r="I29" s="50">
        <v>36723.68958333333</v>
      </c>
      <c r="J29" s="51">
        <f t="shared" si="1"/>
        <v>0.08333333325572312</v>
      </c>
      <c r="K29" s="43">
        <f t="shared" si="2"/>
        <v>5</v>
      </c>
      <c r="L29" s="44" t="s">
        <v>140</v>
      </c>
      <c r="M29" s="44" t="str">
        <f t="shared" si="3"/>
        <v>--</v>
      </c>
      <c r="N29" s="364">
        <f t="shared" si="4"/>
        <v>25</v>
      </c>
      <c r="O29" s="368">
        <f t="shared" si="5"/>
        <v>0.3528</v>
      </c>
      <c r="P29" s="376" t="str">
        <f t="shared" si="6"/>
        <v>--</v>
      </c>
      <c r="Q29" s="379" t="str">
        <f t="shared" si="7"/>
        <v>--</v>
      </c>
      <c r="R29" s="382" t="str">
        <f t="shared" si="8"/>
        <v>--</v>
      </c>
      <c r="S29" s="39" t="str">
        <f t="shared" si="9"/>
        <v>SI</v>
      </c>
      <c r="T29" s="53">
        <f t="shared" si="10"/>
        <v>0.3528</v>
      </c>
      <c r="U29" s="63"/>
    </row>
    <row r="30" spans="2:21" s="9" customFormat="1" ht="16.5" customHeight="1">
      <c r="B30" s="105"/>
      <c r="C30" s="32">
        <v>88</v>
      </c>
      <c r="D30" s="48" t="s">
        <v>55</v>
      </c>
      <c r="E30" s="48" t="s">
        <v>62</v>
      </c>
      <c r="F30" s="12">
        <v>33</v>
      </c>
      <c r="G30" s="253">
        <f t="shared" si="0"/>
        <v>1.764</v>
      </c>
      <c r="H30" s="49">
        <v>36723.686111111114</v>
      </c>
      <c r="I30" s="50">
        <v>36723.68958333333</v>
      </c>
      <c r="J30" s="51">
        <f t="shared" si="1"/>
        <v>0.08333333325572312</v>
      </c>
      <c r="K30" s="43">
        <f t="shared" si="2"/>
        <v>5</v>
      </c>
      <c r="L30" s="44" t="s">
        <v>140</v>
      </c>
      <c r="M30" s="44" t="str">
        <f t="shared" si="3"/>
        <v>--</v>
      </c>
      <c r="N30" s="364">
        <f t="shared" si="4"/>
        <v>25</v>
      </c>
      <c r="O30" s="368">
        <f t="shared" si="5"/>
        <v>0.3528</v>
      </c>
      <c r="P30" s="376" t="str">
        <f t="shared" si="6"/>
        <v>--</v>
      </c>
      <c r="Q30" s="379" t="str">
        <f t="shared" si="7"/>
        <v>--</v>
      </c>
      <c r="R30" s="382" t="str">
        <f t="shared" si="8"/>
        <v>--</v>
      </c>
      <c r="S30" s="39" t="str">
        <f t="shared" si="9"/>
        <v>SI</v>
      </c>
      <c r="T30" s="53">
        <f t="shared" si="10"/>
        <v>0.3528</v>
      </c>
      <c r="U30" s="63"/>
    </row>
    <row r="31" spans="2:21" s="9" customFormat="1" ht="16.5" customHeight="1">
      <c r="B31" s="105"/>
      <c r="C31" s="32">
        <v>89</v>
      </c>
      <c r="D31" s="48" t="s">
        <v>131</v>
      </c>
      <c r="E31" s="48" t="s">
        <v>133</v>
      </c>
      <c r="F31" s="12">
        <v>13.2</v>
      </c>
      <c r="G31" s="253">
        <f t="shared" si="0"/>
        <v>1.764</v>
      </c>
      <c r="H31" s="49">
        <v>36728.62986111111</v>
      </c>
      <c r="I31" s="50">
        <v>36728.64722222222</v>
      </c>
      <c r="J31" s="51">
        <f t="shared" si="1"/>
        <v>0.41666666662786156</v>
      </c>
      <c r="K31" s="43">
        <f t="shared" si="2"/>
        <v>25</v>
      </c>
      <c r="L31" s="44" t="s">
        <v>140</v>
      </c>
      <c r="M31" s="44" t="str">
        <f t="shared" si="3"/>
        <v>--</v>
      </c>
      <c r="N31" s="364">
        <f t="shared" si="4"/>
        <v>20</v>
      </c>
      <c r="O31" s="368">
        <f t="shared" si="5"/>
        <v>1.4817600000000002</v>
      </c>
      <c r="P31" s="376" t="str">
        <f t="shared" si="6"/>
        <v>--</v>
      </c>
      <c r="Q31" s="379" t="str">
        <f t="shared" si="7"/>
        <v>--</v>
      </c>
      <c r="R31" s="382" t="str">
        <f t="shared" si="8"/>
        <v>--</v>
      </c>
      <c r="S31" s="39" t="str">
        <f t="shared" si="9"/>
        <v>SI</v>
      </c>
      <c r="T31" s="53">
        <f t="shared" si="10"/>
        <v>1.4817600000000002</v>
      </c>
      <c r="U31" s="63"/>
    </row>
    <row r="32" spans="2:21" s="9" customFormat="1" ht="16.5" customHeight="1">
      <c r="B32" s="105"/>
      <c r="C32" s="32"/>
      <c r="D32" s="48"/>
      <c r="E32" s="48"/>
      <c r="F32" s="12"/>
      <c r="G32" s="253">
        <f t="shared" si="0"/>
        <v>1.764</v>
      </c>
      <c r="H32" s="49"/>
      <c r="I32" s="50"/>
      <c r="J32" s="51">
        <f t="shared" si="1"/>
      </c>
      <c r="K32" s="43">
        <f t="shared" si="2"/>
      </c>
      <c r="L32" s="44"/>
      <c r="M32" s="44">
        <f t="shared" si="3"/>
      </c>
      <c r="N32" s="364">
        <f t="shared" si="4"/>
        <v>20</v>
      </c>
      <c r="O32" s="368" t="str">
        <f t="shared" si="5"/>
        <v>--</v>
      </c>
      <c r="P32" s="376" t="str">
        <f t="shared" si="6"/>
        <v>--</v>
      </c>
      <c r="Q32" s="379" t="str">
        <f t="shared" si="7"/>
        <v>--</v>
      </c>
      <c r="R32" s="382" t="str">
        <f t="shared" si="8"/>
        <v>--</v>
      </c>
      <c r="S32" s="39">
        <f t="shared" si="9"/>
      </c>
      <c r="T32" s="53">
        <f t="shared" si="10"/>
      </c>
      <c r="U32" s="63"/>
    </row>
    <row r="33" spans="2:21" s="9" customFormat="1" ht="16.5" customHeight="1">
      <c r="B33" s="105"/>
      <c r="C33" s="32"/>
      <c r="D33" s="48"/>
      <c r="E33" s="48"/>
      <c r="F33" s="12"/>
      <c r="G33" s="253">
        <f t="shared" si="0"/>
        <v>1.764</v>
      </c>
      <c r="H33" s="49"/>
      <c r="I33" s="50"/>
      <c r="J33" s="51">
        <f t="shared" si="1"/>
      </c>
      <c r="K33" s="43">
        <f t="shared" si="2"/>
      </c>
      <c r="L33" s="44"/>
      <c r="M33" s="44">
        <f t="shared" si="3"/>
      </c>
      <c r="N33" s="364">
        <f t="shared" si="4"/>
        <v>20</v>
      </c>
      <c r="O33" s="368" t="str">
        <f t="shared" si="5"/>
        <v>--</v>
      </c>
      <c r="P33" s="376" t="str">
        <f t="shared" si="6"/>
        <v>--</v>
      </c>
      <c r="Q33" s="379" t="str">
        <f t="shared" si="7"/>
        <v>--</v>
      </c>
      <c r="R33" s="382" t="str">
        <f t="shared" si="8"/>
        <v>--</v>
      </c>
      <c r="S33" s="39">
        <f t="shared" si="9"/>
      </c>
      <c r="T33" s="53">
        <f t="shared" si="10"/>
      </c>
      <c r="U33" s="63"/>
    </row>
    <row r="34" spans="2:21" s="9" customFormat="1" ht="16.5" customHeight="1">
      <c r="B34" s="105"/>
      <c r="C34" s="32"/>
      <c r="D34" s="48"/>
      <c r="E34" s="48"/>
      <c r="F34" s="12"/>
      <c r="G34" s="253">
        <f t="shared" si="0"/>
        <v>1.764</v>
      </c>
      <c r="H34" s="49"/>
      <c r="I34" s="50"/>
      <c r="J34" s="51">
        <f t="shared" si="1"/>
      </c>
      <c r="K34" s="43">
        <f t="shared" si="2"/>
      </c>
      <c r="L34" s="44"/>
      <c r="M34" s="44">
        <f t="shared" si="3"/>
      </c>
      <c r="N34" s="364">
        <f t="shared" si="4"/>
        <v>20</v>
      </c>
      <c r="O34" s="368" t="str">
        <f t="shared" si="5"/>
        <v>--</v>
      </c>
      <c r="P34" s="376" t="str">
        <f t="shared" si="6"/>
        <v>--</v>
      </c>
      <c r="Q34" s="379" t="str">
        <f t="shared" si="7"/>
        <v>--</v>
      </c>
      <c r="R34" s="382" t="str">
        <f t="shared" si="8"/>
        <v>--</v>
      </c>
      <c r="S34" s="39">
        <f t="shared" si="9"/>
      </c>
      <c r="T34" s="53">
        <f t="shared" si="10"/>
      </c>
      <c r="U34" s="63"/>
    </row>
    <row r="35" spans="2:21" s="9" customFormat="1" ht="16.5" customHeight="1">
      <c r="B35" s="105"/>
      <c r="C35" s="32"/>
      <c r="D35" s="48"/>
      <c r="E35" s="48"/>
      <c r="F35" s="12"/>
      <c r="G35" s="253">
        <f t="shared" si="0"/>
        <v>1.764</v>
      </c>
      <c r="H35" s="49"/>
      <c r="I35" s="50"/>
      <c r="J35" s="51">
        <f t="shared" si="1"/>
      </c>
      <c r="K35" s="43">
        <f t="shared" si="2"/>
      </c>
      <c r="L35" s="44"/>
      <c r="M35" s="44">
        <f t="shared" si="3"/>
      </c>
      <c r="N35" s="364">
        <f t="shared" si="4"/>
        <v>20</v>
      </c>
      <c r="O35" s="368" t="str">
        <f t="shared" si="5"/>
        <v>--</v>
      </c>
      <c r="P35" s="376" t="str">
        <f t="shared" si="6"/>
        <v>--</v>
      </c>
      <c r="Q35" s="379" t="str">
        <f t="shared" si="7"/>
        <v>--</v>
      </c>
      <c r="R35" s="382" t="str">
        <f t="shared" si="8"/>
        <v>--</v>
      </c>
      <c r="S35" s="39">
        <f t="shared" si="9"/>
      </c>
      <c r="T35" s="53">
        <f t="shared" si="10"/>
      </c>
      <c r="U35" s="63"/>
    </row>
    <row r="36" spans="2:21" s="9" customFormat="1" ht="16.5" customHeight="1">
      <c r="B36" s="105"/>
      <c r="C36" s="32"/>
      <c r="D36" s="48"/>
      <c r="E36" s="48"/>
      <c r="F36" s="12"/>
      <c r="G36" s="253">
        <f t="shared" si="0"/>
        <v>1.764</v>
      </c>
      <c r="H36" s="49"/>
      <c r="I36" s="50"/>
      <c r="J36" s="51">
        <f t="shared" si="1"/>
      </c>
      <c r="K36" s="43">
        <f t="shared" si="2"/>
      </c>
      <c r="L36" s="44"/>
      <c r="M36" s="44">
        <f t="shared" si="3"/>
      </c>
      <c r="N36" s="364">
        <f t="shared" si="4"/>
        <v>20</v>
      </c>
      <c r="O36" s="368" t="str">
        <f t="shared" si="5"/>
        <v>--</v>
      </c>
      <c r="P36" s="376" t="str">
        <f t="shared" si="6"/>
        <v>--</v>
      </c>
      <c r="Q36" s="379" t="str">
        <f t="shared" si="7"/>
        <v>--</v>
      </c>
      <c r="R36" s="382" t="str">
        <f t="shared" si="8"/>
        <v>--</v>
      </c>
      <c r="S36" s="39">
        <f t="shared" si="9"/>
      </c>
      <c r="T36" s="53">
        <f t="shared" si="10"/>
      </c>
      <c r="U36" s="63"/>
    </row>
    <row r="37" spans="2:21" s="9" customFormat="1" ht="16.5" customHeight="1">
      <c r="B37" s="105"/>
      <c r="C37" s="32"/>
      <c r="D37" s="48"/>
      <c r="E37" s="48"/>
      <c r="F37" s="12"/>
      <c r="G37" s="253">
        <f t="shared" si="0"/>
        <v>1.764</v>
      </c>
      <c r="H37" s="49"/>
      <c r="I37" s="50"/>
      <c r="J37" s="51">
        <f t="shared" si="1"/>
      </c>
      <c r="K37" s="43">
        <f t="shared" si="2"/>
      </c>
      <c r="L37" s="44"/>
      <c r="M37" s="44">
        <f t="shared" si="3"/>
      </c>
      <c r="N37" s="364">
        <f t="shared" si="4"/>
        <v>20</v>
      </c>
      <c r="O37" s="368" t="str">
        <f t="shared" si="5"/>
        <v>--</v>
      </c>
      <c r="P37" s="376" t="str">
        <f t="shared" si="6"/>
        <v>--</v>
      </c>
      <c r="Q37" s="379" t="str">
        <f t="shared" si="7"/>
        <v>--</v>
      </c>
      <c r="R37" s="382" t="str">
        <f t="shared" si="8"/>
        <v>--</v>
      </c>
      <c r="S37" s="39">
        <f t="shared" si="9"/>
      </c>
      <c r="T37" s="53">
        <f t="shared" si="10"/>
      </c>
      <c r="U37" s="63"/>
    </row>
    <row r="38" spans="2:21" s="9" customFormat="1" ht="16.5" customHeight="1">
      <c r="B38" s="105"/>
      <c r="C38" s="32"/>
      <c r="D38" s="48"/>
      <c r="E38" s="48"/>
      <c r="F38" s="12"/>
      <c r="G38" s="253">
        <f t="shared" si="0"/>
        <v>1.764</v>
      </c>
      <c r="H38" s="49"/>
      <c r="I38" s="50"/>
      <c r="J38" s="51">
        <f t="shared" si="1"/>
      </c>
      <c r="K38" s="43">
        <f t="shared" si="2"/>
      </c>
      <c r="L38" s="44"/>
      <c r="M38" s="44">
        <f t="shared" si="3"/>
      </c>
      <c r="N38" s="364">
        <f t="shared" si="4"/>
        <v>20</v>
      </c>
      <c r="O38" s="368" t="str">
        <f t="shared" si="5"/>
        <v>--</v>
      </c>
      <c r="P38" s="376" t="str">
        <f t="shared" si="6"/>
        <v>--</v>
      </c>
      <c r="Q38" s="379" t="str">
        <f t="shared" si="7"/>
        <v>--</v>
      </c>
      <c r="R38" s="382" t="str">
        <f t="shared" si="8"/>
        <v>--</v>
      </c>
      <c r="S38" s="39">
        <f t="shared" si="9"/>
      </c>
      <c r="T38" s="53">
        <f t="shared" si="10"/>
      </c>
      <c r="U38" s="63"/>
    </row>
    <row r="39" spans="2:21" s="9" customFormat="1" ht="16.5" customHeight="1">
      <c r="B39" s="105"/>
      <c r="C39" s="32"/>
      <c r="D39" s="48"/>
      <c r="E39" s="48"/>
      <c r="F39" s="12"/>
      <c r="G39" s="253">
        <f t="shared" si="0"/>
        <v>1.764</v>
      </c>
      <c r="H39" s="49"/>
      <c r="I39" s="50"/>
      <c r="J39" s="51">
        <f t="shared" si="1"/>
      </c>
      <c r="K39" s="43">
        <f t="shared" si="2"/>
      </c>
      <c r="L39" s="44"/>
      <c r="M39" s="44">
        <f t="shared" si="3"/>
      </c>
      <c r="N39" s="364">
        <f t="shared" si="4"/>
        <v>20</v>
      </c>
      <c r="O39" s="368" t="str">
        <f t="shared" si="5"/>
        <v>--</v>
      </c>
      <c r="P39" s="376" t="str">
        <f t="shared" si="6"/>
        <v>--</v>
      </c>
      <c r="Q39" s="379" t="str">
        <f t="shared" si="7"/>
        <v>--</v>
      </c>
      <c r="R39" s="382" t="str">
        <f t="shared" si="8"/>
        <v>--</v>
      </c>
      <c r="S39" s="39">
        <f t="shared" si="9"/>
      </c>
      <c r="T39" s="53">
        <f t="shared" si="10"/>
      </c>
      <c r="U39" s="63"/>
    </row>
    <row r="40" spans="2:21" s="9" customFormat="1" ht="16.5" customHeight="1">
      <c r="B40" s="105"/>
      <c r="C40" s="32"/>
      <c r="D40" s="48"/>
      <c r="E40" s="48"/>
      <c r="F40" s="12"/>
      <c r="G40" s="253">
        <f t="shared" si="0"/>
        <v>1.764</v>
      </c>
      <c r="H40" s="49"/>
      <c r="I40" s="50"/>
      <c r="J40" s="51">
        <f t="shared" si="1"/>
      </c>
      <c r="K40" s="43">
        <f t="shared" si="2"/>
      </c>
      <c r="L40" s="44"/>
      <c r="M40" s="44">
        <f t="shared" si="3"/>
      </c>
      <c r="N40" s="364">
        <f t="shared" si="4"/>
        <v>20</v>
      </c>
      <c r="O40" s="368" t="str">
        <f t="shared" si="5"/>
        <v>--</v>
      </c>
      <c r="P40" s="376" t="str">
        <f t="shared" si="6"/>
        <v>--</v>
      </c>
      <c r="Q40" s="379" t="str">
        <f t="shared" si="7"/>
        <v>--</v>
      </c>
      <c r="R40" s="382" t="str">
        <f t="shared" si="8"/>
        <v>--</v>
      </c>
      <c r="S40" s="39">
        <f t="shared" si="9"/>
      </c>
      <c r="T40" s="53">
        <f t="shared" si="10"/>
      </c>
      <c r="U40" s="63"/>
    </row>
    <row r="41" spans="2:21" s="9" customFormat="1" ht="16.5" customHeight="1">
      <c r="B41" s="105"/>
      <c r="C41" s="32"/>
      <c r="D41" s="48"/>
      <c r="E41" s="48"/>
      <c r="F41" s="12"/>
      <c r="G41" s="253">
        <f t="shared" si="0"/>
        <v>1.764</v>
      </c>
      <c r="H41" s="49"/>
      <c r="I41" s="50"/>
      <c r="J41" s="51">
        <f t="shared" si="1"/>
      </c>
      <c r="K41" s="43">
        <f t="shared" si="2"/>
      </c>
      <c r="L41" s="44"/>
      <c r="M41" s="44">
        <f t="shared" si="3"/>
      </c>
      <c r="N41" s="364">
        <f t="shared" si="4"/>
        <v>20</v>
      </c>
      <c r="O41" s="368" t="str">
        <f t="shared" si="5"/>
        <v>--</v>
      </c>
      <c r="P41" s="376" t="str">
        <f t="shared" si="6"/>
        <v>--</v>
      </c>
      <c r="Q41" s="379" t="str">
        <f t="shared" si="7"/>
        <v>--</v>
      </c>
      <c r="R41" s="382" t="str">
        <f t="shared" si="8"/>
        <v>--</v>
      </c>
      <c r="S41" s="39">
        <f t="shared" si="9"/>
      </c>
      <c r="T41" s="53">
        <f t="shared" si="10"/>
      </c>
      <c r="U41" s="63"/>
    </row>
    <row r="42" spans="2:21" s="9" customFormat="1" ht="16.5" customHeight="1">
      <c r="B42" s="105"/>
      <c r="C42" s="32"/>
      <c r="D42" s="48"/>
      <c r="E42" s="48"/>
      <c r="F42" s="12"/>
      <c r="G42" s="253">
        <f t="shared" si="0"/>
        <v>1.764</v>
      </c>
      <c r="H42" s="49"/>
      <c r="I42" s="50"/>
      <c r="J42" s="51">
        <f t="shared" si="1"/>
      </c>
      <c r="K42" s="43">
        <f t="shared" si="2"/>
      </c>
      <c r="L42" s="44"/>
      <c r="M42" s="44">
        <f t="shared" si="3"/>
      </c>
      <c r="N42" s="364">
        <f t="shared" si="4"/>
        <v>20</v>
      </c>
      <c r="O42" s="368" t="str">
        <f t="shared" si="5"/>
        <v>--</v>
      </c>
      <c r="P42" s="376" t="str">
        <f t="shared" si="6"/>
        <v>--</v>
      </c>
      <c r="Q42" s="379" t="str">
        <f t="shared" si="7"/>
        <v>--</v>
      </c>
      <c r="R42" s="382" t="str">
        <f t="shared" si="8"/>
        <v>--</v>
      </c>
      <c r="S42" s="39">
        <f t="shared" si="9"/>
      </c>
      <c r="T42" s="53">
        <f t="shared" si="10"/>
      </c>
      <c r="U42" s="63"/>
    </row>
    <row r="43" spans="2:21" s="9" customFormat="1" ht="16.5" customHeight="1">
      <c r="B43" s="105"/>
      <c r="C43" s="32"/>
      <c r="D43" s="48"/>
      <c r="E43" s="48"/>
      <c r="F43" s="12"/>
      <c r="G43" s="253">
        <f t="shared" si="0"/>
        <v>1.764</v>
      </c>
      <c r="H43" s="49"/>
      <c r="I43" s="50"/>
      <c r="J43" s="51">
        <f t="shared" si="1"/>
      </c>
      <c r="K43" s="43">
        <f t="shared" si="2"/>
      </c>
      <c r="L43" s="44"/>
      <c r="M43" s="44">
        <f t="shared" si="3"/>
      </c>
      <c r="N43" s="364">
        <f t="shared" si="4"/>
        <v>20</v>
      </c>
      <c r="O43" s="368" t="str">
        <f t="shared" si="5"/>
        <v>--</v>
      </c>
      <c r="P43" s="376" t="str">
        <f t="shared" si="6"/>
        <v>--</v>
      </c>
      <c r="Q43" s="379" t="str">
        <f t="shared" si="7"/>
        <v>--</v>
      </c>
      <c r="R43" s="382" t="str">
        <f t="shared" si="8"/>
        <v>--</v>
      </c>
      <c r="S43" s="39">
        <f t="shared" si="9"/>
      </c>
      <c r="T43" s="53">
        <f t="shared" si="10"/>
      </c>
      <c r="U43" s="63"/>
    </row>
    <row r="44" spans="2:21" s="9" customFormat="1" ht="16.5" customHeight="1" thickBot="1">
      <c r="B44" s="105"/>
      <c r="C44" s="65"/>
      <c r="D44" s="66"/>
      <c r="E44" s="66"/>
      <c r="F44" s="67"/>
      <c r="G44" s="254"/>
      <c r="H44" s="68"/>
      <c r="I44" s="68"/>
      <c r="J44" s="68"/>
      <c r="K44" s="68"/>
      <c r="L44" s="69"/>
      <c r="M44" s="69"/>
      <c r="N44" s="365"/>
      <c r="O44" s="369"/>
      <c r="P44" s="377"/>
      <c r="Q44" s="380"/>
      <c r="R44" s="383"/>
      <c r="S44" s="366"/>
      <c r="T44" s="218"/>
      <c r="U44" s="63"/>
    </row>
    <row r="45" spans="2:21" s="9" customFormat="1" ht="16.5" customHeight="1" thickBot="1" thickTop="1">
      <c r="B45" s="105"/>
      <c r="C45" s="234" t="s">
        <v>97</v>
      </c>
      <c r="D45" s="235" t="s">
        <v>98</v>
      </c>
      <c r="O45" s="384">
        <f>SUM(O21:O44)</f>
        <v>3.8808000000000007</v>
      </c>
      <c r="P45" s="385">
        <f>SUM(P21:P44)</f>
        <v>0</v>
      </c>
      <c r="Q45" s="385">
        <f>SUM(Q21:Q44)</f>
        <v>0</v>
      </c>
      <c r="R45" s="312">
        <f>SUM(R21:R44)</f>
        <v>0</v>
      </c>
      <c r="T45" s="400">
        <f>ROUND(SUM(T21:T44),2)</f>
        <v>336.45</v>
      </c>
      <c r="U45" s="63"/>
    </row>
    <row r="46" spans="2:21" s="240" customFormat="1" ht="9.75" thickTop="1">
      <c r="B46" s="239"/>
      <c r="C46" s="236"/>
      <c r="D46" s="237" t="s">
        <v>99</v>
      </c>
      <c r="T46" s="244"/>
      <c r="U46" s="243"/>
    </row>
    <row r="47" spans="2:21" s="9" customFormat="1" ht="16.5" customHeight="1" thickBot="1"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78"/>
    </row>
    <row r="48" spans="1:21" ht="16.5" customHeight="1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118"/>
  <sheetViews>
    <sheetView zoomScale="75" zoomScaleNormal="75" workbookViewId="0" topLeftCell="E82">
      <selection activeCell="R87" sqref="R87"/>
    </sheetView>
  </sheetViews>
  <sheetFormatPr defaultColWidth="11.421875" defaultRowHeight="12.75"/>
  <cols>
    <col min="1" max="1" width="15.7109375" style="0" customWidth="1"/>
    <col min="2" max="2" width="8.7109375" style="0" customWidth="1"/>
    <col min="3" max="3" width="5.7109375" style="0" customWidth="1"/>
    <col min="4" max="4" width="44.7109375" style="0" bestFit="1" customWidth="1"/>
    <col min="5" max="5" width="7.0039062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402"/>
    </row>
    <row r="2" spans="2:20" s="403" customFormat="1" ht="27.75">
      <c r="B2" s="404" t="str">
        <f>'tot-0007'!B2</f>
        <v>ANEXO I A LA RESOLUCION ENRE N° 336/2001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:3" ht="12.75" customHeight="1">
      <c r="A3" s="507" t="s">
        <v>65</v>
      </c>
      <c r="B3" s="507"/>
      <c r="C3" s="507"/>
    </row>
    <row r="4" spans="1:4" ht="12.75" customHeight="1">
      <c r="A4" s="507" t="s">
        <v>66</v>
      </c>
      <c r="B4" s="507"/>
      <c r="C4" s="507"/>
      <c r="D4" s="406"/>
    </row>
    <row r="5" spans="1:4" ht="12" customHeight="1">
      <c r="A5" s="407"/>
      <c r="D5" s="406"/>
    </row>
    <row r="6" spans="1:20" ht="26.25">
      <c r="A6" s="407"/>
      <c r="B6" s="408" t="s">
        <v>152</v>
      </c>
      <c r="C6" s="409"/>
      <c r="D6" s="406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</row>
    <row r="7" spans="1:4" ht="18.75" customHeight="1">
      <c r="A7" s="407"/>
      <c r="D7" s="406"/>
    </row>
    <row r="8" spans="1:20" ht="26.25">
      <c r="A8" s="407"/>
      <c r="B8" s="410" t="s">
        <v>1</v>
      </c>
      <c r="C8" s="409"/>
      <c r="D8" s="406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</row>
    <row r="9" spans="1:4" ht="18.75" customHeight="1">
      <c r="A9" s="407"/>
      <c r="D9" s="406"/>
    </row>
    <row r="10" spans="1:20" ht="26.25">
      <c r="A10" s="407"/>
      <c r="B10" s="410" t="s">
        <v>153</v>
      </c>
      <c r="C10" s="409"/>
      <c r="D10" s="406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</row>
    <row r="11" ht="18.75" customHeight="1" thickBot="1"/>
    <row r="12" spans="2:20" ht="18.75" customHeight="1" thickTop="1">
      <c r="B12" s="411"/>
      <c r="C12" s="412"/>
      <c r="D12" s="413"/>
      <c r="E12" s="413"/>
      <c r="F12" s="413"/>
      <c r="G12" s="413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4"/>
    </row>
    <row r="13" spans="2:20" ht="18.75">
      <c r="B13" s="91" t="s">
        <v>163</v>
      </c>
      <c r="C13" s="409"/>
      <c r="D13" s="415"/>
      <c r="E13" s="415"/>
      <c r="F13" s="415"/>
      <c r="G13" s="415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7"/>
    </row>
    <row r="14" spans="2:20" ht="18.75" customHeight="1" thickBot="1">
      <c r="B14" s="418"/>
      <c r="C14" s="419"/>
      <c r="D14" s="420"/>
      <c r="E14" s="420"/>
      <c r="F14" s="421"/>
      <c r="G14" s="4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22"/>
    </row>
    <row r="15" spans="1:20" s="431" customFormat="1" ht="34.5" customHeight="1" thickBot="1" thickTop="1">
      <c r="A15" s="423"/>
      <c r="B15" s="424"/>
      <c r="C15" s="425"/>
      <c r="D15" s="426" t="s">
        <v>2</v>
      </c>
      <c r="E15" s="427" t="s">
        <v>80</v>
      </c>
      <c r="F15" s="428" t="s">
        <v>81</v>
      </c>
      <c r="G15" s="429">
        <f>IF('[1]Tasa de Falla'!BP15=0,"",'[1]Tasa de Falla'!BP15)</f>
        <v>36342</v>
      </c>
      <c r="H15" s="429">
        <f>IF('[1]Tasa de Falla'!BQ15=0,"",'[1]Tasa de Falla'!BQ15)</f>
        <v>36373</v>
      </c>
      <c r="I15" s="429">
        <f>IF('[1]Tasa de Falla'!BR15=0,"",'[1]Tasa de Falla'!BR15)</f>
        <v>36404</v>
      </c>
      <c r="J15" s="429">
        <f>IF('[1]Tasa de Falla'!BS15=0,"",'[1]Tasa de Falla'!BS15)</f>
        <v>36434</v>
      </c>
      <c r="K15" s="429">
        <f>IF('[1]Tasa de Falla'!BT15=0,"",'[1]Tasa de Falla'!BT15)</f>
        <v>36465</v>
      </c>
      <c r="L15" s="429">
        <f>IF('[1]Tasa de Falla'!BU15=0,"",'[1]Tasa de Falla'!BU15)</f>
        <v>36495</v>
      </c>
      <c r="M15" s="429">
        <f>IF('[1]Tasa de Falla'!BV15=0,"",'[1]Tasa de Falla'!BV15)</f>
        <v>36526</v>
      </c>
      <c r="N15" s="429">
        <f>IF('[1]Tasa de Falla'!BW15=0,"",'[1]Tasa de Falla'!BW15)</f>
        <v>36557</v>
      </c>
      <c r="O15" s="429">
        <f>IF('[1]Tasa de Falla'!BX15=0,"",'[1]Tasa de Falla'!BX15)</f>
        <v>36586</v>
      </c>
      <c r="P15" s="429">
        <f>IF('[1]Tasa de Falla'!BY15=0,"",'[1]Tasa de Falla'!BY15)</f>
        <v>36617</v>
      </c>
      <c r="Q15" s="429">
        <f>IF('[1]Tasa de Falla'!BZ15=0,"",'[1]Tasa de Falla'!BZ15)</f>
        <v>36647</v>
      </c>
      <c r="R15" s="429">
        <f>IF('[1]Tasa de Falla'!CA15=0,"",'[1]Tasa de Falla'!CA15)</f>
        <v>36678</v>
      </c>
      <c r="S15" s="429">
        <f>IF('[1]Tasa de Falla'!CB15=0,"",'[1]Tasa de Falla'!CB15)</f>
        <v>36708</v>
      </c>
      <c r="T15" s="430"/>
    </row>
    <row r="16" spans="2:20" s="432" customFormat="1" ht="19.5" customHeight="1" thickTop="1">
      <c r="B16" s="433"/>
      <c r="C16" s="434"/>
      <c r="D16" s="435"/>
      <c r="E16" s="435"/>
      <c r="F16" s="436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8"/>
      <c r="T16" s="439"/>
    </row>
    <row r="17" spans="2:20" s="432" customFormat="1" ht="19.5" customHeight="1">
      <c r="B17" s="433"/>
      <c r="C17" s="440">
        <f>'[1]Tasa de Falla'!C17</f>
        <v>1</v>
      </c>
      <c r="D17" s="441" t="str">
        <f>'[1]Tasa de Falla'!D17</f>
        <v>AGUA BLANCA - VILLA QUINTEROS</v>
      </c>
      <c r="E17" s="441">
        <f>'[1]Tasa de Falla'!E17</f>
        <v>132</v>
      </c>
      <c r="F17" s="442">
        <f>'[1]Tasa de Falla'!F17</f>
        <v>23.8</v>
      </c>
      <c r="G17" s="443">
        <f>IF('[1]Tasa de Falla'!BP17=0,"",'[1]Tasa de Falla'!BP17)</f>
      </c>
      <c r="H17" s="443">
        <f>IF('[1]Tasa de Falla'!BQ17=0,"",'[1]Tasa de Falla'!BQ17)</f>
        <v>1</v>
      </c>
      <c r="I17" s="443">
        <f>IF('[1]Tasa de Falla'!BR17=0,"",'[1]Tasa de Falla'!BR17)</f>
      </c>
      <c r="J17" s="443">
        <f>IF('[1]Tasa de Falla'!BS17=0,"",'[1]Tasa de Falla'!BS17)</f>
      </c>
      <c r="K17" s="443">
        <f>IF('[1]Tasa de Falla'!BT17=0,"",'[1]Tasa de Falla'!BT17)</f>
        <v>1</v>
      </c>
      <c r="L17" s="443">
        <f>IF('[1]Tasa de Falla'!BU17=0,"",'[1]Tasa de Falla'!BU17)</f>
      </c>
      <c r="M17" s="443">
        <f>IF('[1]Tasa de Falla'!BV17=0,"",'[1]Tasa de Falla'!BV17)</f>
      </c>
      <c r="N17" s="443">
        <f>IF('[1]Tasa de Falla'!BW17=0,"",'[1]Tasa de Falla'!BW17)</f>
      </c>
      <c r="O17" s="443">
        <f>IF('[1]Tasa de Falla'!BX17=0,"",'[1]Tasa de Falla'!BX17)</f>
      </c>
      <c r="P17" s="443">
        <f>IF('[1]Tasa de Falla'!BY17=0,"",'[1]Tasa de Falla'!BY17)</f>
      </c>
      <c r="Q17" s="443">
        <f>IF('[1]Tasa de Falla'!BZ17=0,"",'[1]Tasa de Falla'!BZ17)</f>
      </c>
      <c r="R17" s="443">
        <f>IF('[1]Tasa de Falla'!CA17=0,"",'[1]Tasa de Falla'!CA17)</f>
        <v>1</v>
      </c>
      <c r="S17" s="444"/>
      <c r="T17" s="445"/>
    </row>
    <row r="18" spans="2:20" s="432" customFormat="1" ht="19.5" customHeight="1">
      <c r="B18" s="433"/>
      <c r="C18" s="446">
        <f>'[1]Tasa de Falla'!C18</f>
        <v>2</v>
      </c>
      <c r="D18" s="447" t="str">
        <f>'[1]Tasa de Falla'!D18</f>
        <v>AGUILARES - ESCABA</v>
      </c>
      <c r="E18" s="447">
        <f>'[1]Tasa de Falla'!E18</f>
        <v>132</v>
      </c>
      <c r="F18" s="448">
        <f>'[1]Tasa de Falla'!F18</f>
        <v>27.6</v>
      </c>
      <c r="G18" s="449">
        <f>IF('[1]Tasa de Falla'!BP18=0,"",'[1]Tasa de Falla'!BP18)</f>
      </c>
      <c r="H18" s="449">
        <f>IF('[1]Tasa de Falla'!BQ18=0,"",'[1]Tasa de Falla'!BQ18)</f>
      </c>
      <c r="I18" s="449">
        <f>IF('[1]Tasa de Falla'!BR18=0,"",'[1]Tasa de Falla'!BR18)</f>
      </c>
      <c r="J18" s="449">
        <f>IF('[1]Tasa de Falla'!BS18=0,"",'[1]Tasa de Falla'!BS18)</f>
      </c>
      <c r="K18" s="449">
        <f>IF('[1]Tasa de Falla'!BT18=0,"",'[1]Tasa de Falla'!BT18)</f>
      </c>
      <c r="L18" s="449">
        <f>IF('[1]Tasa de Falla'!BU18=0,"",'[1]Tasa de Falla'!BU18)</f>
      </c>
      <c r="M18" s="449">
        <f>IF('[1]Tasa de Falla'!BV18=0,"",'[1]Tasa de Falla'!BV18)</f>
      </c>
      <c r="N18" s="449">
        <f>IF('[1]Tasa de Falla'!BW18=0,"",'[1]Tasa de Falla'!BW18)</f>
      </c>
      <c r="O18" s="449">
        <f>IF('[1]Tasa de Falla'!BX18=0,"",'[1]Tasa de Falla'!BX18)</f>
      </c>
      <c r="P18" s="449">
        <f>IF('[1]Tasa de Falla'!BY18=0,"",'[1]Tasa de Falla'!BY18)</f>
      </c>
      <c r="Q18" s="449">
        <f>IF('[1]Tasa de Falla'!BZ18=0,"",'[1]Tasa de Falla'!BZ18)</f>
      </c>
      <c r="R18" s="449">
        <f>IF('[1]Tasa de Falla'!CA18=0,"",'[1]Tasa de Falla'!CA18)</f>
      </c>
      <c r="S18" s="444"/>
      <c r="T18" s="445"/>
    </row>
    <row r="19" spans="2:20" s="432" customFormat="1" ht="19.5" customHeight="1">
      <c r="B19" s="433"/>
      <c r="C19" s="440">
        <f>'[1]Tasa de Falla'!C19</f>
        <v>3</v>
      </c>
      <c r="D19" s="441" t="str">
        <f>'[1]Tasa de Falla'!D19</f>
        <v>CABRA CORRAL - SALTA SUR</v>
      </c>
      <c r="E19" s="441">
        <f>'[1]Tasa de Falla'!E19</f>
        <v>132</v>
      </c>
      <c r="F19" s="442">
        <f>'[1]Tasa de Falla'!F19</f>
        <v>62</v>
      </c>
      <c r="G19" s="450">
        <f>IF('[1]Tasa de Falla'!BP19=0,"",'[1]Tasa de Falla'!BP19)</f>
      </c>
      <c r="H19" s="450">
        <f>IF('[1]Tasa de Falla'!BQ19=0,"",'[1]Tasa de Falla'!BQ19)</f>
      </c>
      <c r="I19" s="450">
        <f>IF('[1]Tasa de Falla'!BR19=0,"",'[1]Tasa de Falla'!BR19)</f>
        <v>1</v>
      </c>
      <c r="J19" s="450">
        <f>IF('[1]Tasa de Falla'!BS19=0,"",'[1]Tasa de Falla'!BS19)</f>
      </c>
      <c r="K19" s="450">
        <f>IF('[1]Tasa de Falla'!BT19=0,"",'[1]Tasa de Falla'!BT19)</f>
      </c>
      <c r="L19" s="450">
        <f>IF('[1]Tasa de Falla'!BU19=0,"",'[1]Tasa de Falla'!BU19)</f>
      </c>
      <c r="M19" s="450" t="str">
        <f>IF('[1]Tasa de Falla'!BV19=0,"",'[1]Tasa de Falla'!BV19)</f>
        <v>XXXX</v>
      </c>
      <c r="N19" s="450" t="str">
        <f>IF('[1]Tasa de Falla'!BW19=0,"",'[1]Tasa de Falla'!BW19)</f>
        <v>XXXX</v>
      </c>
      <c r="O19" s="450" t="str">
        <f>IF('[1]Tasa de Falla'!BX19=0,"",'[1]Tasa de Falla'!BX19)</f>
        <v>XXXX</v>
      </c>
      <c r="P19" s="450" t="str">
        <f>IF('[1]Tasa de Falla'!BY19=0,"",'[1]Tasa de Falla'!BY19)</f>
        <v>XXXX</v>
      </c>
      <c r="Q19" s="450" t="str">
        <f>IF('[1]Tasa de Falla'!BZ19=0,"",'[1]Tasa de Falla'!BZ19)</f>
        <v>XXXX</v>
      </c>
      <c r="R19" s="450" t="str">
        <f>IF('[1]Tasa de Falla'!CA19=0,"",'[1]Tasa de Falla'!CA19)</f>
        <v>XXXX</v>
      </c>
      <c r="S19" s="444"/>
      <c r="T19" s="445"/>
    </row>
    <row r="20" spans="2:20" s="432" customFormat="1" ht="19.5" customHeight="1">
      <c r="B20" s="433"/>
      <c r="C20" s="446">
        <f>'[1]Tasa de Falla'!C20</f>
        <v>4</v>
      </c>
      <c r="D20" s="447" t="str">
        <f>'[1]Tasa de Falla'!D20</f>
        <v>CEVIL POZO - TUCUMAN NORTE</v>
      </c>
      <c r="E20" s="447">
        <f>'[1]Tasa de Falla'!E20</f>
        <v>132</v>
      </c>
      <c r="F20" s="448">
        <f>'[1]Tasa de Falla'!F20</f>
        <v>14.5</v>
      </c>
      <c r="G20" s="449">
        <f>IF('[1]Tasa de Falla'!BP20=0,"",'[1]Tasa de Falla'!BP20)</f>
      </c>
      <c r="H20" s="449">
        <f>IF('[1]Tasa de Falla'!BQ20=0,"",'[1]Tasa de Falla'!BQ20)</f>
      </c>
      <c r="I20" s="449">
        <f>IF('[1]Tasa de Falla'!BR20=0,"",'[1]Tasa de Falla'!BR20)</f>
      </c>
      <c r="J20" s="449">
        <f>IF('[1]Tasa de Falla'!BS20=0,"",'[1]Tasa de Falla'!BS20)</f>
      </c>
      <c r="K20" s="449">
        <f>IF('[1]Tasa de Falla'!BT20=0,"",'[1]Tasa de Falla'!BT20)</f>
      </c>
      <c r="L20" s="449">
        <f>IF('[1]Tasa de Falla'!BU20=0,"",'[1]Tasa de Falla'!BU20)</f>
      </c>
      <c r="M20" s="449">
        <f>IF('[1]Tasa de Falla'!BV20=0,"",'[1]Tasa de Falla'!BV20)</f>
      </c>
      <c r="N20" s="449">
        <f>IF('[1]Tasa de Falla'!BW20=0,"",'[1]Tasa de Falla'!BW20)</f>
      </c>
      <c r="O20" s="449">
        <f>IF('[1]Tasa de Falla'!BX20=0,"",'[1]Tasa de Falla'!BX20)</f>
      </c>
      <c r="P20" s="449">
        <f>IF('[1]Tasa de Falla'!BY20=0,"",'[1]Tasa de Falla'!BY20)</f>
      </c>
      <c r="Q20" s="449">
        <f>IF('[1]Tasa de Falla'!BZ20=0,"",'[1]Tasa de Falla'!BZ20)</f>
      </c>
      <c r="R20" s="449">
        <f>IF('[1]Tasa de Falla'!CA20=0,"",'[1]Tasa de Falla'!CA20)</f>
      </c>
      <c r="S20" s="444"/>
      <c r="T20" s="445"/>
    </row>
    <row r="21" spans="2:20" s="432" customFormat="1" ht="19.5" customHeight="1">
      <c r="B21" s="433"/>
      <c r="C21" s="440">
        <f>'[1]Tasa de Falla'!C21</f>
        <v>5</v>
      </c>
      <c r="D21" s="441" t="str">
        <f>'[1]Tasa de Falla'!D21</f>
        <v>CAMPO SANTO - MINETTI</v>
      </c>
      <c r="E21" s="441">
        <f>'[1]Tasa de Falla'!E21</f>
        <v>132</v>
      </c>
      <c r="F21" s="442">
        <f>'[1]Tasa de Falla'!F21</f>
        <v>29.9</v>
      </c>
      <c r="G21" s="450">
        <f>IF('[1]Tasa de Falla'!BP21=0,"",'[1]Tasa de Falla'!BP21)</f>
      </c>
      <c r="H21" s="450">
        <f>IF('[1]Tasa de Falla'!BQ21=0,"",'[1]Tasa de Falla'!BQ21)</f>
      </c>
      <c r="I21" s="450">
        <f>IF('[1]Tasa de Falla'!BR21=0,"",'[1]Tasa de Falla'!BR21)</f>
      </c>
      <c r="J21" s="450">
        <f>IF('[1]Tasa de Falla'!BS21=0,"",'[1]Tasa de Falla'!BS21)</f>
      </c>
      <c r="K21" s="450">
        <f>IF('[1]Tasa de Falla'!BT21=0,"",'[1]Tasa de Falla'!BT21)</f>
      </c>
      <c r="L21" s="450">
        <f>IF('[1]Tasa de Falla'!BU21=0,"",'[1]Tasa de Falla'!BU21)</f>
      </c>
      <c r="M21" s="450">
        <f>IF('[1]Tasa de Falla'!BV21=0,"",'[1]Tasa de Falla'!BV21)</f>
      </c>
      <c r="N21" s="450">
        <f>IF('[1]Tasa de Falla'!BW21=0,"",'[1]Tasa de Falla'!BW21)</f>
      </c>
      <c r="O21" s="450">
        <f>IF('[1]Tasa de Falla'!BX21=0,"",'[1]Tasa de Falla'!BX21)</f>
      </c>
      <c r="P21" s="450">
        <f>IF('[1]Tasa de Falla'!BY21=0,"",'[1]Tasa de Falla'!BY21)</f>
      </c>
      <c r="Q21" s="450">
        <f>IF('[1]Tasa de Falla'!BZ21=0,"",'[1]Tasa de Falla'!BZ21)</f>
      </c>
      <c r="R21" s="450">
        <f>IF('[1]Tasa de Falla'!CA21=0,"",'[1]Tasa de Falla'!CA21)</f>
      </c>
      <c r="S21" s="444"/>
      <c r="T21" s="445"/>
    </row>
    <row r="22" spans="2:20" s="432" customFormat="1" ht="19.5" customHeight="1">
      <c r="B22" s="433"/>
      <c r="C22" s="446">
        <f>'[1]Tasa de Falla'!C22</f>
        <v>6</v>
      </c>
      <c r="D22" s="447" t="str">
        <f>'[1]Tasa de Falla'!D22</f>
        <v>ESCABA - HUACRA</v>
      </c>
      <c r="E22" s="447">
        <f>'[1]Tasa de Falla'!E22</f>
        <v>132</v>
      </c>
      <c r="F22" s="448">
        <f>'[1]Tasa de Falla'!F22</f>
        <v>49.9</v>
      </c>
      <c r="G22" s="449" t="str">
        <f>IF('[1]Tasa de Falla'!BP22=0,"",'[1]Tasa de Falla'!BP22)</f>
        <v>XXXX</v>
      </c>
      <c r="H22" s="449" t="str">
        <f>IF('[1]Tasa de Falla'!BQ22=0,"",'[1]Tasa de Falla'!BQ22)</f>
        <v>XXXX</v>
      </c>
      <c r="I22" s="449" t="str">
        <f>IF('[1]Tasa de Falla'!BR22=0,"",'[1]Tasa de Falla'!BR22)</f>
        <v>XXXX</v>
      </c>
      <c r="J22" s="449" t="str">
        <f>IF('[1]Tasa de Falla'!BS22=0,"",'[1]Tasa de Falla'!BS22)</f>
        <v>XXXX</v>
      </c>
      <c r="K22" s="449" t="str">
        <f>IF('[1]Tasa de Falla'!BT22=0,"",'[1]Tasa de Falla'!BT22)</f>
        <v>XXXX</v>
      </c>
      <c r="L22" s="449" t="str">
        <f>IF('[1]Tasa de Falla'!BU22=0,"",'[1]Tasa de Falla'!BU22)</f>
        <v>XXXX</v>
      </c>
      <c r="M22" s="449" t="str">
        <f>IF('[1]Tasa de Falla'!BV22=0,"",'[1]Tasa de Falla'!BV22)</f>
        <v>XXXX</v>
      </c>
      <c r="N22" s="449" t="str">
        <f>IF('[1]Tasa de Falla'!BW22=0,"",'[1]Tasa de Falla'!BW22)</f>
        <v>XXXX</v>
      </c>
      <c r="O22" s="449" t="str">
        <f>IF('[1]Tasa de Falla'!BX22=0,"",'[1]Tasa de Falla'!BX22)</f>
        <v>XXXX</v>
      </c>
      <c r="P22" s="449" t="str">
        <f>IF('[1]Tasa de Falla'!BY22=0,"",'[1]Tasa de Falla'!BY22)</f>
        <v>XXXX</v>
      </c>
      <c r="Q22" s="449" t="str">
        <f>IF('[1]Tasa de Falla'!BZ22=0,"",'[1]Tasa de Falla'!BZ22)</f>
        <v>XXXX</v>
      </c>
      <c r="R22" s="449" t="str">
        <f>IF('[1]Tasa de Falla'!CA22=0,"",'[1]Tasa de Falla'!CA22)</f>
        <v>XXXX</v>
      </c>
      <c r="S22" s="444"/>
      <c r="T22" s="445"/>
    </row>
    <row r="23" spans="2:20" s="432" customFormat="1" ht="19.5" customHeight="1">
      <c r="B23" s="433"/>
      <c r="C23" s="440">
        <f>'[1]Tasa de Falla'!C23</f>
        <v>7</v>
      </c>
      <c r="D23" s="441" t="str">
        <f>'[1]Tasa de Falla'!D23</f>
        <v>ESTATICA SUR - EL BRACHO</v>
      </c>
      <c r="E23" s="441">
        <f>'[1]Tasa de Falla'!E23</f>
        <v>132</v>
      </c>
      <c r="F23" s="442">
        <f>'[1]Tasa de Falla'!F23</f>
        <v>19.6</v>
      </c>
      <c r="G23" s="450">
        <f>IF('[1]Tasa de Falla'!BP23=0,"",'[1]Tasa de Falla'!BP23)</f>
      </c>
      <c r="H23" s="450">
        <f>IF('[1]Tasa de Falla'!BQ23=0,"",'[1]Tasa de Falla'!BQ23)</f>
      </c>
      <c r="I23" s="450">
        <f>IF('[1]Tasa de Falla'!BR23=0,"",'[1]Tasa de Falla'!BR23)</f>
      </c>
      <c r="J23" s="450">
        <f>IF('[1]Tasa de Falla'!BS23=0,"",'[1]Tasa de Falla'!BS23)</f>
      </c>
      <c r="K23" s="450">
        <f>IF('[1]Tasa de Falla'!BT23=0,"",'[1]Tasa de Falla'!BT23)</f>
      </c>
      <c r="L23" s="450">
        <f>IF('[1]Tasa de Falla'!BU23=0,"",'[1]Tasa de Falla'!BU23)</f>
      </c>
      <c r="M23" s="450">
        <f>IF('[1]Tasa de Falla'!BV23=0,"",'[1]Tasa de Falla'!BV23)</f>
      </c>
      <c r="N23" s="450">
        <f>IF('[1]Tasa de Falla'!BW23=0,"",'[1]Tasa de Falla'!BW23)</f>
        <v>1</v>
      </c>
      <c r="O23" s="450">
        <f>IF('[1]Tasa de Falla'!BX23=0,"",'[1]Tasa de Falla'!BX23)</f>
      </c>
      <c r="P23" s="450">
        <f>IF('[1]Tasa de Falla'!BY23=0,"",'[1]Tasa de Falla'!BY23)</f>
      </c>
      <c r="Q23" s="450">
        <f>IF('[1]Tasa de Falla'!BZ23=0,"",'[1]Tasa de Falla'!BZ23)</f>
        <v>1</v>
      </c>
      <c r="R23" s="450">
        <f>IF('[1]Tasa de Falla'!CA23=0,"",'[1]Tasa de Falla'!CA23)</f>
      </c>
      <c r="S23" s="444"/>
      <c r="T23" s="445"/>
    </row>
    <row r="24" spans="2:20" s="432" customFormat="1" ht="19.5" customHeight="1">
      <c r="B24" s="433"/>
      <c r="C24" s="446">
        <f>'[1]Tasa de Falla'!C24</f>
        <v>8</v>
      </c>
      <c r="D24" s="447" t="str">
        <f>'[1]Tasa de Falla'!D24</f>
        <v>ESTATICA SUR - INDEPENDENCIA (O.F.)</v>
      </c>
      <c r="E24" s="447">
        <f>'[1]Tasa de Falla'!E24</f>
        <v>132</v>
      </c>
      <c r="F24" s="448">
        <f>'[1]Tasa de Falla'!F24</f>
        <v>2.6</v>
      </c>
      <c r="G24" s="449">
        <f>IF('[1]Tasa de Falla'!BP24=0,"",'[1]Tasa de Falla'!BP24)</f>
      </c>
      <c r="H24" s="449">
        <f>IF('[1]Tasa de Falla'!BQ24=0,"",'[1]Tasa de Falla'!BQ24)</f>
      </c>
      <c r="I24" s="449">
        <f>IF('[1]Tasa de Falla'!BR24=0,"",'[1]Tasa de Falla'!BR24)</f>
      </c>
      <c r="J24" s="449">
        <f>IF('[1]Tasa de Falla'!BS24=0,"",'[1]Tasa de Falla'!BS24)</f>
      </c>
      <c r="K24" s="449">
        <f>IF('[1]Tasa de Falla'!BT24=0,"",'[1]Tasa de Falla'!BT24)</f>
      </c>
      <c r="L24" s="449">
        <f>IF('[1]Tasa de Falla'!BU24=0,"",'[1]Tasa de Falla'!BU24)</f>
        <v>1</v>
      </c>
      <c r="M24" s="449">
        <f>IF('[1]Tasa de Falla'!BV24=0,"",'[1]Tasa de Falla'!BV24)</f>
        <v>1</v>
      </c>
      <c r="N24" s="449">
        <f>IF('[1]Tasa de Falla'!BW24=0,"",'[1]Tasa de Falla'!BW24)</f>
      </c>
      <c r="O24" s="449">
        <f>IF('[1]Tasa de Falla'!BX24=0,"",'[1]Tasa de Falla'!BX24)</f>
        <v>1</v>
      </c>
      <c r="P24" s="449">
        <f>IF('[1]Tasa de Falla'!BY24=0,"",'[1]Tasa de Falla'!BY24)</f>
      </c>
      <c r="Q24" s="449">
        <f>IF('[1]Tasa de Falla'!BZ24=0,"",'[1]Tasa de Falla'!BZ24)</f>
      </c>
      <c r="R24" s="449">
        <f>IF('[1]Tasa de Falla'!CA24=0,"",'[1]Tasa de Falla'!CA24)</f>
      </c>
      <c r="S24" s="444"/>
      <c r="T24" s="445"/>
    </row>
    <row r="25" spans="2:20" s="432" customFormat="1" ht="19.5" customHeight="1">
      <c r="B25" s="433"/>
      <c r="C25" s="440">
        <f>'[1]Tasa de Falla'!C25</f>
        <v>9</v>
      </c>
      <c r="D25" s="441" t="str">
        <f>'[1]Tasa de Falla'!D25</f>
        <v>ESTATICA SUR - SARMIENTO "TRANSNOA S.A."</v>
      </c>
      <c r="E25" s="441">
        <f>'[1]Tasa de Falla'!E25</f>
        <v>132</v>
      </c>
      <c r="F25" s="442">
        <f>'[1]Tasa de Falla'!F25</f>
        <v>4.4</v>
      </c>
      <c r="G25" s="450">
        <f>IF('[1]Tasa de Falla'!BP25=0,"",'[1]Tasa de Falla'!BP25)</f>
      </c>
      <c r="H25" s="450">
        <f>IF('[1]Tasa de Falla'!BQ25=0,"",'[1]Tasa de Falla'!BQ25)</f>
      </c>
      <c r="I25" s="450">
        <f>IF('[1]Tasa de Falla'!BR25=0,"",'[1]Tasa de Falla'!BR25)</f>
      </c>
      <c r="J25" s="450">
        <f>IF('[1]Tasa de Falla'!BS25=0,"",'[1]Tasa de Falla'!BS25)</f>
      </c>
      <c r="K25" s="450">
        <f>IF('[1]Tasa de Falla'!BT25=0,"",'[1]Tasa de Falla'!BT25)</f>
      </c>
      <c r="L25" s="450">
        <f>IF('[1]Tasa de Falla'!BU25=0,"",'[1]Tasa de Falla'!BU25)</f>
      </c>
      <c r="M25" s="450">
        <f>IF('[1]Tasa de Falla'!BV25=0,"",'[1]Tasa de Falla'!BV25)</f>
      </c>
      <c r="N25" s="450">
        <f>IF('[1]Tasa de Falla'!BW25=0,"",'[1]Tasa de Falla'!BW25)</f>
      </c>
      <c r="O25" s="450">
        <f>IF('[1]Tasa de Falla'!BX25=0,"",'[1]Tasa de Falla'!BX25)</f>
      </c>
      <c r="P25" s="450">
        <f>IF('[1]Tasa de Falla'!BY25=0,"",'[1]Tasa de Falla'!BY25)</f>
      </c>
      <c r="Q25" s="450">
        <f>IF('[1]Tasa de Falla'!BZ25=0,"",'[1]Tasa de Falla'!BZ25)</f>
      </c>
      <c r="R25" s="450">
        <f>IF('[1]Tasa de Falla'!CA25=0,"",'[1]Tasa de Falla'!CA25)</f>
      </c>
      <c r="S25" s="444"/>
      <c r="T25" s="445"/>
    </row>
    <row r="26" spans="2:20" s="432" customFormat="1" ht="19.5" customHeight="1">
      <c r="B26" s="433"/>
      <c r="C26" s="446">
        <f>'[1]Tasa de Falla'!C26</f>
        <v>10</v>
      </c>
      <c r="D26" s="447" t="str">
        <f>'[1]Tasa de Falla'!D26</f>
        <v>GÜEMES - EL BRACHO</v>
      </c>
      <c r="E26" s="447">
        <f>'[1]Tasa de Falla'!E26</f>
        <v>132</v>
      </c>
      <c r="F26" s="448">
        <f>'[1]Tasa de Falla'!F26</f>
        <v>308</v>
      </c>
      <c r="G26" s="449" t="str">
        <f>IF('[1]Tasa de Falla'!BP26=0,"",'[1]Tasa de Falla'!BP26)</f>
        <v>XXXX</v>
      </c>
      <c r="H26" s="449" t="str">
        <f>IF('[1]Tasa de Falla'!BQ26=0,"",'[1]Tasa de Falla'!BQ26)</f>
        <v>XXXX</v>
      </c>
      <c r="I26" s="449" t="str">
        <f>IF('[1]Tasa de Falla'!BR26=0,"",'[1]Tasa de Falla'!BR26)</f>
        <v>XXXX</v>
      </c>
      <c r="J26" s="449" t="str">
        <f>IF('[1]Tasa de Falla'!BS26=0,"",'[1]Tasa de Falla'!BS26)</f>
        <v>XXXX</v>
      </c>
      <c r="K26" s="449" t="str">
        <f>IF('[1]Tasa de Falla'!BT26=0,"",'[1]Tasa de Falla'!BT26)</f>
        <v>XXXX</v>
      </c>
      <c r="L26" s="449" t="str">
        <f>IF('[1]Tasa de Falla'!BU26=0,"",'[1]Tasa de Falla'!BU26)</f>
        <v>XXXX</v>
      </c>
      <c r="M26" s="449" t="str">
        <f>IF('[1]Tasa de Falla'!BV26=0,"",'[1]Tasa de Falla'!BV26)</f>
        <v>XXXX</v>
      </c>
      <c r="N26" s="449" t="str">
        <f>IF('[1]Tasa de Falla'!BW26=0,"",'[1]Tasa de Falla'!BW26)</f>
        <v>XXXX</v>
      </c>
      <c r="O26" s="449" t="str">
        <f>IF('[1]Tasa de Falla'!BX26=0,"",'[1]Tasa de Falla'!BX26)</f>
        <v>XXXX</v>
      </c>
      <c r="P26" s="449" t="str">
        <f>IF('[1]Tasa de Falla'!BY26=0,"",'[1]Tasa de Falla'!BY26)</f>
        <v>XXXX</v>
      </c>
      <c r="Q26" s="449" t="str">
        <f>IF('[1]Tasa de Falla'!BZ26=0,"",'[1]Tasa de Falla'!BZ26)</f>
        <v>XXXX</v>
      </c>
      <c r="R26" s="449" t="str">
        <f>IF('[1]Tasa de Falla'!CA26=0,"",'[1]Tasa de Falla'!CA26)</f>
        <v>XXXX</v>
      </c>
      <c r="S26" s="444"/>
      <c r="T26" s="445"/>
    </row>
    <row r="27" spans="2:20" s="432" customFormat="1" ht="19.5" customHeight="1">
      <c r="B27" s="433"/>
      <c r="C27" s="440">
        <f>'[1]Tasa de Falla'!C27</f>
        <v>11</v>
      </c>
      <c r="D27" s="441" t="str">
        <f>'[1]Tasa de Falla'!D27</f>
        <v>CAMPO SANTO - GÜEMES</v>
      </c>
      <c r="E27" s="441">
        <f>'[1]Tasa de Falla'!E27</f>
        <v>132</v>
      </c>
      <c r="F27" s="442">
        <f>'[1]Tasa de Falla'!F27</f>
        <v>6.2</v>
      </c>
      <c r="G27" s="450">
        <f>IF('[1]Tasa de Falla'!BP27=0,"",'[1]Tasa de Falla'!BP27)</f>
      </c>
      <c r="H27" s="450" t="str">
        <f>IF('[1]Tasa de Falla'!BQ27=0,"",'[1]Tasa de Falla'!BQ27)</f>
        <v>I</v>
      </c>
      <c r="I27" s="450">
        <f>IF('[1]Tasa de Falla'!BR27=0,"",'[1]Tasa de Falla'!BR27)</f>
      </c>
      <c r="J27" s="450">
        <f>IF('[1]Tasa de Falla'!BS27=0,"",'[1]Tasa de Falla'!BS27)</f>
      </c>
      <c r="K27" s="450">
        <f>IF('[1]Tasa de Falla'!BT27=0,"",'[1]Tasa de Falla'!BT27)</f>
      </c>
      <c r="L27" s="450">
        <f>IF('[1]Tasa de Falla'!BU27=0,"",'[1]Tasa de Falla'!BU27)</f>
      </c>
      <c r="M27" s="450">
        <f>IF('[1]Tasa de Falla'!BV27=0,"",'[1]Tasa de Falla'!BV27)</f>
        <v>2</v>
      </c>
      <c r="N27" s="450">
        <f>IF('[1]Tasa de Falla'!BW27=0,"",'[1]Tasa de Falla'!BW27)</f>
        <v>1</v>
      </c>
      <c r="O27" s="450">
        <f>IF('[1]Tasa de Falla'!BX27=0,"",'[1]Tasa de Falla'!BX27)</f>
      </c>
      <c r="P27" s="450">
        <f>IF('[1]Tasa de Falla'!BY27=0,"",'[1]Tasa de Falla'!BY27)</f>
      </c>
      <c r="Q27" s="450">
        <f>IF('[1]Tasa de Falla'!BZ27=0,"",'[1]Tasa de Falla'!BZ27)</f>
      </c>
      <c r="R27" s="450">
        <f>IF('[1]Tasa de Falla'!CA27=0,"",'[1]Tasa de Falla'!CA27)</f>
      </c>
      <c r="S27" s="444"/>
      <c r="T27" s="445"/>
    </row>
    <row r="28" spans="2:20" s="432" customFormat="1" ht="19.5" customHeight="1">
      <c r="B28" s="433"/>
      <c r="C28" s="446">
        <f>'[1]Tasa de Falla'!C28</f>
        <v>12</v>
      </c>
      <c r="D28" s="451" t="str">
        <f>'[1]Tasa de Falla'!D28</f>
        <v>GÜEMES - SAN JUANCITO</v>
      </c>
      <c r="E28" s="451">
        <f>'[1]Tasa de Falla'!E28</f>
        <v>132</v>
      </c>
      <c r="F28" s="452">
        <f>'[1]Tasa de Falla'!F28</f>
        <v>36.24</v>
      </c>
      <c r="G28" s="449">
        <f>IF('[1]Tasa de Falla'!BP28=0,"",'[1]Tasa de Falla'!BP28)</f>
      </c>
      <c r="H28" s="449">
        <f>IF('[1]Tasa de Falla'!BQ28=0,"",'[1]Tasa de Falla'!BQ28)</f>
        <v>1</v>
      </c>
      <c r="I28" s="449">
        <f>IF('[1]Tasa de Falla'!BR28=0,"",'[1]Tasa de Falla'!BR28)</f>
        <v>2</v>
      </c>
      <c r="J28" s="449">
        <f>IF('[1]Tasa de Falla'!BS28=0,"",'[1]Tasa de Falla'!BS28)</f>
      </c>
      <c r="K28" s="449">
        <f>IF('[1]Tasa de Falla'!BT28=0,"",'[1]Tasa de Falla'!BT28)</f>
      </c>
      <c r="L28" s="449">
        <f>IF('[1]Tasa de Falla'!BU28=0,"",'[1]Tasa de Falla'!BU28)</f>
      </c>
      <c r="M28" s="449">
        <f>IF('[1]Tasa de Falla'!BV28=0,"",'[1]Tasa de Falla'!BV28)</f>
        <v>1</v>
      </c>
      <c r="N28" s="449">
        <f>IF('[1]Tasa de Falla'!BW28=0,"",'[1]Tasa de Falla'!BW28)</f>
        <v>3</v>
      </c>
      <c r="O28" s="449">
        <f>IF('[1]Tasa de Falla'!BX28=0,"",'[1]Tasa de Falla'!BX28)</f>
      </c>
      <c r="P28" s="449">
        <f>IF('[1]Tasa de Falla'!BY28=0,"",'[1]Tasa de Falla'!BY28)</f>
      </c>
      <c r="Q28" s="449">
        <f>IF('[1]Tasa de Falla'!BZ28=0,"",'[1]Tasa de Falla'!BZ28)</f>
      </c>
      <c r="R28" s="449">
        <f>IF('[1]Tasa de Falla'!CA28=0,"",'[1]Tasa de Falla'!CA28)</f>
        <v>1</v>
      </c>
      <c r="S28" s="444"/>
      <c r="T28" s="445"/>
    </row>
    <row r="29" spans="2:20" s="432" customFormat="1" ht="19.5" customHeight="1">
      <c r="B29" s="433"/>
      <c r="C29" s="440">
        <f>'[1]Tasa de Falla'!C29</f>
        <v>13</v>
      </c>
      <c r="D29" s="441" t="str">
        <f>'[1]Tasa de Falla'!D29</f>
        <v>CATAMARCA - HUACRA</v>
      </c>
      <c r="E29" s="441">
        <f>'[1]Tasa de Falla'!E29</f>
        <v>132</v>
      </c>
      <c r="F29" s="442">
        <f>'[1]Tasa de Falla'!F29</f>
        <v>67.3</v>
      </c>
      <c r="G29" s="450">
        <f>IF('[1]Tasa de Falla'!BP29=0,"",'[1]Tasa de Falla'!BP29)</f>
      </c>
      <c r="H29" s="450">
        <f>IF('[1]Tasa de Falla'!BQ29=0,"",'[1]Tasa de Falla'!BQ29)</f>
      </c>
      <c r="I29" s="450">
        <f>IF('[1]Tasa de Falla'!BR29=0,"",'[1]Tasa de Falla'!BR29)</f>
      </c>
      <c r="J29" s="450">
        <f>IF('[1]Tasa de Falla'!BS29=0,"",'[1]Tasa de Falla'!BS29)</f>
      </c>
      <c r="K29" s="450">
        <f>IF('[1]Tasa de Falla'!BT29=0,"",'[1]Tasa de Falla'!BT29)</f>
        <v>1</v>
      </c>
      <c r="L29" s="450">
        <f>IF('[1]Tasa de Falla'!BU29=0,"",'[1]Tasa de Falla'!BU29)</f>
        <v>1</v>
      </c>
      <c r="M29" s="450">
        <f>IF('[1]Tasa de Falla'!BV29=0,"",'[1]Tasa de Falla'!BV29)</f>
      </c>
      <c r="N29" s="450">
        <f>IF('[1]Tasa de Falla'!BW29=0,"",'[1]Tasa de Falla'!BW29)</f>
      </c>
      <c r="O29" s="450">
        <f>IF('[1]Tasa de Falla'!BX29=0,"",'[1]Tasa de Falla'!BX29)</f>
        <v>1</v>
      </c>
      <c r="P29" s="450">
        <f>IF('[1]Tasa de Falla'!BY29=0,"",'[1]Tasa de Falla'!BY29)</f>
      </c>
      <c r="Q29" s="450">
        <f>IF('[1]Tasa de Falla'!BZ29=0,"",'[1]Tasa de Falla'!BZ29)</f>
      </c>
      <c r="R29" s="450">
        <f>IF('[1]Tasa de Falla'!CA29=0,"",'[1]Tasa de Falla'!CA29)</f>
      </c>
      <c r="S29" s="444"/>
      <c r="T29" s="445"/>
    </row>
    <row r="30" spans="2:20" s="432" customFormat="1" ht="19.5" customHeight="1">
      <c r="B30" s="433"/>
      <c r="C30" s="446">
        <f>'[1]Tasa de Falla'!C30</f>
        <v>14</v>
      </c>
      <c r="D30" s="451" t="str">
        <f>'[1]Tasa de Falla'!D30</f>
        <v>HUACRA - LA CALERA</v>
      </c>
      <c r="E30" s="451">
        <f>'[1]Tasa de Falla'!E30</f>
        <v>132</v>
      </c>
      <c r="F30" s="452">
        <f>'[1]Tasa de Falla'!F30</f>
        <v>91.2</v>
      </c>
      <c r="G30" s="449">
        <f>IF('[1]Tasa de Falla'!BP30=0,"",'[1]Tasa de Falla'!BP30)</f>
      </c>
      <c r="H30" s="449">
        <f>IF('[1]Tasa de Falla'!BQ30=0,"",'[1]Tasa de Falla'!BQ30)</f>
      </c>
      <c r="I30" s="449">
        <f>IF('[1]Tasa de Falla'!BR30=0,"",'[1]Tasa de Falla'!BR30)</f>
      </c>
      <c r="J30" s="449">
        <f>IF('[1]Tasa de Falla'!BS30=0,"",'[1]Tasa de Falla'!BS30)</f>
      </c>
      <c r="K30" s="449">
        <f>IF('[1]Tasa de Falla'!BT30=0,"",'[1]Tasa de Falla'!BT30)</f>
      </c>
      <c r="L30" s="449">
        <f>IF('[1]Tasa de Falla'!BU30=0,"",'[1]Tasa de Falla'!BU30)</f>
      </c>
      <c r="M30" s="449">
        <f>IF('[1]Tasa de Falla'!BV30=0,"",'[1]Tasa de Falla'!BV30)</f>
        <v>1</v>
      </c>
      <c r="N30" s="449">
        <f>IF('[1]Tasa de Falla'!BW30=0,"",'[1]Tasa de Falla'!BW30)</f>
      </c>
      <c r="O30" s="449">
        <f>IF('[1]Tasa de Falla'!BX30=0,"",'[1]Tasa de Falla'!BX30)</f>
      </c>
      <c r="P30" s="449">
        <f>IF('[1]Tasa de Falla'!BY30=0,"",'[1]Tasa de Falla'!BY30)</f>
      </c>
      <c r="Q30" s="449">
        <f>IF('[1]Tasa de Falla'!BZ30=0,"",'[1]Tasa de Falla'!BZ30)</f>
      </c>
      <c r="R30" s="449">
        <f>IF('[1]Tasa de Falla'!CA30=0,"",'[1]Tasa de Falla'!CA30)</f>
      </c>
      <c r="S30" s="444"/>
      <c r="T30" s="445"/>
    </row>
    <row r="31" spans="2:20" s="432" customFormat="1" ht="19.5" customHeight="1">
      <c r="B31" s="433"/>
      <c r="C31" s="440">
        <f>'[1]Tasa de Falla'!C31</f>
        <v>15</v>
      </c>
      <c r="D31" s="441" t="str">
        <f>'[1]Tasa de Falla'!D31</f>
        <v>AGUA BLANCA - INDEPENDENCIA</v>
      </c>
      <c r="E31" s="441">
        <f>'[1]Tasa de Falla'!E31</f>
        <v>132</v>
      </c>
      <c r="F31" s="442">
        <f>'[1]Tasa de Falla'!F31</f>
        <v>34.14</v>
      </c>
      <c r="G31" s="450">
        <f>IF('[1]Tasa de Falla'!BP31=0,"",'[1]Tasa de Falla'!BP31)</f>
      </c>
      <c r="H31" s="450">
        <f>IF('[1]Tasa de Falla'!BQ31=0,"",'[1]Tasa de Falla'!BQ31)</f>
        <v>1</v>
      </c>
      <c r="I31" s="450">
        <f>IF('[1]Tasa de Falla'!BR31=0,"",'[1]Tasa de Falla'!BR31)</f>
        <v>1</v>
      </c>
      <c r="J31" s="450">
        <f>IF('[1]Tasa de Falla'!BS31=0,"",'[1]Tasa de Falla'!BS31)</f>
      </c>
      <c r="K31" s="450">
        <f>IF('[1]Tasa de Falla'!BT31=0,"",'[1]Tasa de Falla'!BT31)</f>
        <v>1</v>
      </c>
      <c r="L31" s="450">
        <f>IF('[1]Tasa de Falla'!BU31=0,"",'[1]Tasa de Falla'!BU31)</f>
      </c>
      <c r="M31" s="450">
        <f>IF('[1]Tasa de Falla'!BV31=0,"",'[1]Tasa de Falla'!BV31)</f>
      </c>
      <c r="N31" s="450">
        <f>IF('[1]Tasa de Falla'!BW31=0,"",'[1]Tasa de Falla'!BW31)</f>
        <v>1</v>
      </c>
      <c r="O31" s="450">
        <f>IF('[1]Tasa de Falla'!BX31=0,"",'[1]Tasa de Falla'!BX31)</f>
      </c>
      <c r="P31" s="450">
        <f>IF('[1]Tasa de Falla'!BY31=0,"",'[1]Tasa de Falla'!BY31)</f>
        <v>2</v>
      </c>
      <c r="Q31" s="450">
        <f>IF('[1]Tasa de Falla'!BZ31=0,"",'[1]Tasa de Falla'!BZ31)</f>
      </c>
      <c r="R31" s="450">
        <f>IF('[1]Tasa de Falla'!CA31=0,"",'[1]Tasa de Falla'!CA31)</f>
      </c>
      <c r="S31" s="444"/>
      <c r="T31" s="445"/>
    </row>
    <row r="32" spans="2:20" s="432" customFormat="1" ht="19.5" customHeight="1">
      <c r="B32" s="433"/>
      <c r="C32" s="446">
        <f>'[1]Tasa de Falla'!C32</f>
        <v>16</v>
      </c>
      <c r="D32" s="451" t="str">
        <f>'[1]Tasa de Falla'!D32</f>
        <v>INDEPENDENCIA - EL BRACHO</v>
      </c>
      <c r="E32" s="451">
        <f>'[1]Tasa de Falla'!E32</f>
        <v>132</v>
      </c>
      <c r="F32" s="452">
        <f>'[1]Tasa de Falla'!F32</f>
        <v>17.1</v>
      </c>
      <c r="G32" s="449">
        <f>IF('[1]Tasa de Falla'!BP32=0,"",'[1]Tasa de Falla'!BP32)</f>
      </c>
      <c r="H32" s="449">
        <f>IF('[1]Tasa de Falla'!BQ32=0,"",'[1]Tasa de Falla'!BQ32)</f>
        <v>1</v>
      </c>
      <c r="I32" s="449">
        <f>IF('[1]Tasa de Falla'!BR32=0,"",'[1]Tasa de Falla'!BR32)</f>
      </c>
      <c r="J32" s="449">
        <f>IF('[1]Tasa de Falla'!BS32=0,"",'[1]Tasa de Falla'!BS32)</f>
      </c>
      <c r="K32" s="449">
        <f>IF('[1]Tasa de Falla'!BT32=0,"",'[1]Tasa de Falla'!BT32)</f>
      </c>
      <c r="L32" s="449">
        <f>IF('[1]Tasa de Falla'!BU32=0,"",'[1]Tasa de Falla'!BU32)</f>
        <v>1</v>
      </c>
      <c r="M32" s="449">
        <f>IF('[1]Tasa de Falla'!BV32=0,"",'[1]Tasa de Falla'!BV32)</f>
      </c>
      <c r="N32" s="449">
        <f>IF('[1]Tasa de Falla'!BW32=0,"",'[1]Tasa de Falla'!BW32)</f>
        <v>1</v>
      </c>
      <c r="O32" s="449">
        <f>IF('[1]Tasa de Falla'!BX32=0,"",'[1]Tasa de Falla'!BX32)</f>
      </c>
      <c r="P32" s="449">
        <f>IF('[1]Tasa de Falla'!BY32=0,"",'[1]Tasa de Falla'!BY32)</f>
      </c>
      <c r="Q32" s="449">
        <f>IF('[1]Tasa de Falla'!BZ32=0,"",'[1]Tasa de Falla'!BZ32)</f>
      </c>
      <c r="R32" s="449">
        <f>IF('[1]Tasa de Falla'!CA32=0,"",'[1]Tasa de Falla'!CA32)</f>
      </c>
      <c r="S32" s="444"/>
      <c r="T32" s="445"/>
    </row>
    <row r="33" spans="2:20" s="432" customFormat="1" ht="19.5" customHeight="1">
      <c r="B33" s="433"/>
      <c r="C33" s="440">
        <f>'[1]Tasa de Falla'!C33</f>
        <v>17</v>
      </c>
      <c r="D33" s="441" t="str">
        <f>'[1]Tasa de Falla'!D33</f>
        <v>INDEPENDENCIA - PAPEL DEL TUCUMAN</v>
      </c>
      <c r="E33" s="441">
        <f>'[1]Tasa de Falla'!E33</f>
        <v>132</v>
      </c>
      <c r="F33" s="442">
        <f>'[1]Tasa de Falla'!F33</f>
        <v>19.3</v>
      </c>
      <c r="G33" s="450">
        <f>IF('[1]Tasa de Falla'!BP33=0,"",'[1]Tasa de Falla'!BP33)</f>
      </c>
      <c r="H33" s="450">
        <f>IF('[1]Tasa de Falla'!BQ33=0,"",'[1]Tasa de Falla'!BQ33)</f>
      </c>
      <c r="I33" s="450">
        <f>IF('[1]Tasa de Falla'!BR33=0,"",'[1]Tasa de Falla'!BR33)</f>
      </c>
      <c r="J33" s="450">
        <f>IF('[1]Tasa de Falla'!BS33=0,"",'[1]Tasa de Falla'!BS33)</f>
      </c>
      <c r="K33" s="450">
        <f>IF('[1]Tasa de Falla'!BT33=0,"",'[1]Tasa de Falla'!BT33)</f>
      </c>
      <c r="L33" s="450">
        <f>IF('[1]Tasa de Falla'!BU33=0,"",'[1]Tasa de Falla'!BU33)</f>
        <v>1</v>
      </c>
      <c r="M33" s="450">
        <f>IF('[1]Tasa de Falla'!BV33=0,"",'[1]Tasa de Falla'!BV33)</f>
      </c>
      <c r="N33" s="450">
        <f>IF('[1]Tasa de Falla'!BW33=0,"",'[1]Tasa de Falla'!BW33)</f>
      </c>
      <c r="O33" s="450">
        <f>IF('[1]Tasa de Falla'!BX33=0,"",'[1]Tasa de Falla'!BX33)</f>
      </c>
      <c r="P33" s="450">
        <f>IF('[1]Tasa de Falla'!BY33=0,"",'[1]Tasa de Falla'!BY33)</f>
      </c>
      <c r="Q33" s="450">
        <f>IF('[1]Tasa de Falla'!BZ33=0,"",'[1]Tasa de Falla'!BZ33)</f>
      </c>
      <c r="R33" s="450">
        <f>IF('[1]Tasa de Falla'!CA33=0,"",'[1]Tasa de Falla'!CA33)</f>
      </c>
      <c r="S33" s="444"/>
      <c r="T33" s="445"/>
    </row>
    <row r="34" spans="2:20" s="432" customFormat="1" ht="19.5" customHeight="1">
      <c r="B34" s="433"/>
      <c r="C34" s="446">
        <f>'[1]Tasa de Falla'!C34</f>
        <v>18</v>
      </c>
      <c r="D34" s="451" t="str">
        <f>'[1]Tasa de Falla'!D34</f>
        <v>FRIAS - LA CALERA NOA.</v>
      </c>
      <c r="E34" s="451">
        <f>'[1]Tasa de Falla'!E34</f>
        <v>132</v>
      </c>
      <c r="F34" s="452">
        <f>'[1]Tasa de Falla'!F34</f>
        <v>27.3</v>
      </c>
      <c r="G34" s="449">
        <f>IF('[1]Tasa de Falla'!BP34=0,"",'[1]Tasa de Falla'!BP34)</f>
      </c>
      <c r="H34" s="449">
        <f>IF('[1]Tasa de Falla'!BQ34=0,"",'[1]Tasa de Falla'!BQ34)</f>
      </c>
      <c r="I34" s="449">
        <f>IF('[1]Tasa de Falla'!BR34=0,"",'[1]Tasa de Falla'!BR34)</f>
        <v>1</v>
      </c>
      <c r="J34" s="449">
        <f>IF('[1]Tasa de Falla'!BS34=0,"",'[1]Tasa de Falla'!BS34)</f>
      </c>
      <c r="K34" s="449">
        <f>IF('[1]Tasa de Falla'!BT34=0,"",'[1]Tasa de Falla'!BT34)</f>
      </c>
      <c r="L34" s="449">
        <f>IF('[1]Tasa de Falla'!BU34=0,"",'[1]Tasa de Falla'!BU34)</f>
      </c>
      <c r="M34" s="449">
        <f>IF('[1]Tasa de Falla'!BV34=0,"",'[1]Tasa de Falla'!BV34)</f>
      </c>
      <c r="N34" s="449">
        <f>IF('[1]Tasa de Falla'!BW34=0,"",'[1]Tasa de Falla'!BW34)</f>
      </c>
      <c r="O34" s="449">
        <f>IF('[1]Tasa de Falla'!BX34=0,"",'[1]Tasa de Falla'!BX34)</f>
      </c>
      <c r="P34" s="449">
        <f>IF('[1]Tasa de Falla'!BY34=0,"",'[1]Tasa de Falla'!BY34)</f>
      </c>
      <c r="Q34" s="449">
        <f>IF('[1]Tasa de Falla'!BZ34=0,"",'[1]Tasa de Falla'!BZ34)</f>
        <v>1</v>
      </c>
      <c r="R34" s="449">
        <f>IF('[1]Tasa de Falla'!CA34=0,"",'[1]Tasa de Falla'!CA34)</f>
      </c>
      <c r="S34" s="444"/>
      <c r="T34" s="445"/>
    </row>
    <row r="35" spans="2:20" s="432" customFormat="1" ht="19.5" customHeight="1">
      <c r="B35" s="433"/>
      <c r="C35" s="440">
        <f>'[1]Tasa de Falla'!C35</f>
        <v>19</v>
      </c>
      <c r="D35" s="441" t="str">
        <f>'[1]Tasa de Falla'!D35</f>
        <v>LA BANDA - SANTIAGO CENTRO</v>
      </c>
      <c r="E35" s="441">
        <f>'[1]Tasa de Falla'!E35</f>
        <v>132</v>
      </c>
      <c r="F35" s="442">
        <f>'[1]Tasa de Falla'!F35</f>
        <v>10.91</v>
      </c>
      <c r="G35" s="450">
        <f>IF('[1]Tasa de Falla'!BP35=0,"",'[1]Tasa de Falla'!BP35)</f>
      </c>
      <c r="H35" s="450">
        <f>IF('[1]Tasa de Falla'!BQ35=0,"",'[1]Tasa de Falla'!BQ35)</f>
      </c>
      <c r="I35" s="450">
        <f>IF('[1]Tasa de Falla'!BR35=0,"",'[1]Tasa de Falla'!BR35)</f>
      </c>
      <c r="J35" s="450">
        <f>IF('[1]Tasa de Falla'!BS35=0,"",'[1]Tasa de Falla'!BS35)</f>
      </c>
      <c r="K35" s="450">
        <f>IF('[1]Tasa de Falla'!BT35=0,"",'[1]Tasa de Falla'!BT35)</f>
      </c>
      <c r="L35" s="450">
        <f>IF('[1]Tasa de Falla'!BU35=0,"",'[1]Tasa de Falla'!BU35)</f>
      </c>
      <c r="M35" s="450">
        <f>IF('[1]Tasa de Falla'!BV35=0,"",'[1]Tasa de Falla'!BV35)</f>
      </c>
      <c r="N35" s="450">
        <f>IF('[1]Tasa de Falla'!BW35=0,"",'[1]Tasa de Falla'!BW35)</f>
      </c>
      <c r="O35" s="450">
        <f>IF('[1]Tasa de Falla'!BX35=0,"",'[1]Tasa de Falla'!BX35)</f>
        <v>1</v>
      </c>
      <c r="P35" s="450">
        <f>IF('[1]Tasa de Falla'!BY35=0,"",'[1]Tasa de Falla'!BY35)</f>
      </c>
      <c r="Q35" s="450">
        <f>IF('[1]Tasa de Falla'!BZ35=0,"",'[1]Tasa de Falla'!BZ35)</f>
      </c>
      <c r="R35" s="450">
        <f>IF('[1]Tasa de Falla'!CA35=0,"",'[1]Tasa de Falla'!CA35)</f>
      </c>
      <c r="S35" s="444"/>
      <c r="T35" s="445"/>
    </row>
    <row r="36" spans="2:20" s="432" customFormat="1" ht="19.5" customHeight="1">
      <c r="B36" s="433"/>
      <c r="C36" s="446">
        <f>'[1]Tasa de Falla'!C36</f>
        <v>20</v>
      </c>
      <c r="D36" s="451" t="str">
        <f>'[1]Tasa de Falla'!D36</f>
        <v>LIBERTADOR NOA. - PICHANAL</v>
      </c>
      <c r="E36" s="451">
        <f>'[1]Tasa de Falla'!E36</f>
        <v>132</v>
      </c>
      <c r="F36" s="452">
        <f>'[1]Tasa de Falla'!F36</f>
        <v>76</v>
      </c>
      <c r="G36" s="449">
        <f>IF('[1]Tasa de Falla'!BP36=0,"",'[1]Tasa de Falla'!BP36)</f>
      </c>
      <c r="H36" s="449">
        <f>IF('[1]Tasa de Falla'!BQ36=0,"",'[1]Tasa de Falla'!BQ36)</f>
      </c>
      <c r="I36" s="449">
        <f>IF('[1]Tasa de Falla'!BR36=0,"",'[1]Tasa de Falla'!BR36)</f>
      </c>
      <c r="J36" s="449">
        <f>IF('[1]Tasa de Falla'!BS36=0,"",'[1]Tasa de Falla'!BS36)</f>
      </c>
      <c r="K36" s="449">
        <f>IF('[1]Tasa de Falla'!BT36=0,"",'[1]Tasa de Falla'!BT36)</f>
      </c>
      <c r="L36" s="449">
        <f>IF('[1]Tasa de Falla'!BU36=0,"",'[1]Tasa de Falla'!BU36)</f>
      </c>
      <c r="M36" s="449">
        <f>IF('[1]Tasa de Falla'!BV36=0,"",'[1]Tasa de Falla'!BV36)</f>
      </c>
      <c r="N36" s="449">
        <f>IF('[1]Tasa de Falla'!BW36=0,"",'[1]Tasa de Falla'!BW36)</f>
      </c>
      <c r="O36" s="449">
        <f>IF('[1]Tasa de Falla'!BX36=0,"",'[1]Tasa de Falla'!BX36)</f>
      </c>
      <c r="P36" s="449">
        <f>IF('[1]Tasa de Falla'!BY36=0,"",'[1]Tasa de Falla'!BY36)</f>
      </c>
      <c r="Q36" s="449">
        <f>IF('[1]Tasa de Falla'!BZ36=0,"",'[1]Tasa de Falla'!BZ36)</f>
      </c>
      <c r="R36" s="449">
        <f>IF('[1]Tasa de Falla'!CA36=0,"",'[1]Tasa de Falla'!CA36)</f>
      </c>
      <c r="S36" s="444"/>
      <c r="T36" s="445"/>
    </row>
    <row r="37" spans="2:20" s="432" customFormat="1" ht="19.5" customHeight="1">
      <c r="B37" s="433"/>
      <c r="C37" s="440">
        <f>'[1]Tasa de Falla'!C37</f>
        <v>21</v>
      </c>
      <c r="D37" s="441" t="str">
        <f>'[1]Tasa de Falla'!D37</f>
        <v>GÜEMES - METAN</v>
      </c>
      <c r="E37" s="441">
        <f>'[1]Tasa de Falla'!E37</f>
        <v>132</v>
      </c>
      <c r="F37" s="442">
        <f>'[1]Tasa de Falla'!F37</f>
        <v>97.13</v>
      </c>
      <c r="G37" s="450">
        <f>IF('[1]Tasa de Falla'!BP37=0,"",'[1]Tasa de Falla'!BP37)</f>
      </c>
      <c r="H37" s="450">
        <f>IF('[1]Tasa de Falla'!BQ37=0,"",'[1]Tasa de Falla'!BQ37)</f>
        <v>1</v>
      </c>
      <c r="I37" s="450">
        <f>IF('[1]Tasa de Falla'!BR37=0,"",'[1]Tasa de Falla'!BR37)</f>
        <v>1</v>
      </c>
      <c r="J37" s="450">
        <f>IF('[1]Tasa de Falla'!BS37=0,"",'[1]Tasa de Falla'!BS37)</f>
      </c>
      <c r="K37" s="450">
        <f>IF('[1]Tasa de Falla'!BT37=0,"",'[1]Tasa de Falla'!BT37)</f>
      </c>
      <c r="L37" s="450">
        <f>IF('[1]Tasa de Falla'!BU37=0,"",'[1]Tasa de Falla'!BU37)</f>
      </c>
      <c r="M37" s="450">
        <f>IF('[1]Tasa de Falla'!BV37=0,"",'[1]Tasa de Falla'!BV37)</f>
      </c>
      <c r="N37" s="450">
        <f>IF('[1]Tasa de Falla'!BW37=0,"",'[1]Tasa de Falla'!BW37)</f>
      </c>
      <c r="O37" s="450">
        <f>IF('[1]Tasa de Falla'!BX37=0,"",'[1]Tasa de Falla'!BX37)</f>
      </c>
      <c r="P37" s="450">
        <f>IF('[1]Tasa de Falla'!BY37=0,"",'[1]Tasa de Falla'!BY37)</f>
      </c>
      <c r="Q37" s="450">
        <f>IF('[1]Tasa de Falla'!BZ37=0,"",'[1]Tasa de Falla'!BZ37)</f>
      </c>
      <c r="R37" s="450">
        <f>IF('[1]Tasa de Falla'!CA37=0,"",'[1]Tasa de Falla'!CA37)</f>
      </c>
      <c r="S37" s="444"/>
      <c r="T37" s="445"/>
    </row>
    <row r="38" spans="2:20" s="432" customFormat="1" ht="19.5" customHeight="1">
      <c r="B38" s="433"/>
      <c r="C38" s="446">
        <f>'[1]Tasa de Falla'!C38</f>
        <v>22</v>
      </c>
      <c r="D38" s="451" t="str">
        <f>'[1]Tasa de Falla'!D38</f>
        <v>MINETTI - SAN JUANCITO</v>
      </c>
      <c r="E38" s="451">
        <f>'[1]Tasa de Falla'!E38</f>
        <v>132</v>
      </c>
      <c r="F38" s="452">
        <f>'[1]Tasa de Falla'!F38</f>
        <v>26</v>
      </c>
      <c r="G38" s="449">
        <f>IF('[1]Tasa de Falla'!BP38=0,"",'[1]Tasa de Falla'!BP38)</f>
      </c>
      <c r="H38" s="449">
        <f>IF('[1]Tasa de Falla'!BQ38=0,"",'[1]Tasa de Falla'!BQ38)</f>
      </c>
      <c r="I38" s="449">
        <f>IF('[1]Tasa de Falla'!BR38=0,"",'[1]Tasa de Falla'!BR38)</f>
      </c>
      <c r="J38" s="449">
        <f>IF('[1]Tasa de Falla'!BS38=0,"",'[1]Tasa de Falla'!BS38)</f>
      </c>
      <c r="K38" s="449">
        <f>IF('[1]Tasa de Falla'!BT38=0,"",'[1]Tasa de Falla'!BT38)</f>
      </c>
      <c r="L38" s="449">
        <f>IF('[1]Tasa de Falla'!BU38=0,"",'[1]Tasa de Falla'!BU38)</f>
      </c>
      <c r="M38" s="449">
        <f>IF('[1]Tasa de Falla'!BV38=0,"",'[1]Tasa de Falla'!BV38)</f>
      </c>
      <c r="N38" s="449">
        <f>IF('[1]Tasa de Falla'!BW38=0,"",'[1]Tasa de Falla'!BW38)</f>
      </c>
      <c r="O38" s="449">
        <f>IF('[1]Tasa de Falla'!BX38=0,"",'[1]Tasa de Falla'!BX38)</f>
      </c>
      <c r="P38" s="449">
        <f>IF('[1]Tasa de Falla'!BY38=0,"",'[1]Tasa de Falla'!BY38)</f>
      </c>
      <c r="Q38" s="449">
        <f>IF('[1]Tasa de Falla'!BZ38=0,"",'[1]Tasa de Falla'!BZ38)</f>
      </c>
      <c r="R38" s="449">
        <f>IF('[1]Tasa de Falla'!CA38=0,"",'[1]Tasa de Falla'!CA38)</f>
      </c>
      <c r="S38" s="444"/>
      <c r="T38" s="445"/>
    </row>
    <row r="39" spans="2:20" s="432" customFormat="1" ht="19.5" customHeight="1">
      <c r="B39" s="433"/>
      <c r="C39" s="440">
        <f>'[1]Tasa de Falla'!C39</f>
        <v>23</v>
      </c>
      <c r="D39" s="441" t="str">
        <f>'[1]Tasa de Falla'!D39</f>
        <v>PALPALA - JUJUY SUR</v>
      </c>
      <c r="E39" s="441">
        <f>'[1]Tasa de Falla'!E39</f>
        <v>132</v>
      </c>
      <c r="F39" s="442">
        <f>'[1]Tasa de Falla'!F39</f>
        <v>14</v>
      </c>
      <c r="G39" s="450" t="str">
        <f>IF('[1]Tasa de Falla'!BP39=0,"",'[1]Tasa de Falla'!BP39)</f>
        <v>XXXX</v>
      </c>
      <c r="H39" s="450" t="str">
        <f>IF('[1]Tasa de Falla'!BQ39=0,"",'[1]Tasa de Falla'!BQ39)</f>
        <v>XXXX</v>
      </c>
      <c r="I39" s="450" t="str">
        <f>IF('[1]Tasa de Falla'!BR39=0,"",'[1]Tasa de Falla'!BR39)</f>
        <v>XXXX</v>
      </c>
      <c r="J39" s="450" t="str">
        <f>IF('[1]Tasa de Falla'!BS39=0,"",'[1]Tasa de Falla'!BS39)</f>
        <v>XXXX</v>
      </c>
      <c r="K39" s="450" t="str">
        <f>IF('[1]Tasa de Falla'!BT39=0,"",'[1]Tasa de Falla'!BT39)</f>
        <v>XXXX</v>
      </c>
      <c r="L39" s="450" t="str">
        <f>IF('[1]Tasa de Falla'!BU39=0,"",'[1]Tasa de Falla'!BU39)</f>
        <v>XXXX</v>
      </c>
      <c r="M39" s="450" t="str">
        <f>IF('[1]Tasa de Falla'!BV39=0,"",'[1]Tasa de Falla'!BV39)</f>
        <v>XXXX</v>
      </c>
      <c r="N39" s="450" t="str">
        <f>IF('[1]Tasa de Falla'!BW39=0,"",'[1]Tasa de Falla'!BW39)</f>
        <v>XXXX</v>
      </c>
      <c r="O39" s="450" t="str">
        <f>IF('[1]Tasa de Falla'!BX39=0,"",'[1]Tasa de Falla'!BX39)</f>
        <v>XXXX</v>
      </c>
      <c r="P39" s="450" t="str">
        <f>IF('[1]Tasa de Falla'!BY39=0,"",'[1]Tasa de Falla'!BY39)</f>
        <v>XXXX</v>
      </c>
      <c r="Q39" s="450" t="str">
        <f>IF('[1]Tasa de Falla'!BZ39=0,"",'[1]Tasa de Falla'!BZ39)</f>
        <v>XXXX</v>
      </c>
      <c r="R39" s="450" t="str">
        <f>IF('[1]Tasa de Falla'!CA39=0,"",'[1]Tasa de Falla'!CA39)</f>
        <v>XXXX</v>
      </c>
      <c r="S39" s="444"/>
      <c r="T39" s="445"/>
    </row>
    <row r="40" spans="2:20" s="432" customFormat="1" ht="19.5" customHeight="1">
      <c r="B40" s="433"/>
      <c r="C40" s="446">
        <f>'[1]Tasa de Falla'!C40</f>
        <v>24</v>
      </c>
      <c r="D40" s="451" t="str">
        <f>'[1]Tasa de Falla'!D40</f>
        <v>ORAN - PICHANAL</v>
      </c>
      <c r="E40" s="451">
        <f>'[1]Tasa de Falla'!E40</f>
        <v>132</v>
      </c>
      <c r="F40" s="452">
        <f>'[1]Tasa de Falla'!F40</f>
        <v>17</v>
      </c>
      <c r="G40" s="449">
        <f>IF('[1]Tasa de Falla'!BP40=0,"",'[1]Tasa de Falla'!BP40)</f>
      </c>
      <c r="H40" s="449">
        <f>IF('[1]Tasa de Falla'!BQ40=0,"",'[1]Tasa de Falla'!BQ40)</f>
      </c>
      <c r="I40" s="449">
        <f>IF('[1]Tasa de Falla'!BR40=0,"",'[1]Tasa de Falla'!BR40)</f>
      </c>
      <c r="J40" s="449">
        <f>IF('[1]Tasa de Falla'!BS40=0,"",'[1]Tasa de Falla'!BS40)</f>
      </c>
      <c r="K40" s="449">
        <f>IF('[1]Tasa de Falla'!BT40=0,"",'[1]Tasa de Falla'!BT40)</f>
      </c>
      <c r="L40" s="449">
        <f>IF('[1]Tasa de Falla'!BU40=0,"",'[1]Tasa de Falla'!BU40)</f>
      </c>
      <c r="M40" s="449">
        <f>IF('[1]Tasa de Falla'!BV40=0,"",'[1]Tasa de Falla'!BV40)</f>
      </c>
      <c r="N40" s="449">
        <f>IF('[1]Tasa de Falla'!BW40=0,"",'[1]Tasa de Falla'!BW40)</f>
      </c>
      <c r="O40" s="449">
        <f>IF('[1]Tasa de Falla'!BX40=0,"",'[1]Tasa de Falla'!BX40)</f>
      </c>
      <c r="P40" s="449">
        <f>IF('[1]Tasa de Falla'!BY40=0,"",'[1]Tasa de Falla'!BY40)</f>
      </c>
      <c r="Q40" s="449">
        <f>IF('[1]Tasa de Falla'!BZ40=0,"",'[1]Tasa de Falla'!BZ40)</f>
      </c>
      <c r="R40" s="449">
        <f>IF('[1]Tasa de Falla'!CA40=0,"",'[1]Tasa de Falla'!CA40)</f>
      </c>
      <c r="S40" s="444"/>
      <c r="T40" s="445"/>
    </row>
    <row r="41" spans="2:20" s="432" customFormat="1" ht="19.5" customHeight="1">
      <c r="B41" s="433"/>
      <c r="C41" s="440">
        <f>'[1]Tasa de Falla'!C41</f>
        <v>25</v>
      </c>
      <c r="D41" s="441" t="str">
        <f>'[1]Tasa de Falla'!D41</f>
        <v>PICHANAL - TARTAGAL</v>
      </c>
      <c r="E41" s="441">
        <f>'[1]Tasa de Falla'!E41</f>
        <v>132</v>
      </c>
      <c r="F41" s="442">
        <f>'[1]Tasa de Falla'!F41</f>
        <v>105</v>
      </c>
      <c r="G41" s="450">
        <f>IF('[1]Tasa de Falla'!BP41=0,"",'[1]Tasa de Falla'!BP41)</f>
      </c>
      <c r="H41" s="450">
        <f>IF('[1]Tasa de Falla'!BQ41=0,"",'[1]Tasa de Falla'!BQ41)</f>
      </c>
      <c r="I41" s="450">
        <f>IF('[1]Tasa de Falla'!BR41=0,"",'[1]Tasa de Falla'!BR41)</f>
      </c>
      <c r="J41" s="450">
        <f>IF('[1]Tasa de Falla'!BS41=0,"",'[1]Tasa de Falla'!BS41)</f>
      </c>
      <c r="K41" s="450">
        <f>IF('[1]Tasa de Falla'!BT41=0,"",'[1]Tasa de Falla'!BT41)</f>
      </c>
      <c r="L41" s="450">
        <f>IF('[1]Tasa de Falla'!BU41=0,"",'[1]Tasa de Falla'!BU41)</f>
      </c>
      <c r="M41" s="450">
        <f>IF('[1]Tasa de Falla'!BV41=0,"",'[1]Tasa de Falla'!BV41)</f>
      </c>
      <c r="N41" s="450">
        <f>IF('[1]Tasa de Falla'!BW41=0,"",'[1]Tasa de Falla'!BW41)</f>
      </c>
      <c r="O41" s="450">
        <f>IF('[1]Tasa de Falla'!BX41=0,"",'[1]Tasa de Falla'!BX41)</f>
        <v>1</v>
      </c>
      <c r="P41" s="450">
        <f>IF('[1]Tasa de Falla'!BY41=0,"",'[1]Tasa de Falla'!BY41)</f>
      </c>
      <c r="Q41" s="450">
        <f>IF('[1]Tasa de Falla'!BZ41=0,"",'[1]Tasa de Falla'!BZ41)</f>
      </c>
      <c r="R41" s="450">
        <f>IF('[1]Tasa de Falla'!CA41=0,"",'[1]Tasa de Falla'!CA41)</f>
      </c>
      <c r="S41" s="444"/>
      <c r="T41" s="445"/>
    </row>
    <row r="42" spans="2:20" s="432" customFormat="1" ht="19.5" customHeight="1">
      <c r="B42" s="433"/>
      <c r="C42" s="446">
        <f>'[1]Tasa de Falla'!C42</f>
        <v>26</v>
      </c>
      <c r="D42" s="451" t="str">
        <f>'[1]Tasa de Falla'!D42</f>
        <v>C.H. RIO HONDO - LA BANDA</v>
      </c>
      <c r="E42" s="451">
        <f>'[1]Tasa de Falla'!E42</f>
        <v>132</v>
      </c>
      <c r="F42" s="452">
        <f>'[1]Tasa de Falla'!F42</f>
        <v>76.5</v>
      </c>
      <c r="G42" s="449">
        <f>IF('[1]Tasa de Falla'!BP42=0,"",'[1]Tasa de Falla'!BP42)</f>
      </c>
      <c r="H42" s="449">
        <f>IF('[1]Tasa de Falla'!BQ42=0,"",'[1]Tasa de Falla'!BQ42)</f>
      </c>
      <c r="I42" s="449">
        <f>IF('[1]Tasa de Falla'!BR42=0,"",'[1]Tasa de Falla'!BR42)</f>
      </c>
      <c r="J42" s="449">
        <f>IF('[1]Tasa de Falla'!BS42=0,"",'[1]Tasa de Falla'!BS42)</f>
      </c>
      <c r="K42" s="449">
        <f>IF('[1]Tasa de Falla'!BT42=0,"",'[1]Tasa de Falla'!BT42)</f>
      </c>
      <c r="L42" s="449">
        <f>IF('[1]Tasa de Falla'!BU42=0,"",'[1]Tasa de Falla'!BU42)</f>
      </c>
      <c r="M42" s="449">
        <f>IF('[1]Tasa de Falla'!BV42=0,"",'[1]Tasa de Falla'!BV42)</f>
      </c>
      <c r="N42" s="449">
        <f>IF('[1]Tasa de Falla'!BW42=0,"",'[1]Tasa de Falla'!BW42)</f>
      </c>
      <c r="O42" s="449">
        <f>IF('[1]Tasa de Falla'!BX42=0,"",'[1]Tasa de Falla'!BX42)</f>
        <v>1</v>
      </c>
      <c r="P42" s="449">
        <f>IF('[1]Tasa de Falla'!BY42=0,"",'[1]Tasa de Falla'!BY42)</f>
      </c>
      <c r="Q42" s="449">
        <f>IF('[1]Tasa de Falla'!BZ42=0,"",'[1]Tasa de Falla'!BZ42)</f>
      </c>
      <c r="R42" s="449">
        <f>IF('[1]Tasa de Falla'!CA42=0,"",'[1]Tasa de Falla'!CA42)</f>
      </c>
      <c r="S42" s="444"/>
      <c r="T42" s="445"/>
    </row>
    <row r="43" spans="2:20" s="432" customFormat="1" ht="19.5" customHeight="1">
      <c r="B43" s="433"/>
      <c r="C43" s="440">
        <f>'[1]Tasa de Falla'!C43</f>
        <v>27</v>
      </c>
      <c r="D43" s="441" t="str">
        <f>'[1]Tasa de Falla'!D43</f>
        <v>LA RIOJA - RECREO  2</v>
      </c>
      <c r="E43" s="441">
        <f>'[1]Tasa de Falla'!E43</f>
        <v>132</v>
      </c>
      <c r="F43" s="442">
        <f>'[1]Tasa de Falla'!F43</f>
        <v>220</v>
      </c>
      <c r="G43" s="450">
        <f>IF('[1]Tasa de Falla'!BP43=0,"",'[1]Tasa de Falla'!BP43)</f>
      </c>
      <c r="H43" s="450">
        <f>IF('[1]Tasa de Falla'!BQ43=0,"",'[1]Tasa de Falla'!BQ43)</f>
        <v>1</v>
      </c>
      <c r="I43" s="450">
        <f>IF('[1]Tasa de Falla'!BR43=0,"",'[1]Tasa de Falla'!BR43)</f>
      </c>
      <c r="J43" s="450">
        <f>IF('[1]Tasa de Falla'!BS43=0,"",'[1]Tasa de Falla'!BS43)</f>
      </c>
      <c r="K43" s="450">
        <f>IF('[1]Tasa de Falla'!BT43=0,"",'[1]Tasa de Falla'!BT43)</f>
      </c>
      <c r="L43" s="450">
        <f>IF('[1]Tasa de Falla'!BU43=0,"",'[1]Tasa de Falla'!BU43)</f>
        <v>1</v>
      </c>
      <c r="M43" s="450">
        <f>IF('[1]Tasa de Falla'!BV43=0,"",'[1]Tasa de Falla'!BV43)</f>
      </c>
      <c r="N43" s="450">
        <f>IF('[1]Tasa de Falla'!BW43=0,"",'[1]Tasa de Falla'!BW43)</f>
      </c>
      <c r="O43" s="450">
        <f>IF('[1]Tasa de Falla'!BX43=0,"",'[1]Tasa de Falla'!BX43)</f>
      </c>
      <c r="P43" s="450">
        <f>IF('[1]Tasa de Falla'!BY43=0,"",'[1]Tasa de Falla'!BY43)</f>
      </c>
      <c r="Q43" s="450">
        <f>IF('[1]Tasa de Falla'!BZ43=0,"",'[1]Tasa de Falla'!BZ43)</f>
      </c>
      <c r="R43" s="450">
        <f>IF('[1]Tasa de Falla'!CA43=0,"",'[1]Tasa de Falla'!CA43)</f>
      </c>
      <c r="S43" s="444"/>
      <c r="T43" s="445"/>
    </row>
    <row r="44" spans="2:20" s="432" customFormat="1" ht="19.5" customHeight="1">
      <c r="B44" s="433"/>
      <c r="C44" s="446">
        <f>'[1]Tasa de Falla'!C44</f>
        <v>28</v>
      </c>
      <c r="D44" s="451" t="str">
        <f>'[1]Tasa de Falla'!D44</f>
        <v>CAMPO SANTO - SALTA SUR</v>
      </c>
      <c r="E44" s="451">
        <f>'[1]Tasa de Falla'!E44</f>
        <v>132</v>
      </c>
      <c r="F44" s="452">
        <f>'[1]Tasa de Falla'!F44</f>
        <v>40.92</v>
      </c>
      <c r="G44" s="449">
        <f>IF('[1]Tasa de Falla'!BP44=0,"",'[1]Tasa de Falla'!BP44)</f>
        <v>1</v>
      </c>
      <c r="H44" s="449">
        <f>IF('[1]Tasa de Falla'!BQ44=0,"",'[1]Tasa de Falla'!BQ44)</f>
        <v>1</v>
      </c>
      <c r="I44" s="449">
        <f>IF('[1]Tasa de Falla'!BR44=0,"",'[1]Tasa de Falla'!BR44)</f>
      </c>
      <c r="J44" s="449">
        <f>IF('[1]Tasa de Falla'!BS44=0,"",'[1]Tasa de Falla'!BS44)</f>
      </c>
      <c r="K44" s="449">
        <f>IF('[1]Tasa de Falla'!BT44=0,"",'[1]Tasa de Falla'!BT44)</f>
      </c>
      <c r="L44" s="449">
        <f>IF('[1]Tasa de Falla'!BU44=0,"",'[1]Tasa de Falla'!BU44)</f>
      </c>
      <c r="M44" s="449">
        <f>IF('[1]Tasa de Falla'!BV44=0,"",'[1]Tasa de Falla'!BV44)</f>
      </c>
      <c r="N44" s="449">
        <f>IF('[1]Tasa de Falla'!BW44=0,"",'[1]Tasa de Falla'!BW44)</f>
      </c>
      <c r="O44" s="449">
        <f>IF('[1]Tasa de Falla'!BX44=0,"",'[1]Tasa de Falla'!BX44)</f>
      </c>
      <c r="P44" s="449">
        <f>IF('[1]Tasa de Falla'!BY44=0,"",'[1]Tasa de Falla'!BY44)</f>
      </c>
      <c r="Q44" s="449">
        <f>IF('[1]Tasa de Falla'!BZ44=0,"",'[1]Tasa de Falla'!BZ44)</f>
      </c>
      <c r="R44" s="449">
        <f>IF('[1]Tasa de Falla'!CA44=0,"",'[1]Tasa de Falla'!CA44)</f>
      </c>
      <c r="S44" s="444"/>
      <c r="T44" s="445"/>
    </row>
    <row r="45" spans="2:20" s="432" customFormat="1" ht="19.5" customHeight="1">
      <c r="B45" s="433"/>
      <c r="C45" s="440">
        <f>'[1]Tasa de Falla'!C45</f>
        <v>29</v>
      </c>
      <c r="D45" s="441" t="str">
        <f>'[1]Tasa de Falla'!D45</f>
        <v>PALPALA - SAN JUANCITO</v>
      </c>
      <c r="E45" s="441">
        <f>'[1]Tasa de Falla'!E45</f>
        <v>132</v>
      </c>
      <c r="F45" s="442">
        <f>'[1]Tasa de Falla'!F45</f>
        <v>23.9</v>
      </c>
      <c r="G45" s="450">
        <f>IF('[1]Tasa de Falla'!BP45=0,"",'[1]Tasa de Falla'!BP45)</f>
      </c>
      <c r="H45" s="450">
        <f>IF('[1]Tasa de Falla'!BQ45=0,"",'[1]Tasa de Falla'!BQ45)</f>
      </c>
      <c r="I45" s="450">
        <f>IF('[1]Tasa de Falla'!BR45=0,"",'[1]Tasa de Falla'!BR45)</f>
        <v>1</v>
      </c>
      <c r="J45" s="450">
        <f>IF('[1]Tasa de Falla'!BS45=0,"",'[1]Tasa de Falla'!BS45)</f>
      </c>
      <c r="K45" s="450">
        <f>IF('[1]Tasa de Falla'!BT45=0,"",'[1]Tasa de Falla'!BT45)</f>
      </c>
      <c r="L45" s="450">
        <f>IF('[1]Tasa de Falla'!BU45=0,"",'[1]Tasa de Falla'!BU45)</f>
      </c>
      <c r="M45" s="450">
        <f>IF('[1]Tasa de Falla'!BV45=0,"",'[1]Tasa de Falla'!BV45)</f>
      </c>
      <c r="N45" s="450">
        <f>IF('[1]Tasa de Falla'!BW45=0,"",'[1]Tasa de Falla'!BW45)</f>
        <v>1</v>
      </c>
      <c r="O45" s="450">
        <f>IF('[1]Tasa de Falla'!BX45=0,"",'[1]Tasa de Falla'!BX45)</f>
      </c>
      <c r="P45" s="450">
        <f>IF('[1]Tasa de Falla'!BY45=0,"",'[1]Tasa de Falla'!BY45)</f>
      </c>
      <c r="Q45" s="450">
        <f>IF('[1]Tasa de Falla'!BZ45=0,"",'[1]Tasa de Falla'!BZ45)</f>
      </c>
      <c r="R45" s="450">
        <f>IF('[1]Tasa de Falla'!CA45=0,"",'[1]Tasa de Falla'!CA45)</f>
      </c>
      <c r="S45" s="444"/>
      <c r="T45" s="445"/>
    </row>
    <row r="46" spans="2:20" s="432" customFormat="1" ht="19.5" customHeight="1">
      <c r="B46" s="433"/>
      <c r="C46" s="446">
        <f>'[1]Tasa de Falla'!C46</f>
        <v>30</v>
      </c>
      <c r="D46" s="451" t="str">
        <f>'[1]Tasa de Falla'!D46</f>
        <v>SAN JUANCITO - SAN PEDRO JUJUY</v>
      </c>
      <c r="E46" s="451">
        <f>'[1]Tasa de Falla'!E46</f>
        <v>132</v>
      </c>
      <c r="F46" s="452">
        <f>'[1]Tasa de Falla'!F46</f>
        <v>27</v>
      </c>
      <c r="G46" s="449">
        <f>IF('[1]Tasa de Falla'!BP46=0,"",'[1]Tasa de Falla'!BP46)</f>
      </c>
      <c r="H46" s="449">
        <f>IF('[1]Tasa de Falla'!BQ46=0,"",'[1]Tasa de Falla'!BQ46)</f>
      </c>
      <c r="I46" s="449">
        <f>IF('[1]Tasa de Falla'!BR46=0,"",'[1]Tasa de Falla'!BR46)</f>
        <v>1</v>
      </c>
      <c r="J46" s="449">
        <f>IF('[1]Tasa de Falla'!BS46=0,"",'[1]Tasa de Falla'!BS46)</f>
      </c>
      <c r="K46" s="449">
        <f>IF('[1]Tasa de Falla'!BT46=0,"",'[1]Tasa de Falla'!BT46)</f>
      </c>
      <c r="L46" s="449">
        <f>IF('[1]Tasa de Falla'!BU46=0,"",'[1]Tasa de Falla'!BU46)</f>
      </c>
      <c r="M46" s="449">
        <f>IF('[1]Tasa de Falla'!BV46=0,"",'[1]Tasa de Falla'!BV46)</f>
      </c>
      <c r="N46" s="449">
        <f>IF('[1]Tasa de Falla'!BW46=0,"",'[1]Tasa de Falla'!BW46)</f>
        <v>1</v>
      </c>
      <c r="O46" s="449">
        <f>IF('[1]Tasa de Falla'!BX46=0,"",'[1]Tasa de Falla'!BX46)</f>
      </c>
      <c r="P46" s="449">
        <f>IF('[1]Tasa de Falla'!BY46=0,"",'[1]Tasa de Falla'!BY46)</f>
      </c>
      <c r="Q46" s="449">
        <f>IF('[1]Tasa de Falla'!BZ46=0,"",'[1]Tasa de Falla'!BZ46)</f>
      </c>
      <c r="R46" s="449">
        <f>IF('[1]Tasa de Falla'!CA46=0,"",'[1]Tasa de Falla'!CA46)</f>
      </c>
      <c r="S46" s="444"/>
      <c r="T46" s="445"/>
    </row>
    <row r="47" spans="2:20" s="432" customFormat="1" ht="19.5" customHeight="1">
      <c r="B47" s="433"/>
      <c r="C47" s="440">
        <f>'[1]Tasa de Falla'!C47</f>
        <v>31</v>
      </c>
      <c r="D47" s="441" t="str">
        <f>'[1]Tasa de Falla'!D47</f>
        <v>SAN MARTIN - CATAMARCA</v>
      </c>
      <c r="E47" s="441">
        <f>'[1]Tasa de Falla'!E47</f>
        <v>132</v>
      </c>
      <c r="F47" s="442">
        <f>'[1]Tasa de Falla'!F47</f>
        <v>88</v>
      </c>
      <c r="G47" s="450">
        <f>IF('[1]Tasa de Falla'!BP47=0,"",'[1]Tasa de Falla'!BP47)</f>
      </c>
      <c r="H47" s="450">
        <f>IF('[1]Tasa de Falla'!BQ47=0,"",'[1]Tasa de Falla'!BQ47)</f>
      </c>
      <c r="I47" s="450">
        <f>IF('[1]Tasa de Falla'!BR47=0,"",'[1]Tasa de Falla'!BR47)</f>
      </c>
      <c r="J47" s="450">
        <f>IF('[1]Tasa de Falla'!BS47=0,"",'[1]Tasa de Falla'!BS47)</f>
      </c>
      <c r="K47" s="450">
        <f>IF('[1]Tasa de Falla'!BT47=0,"",'[1]Tasa de Falla'!BT47)</f>
      </c>
      <c r="L47" s="450">
        <f>IF('[1]Tasa de Falla'!BU47=0,"",'[1]Tasa de Falla'!BU47)</f>
      </c>
      <c r="M47" s="450">
        <f>IF('[1]Tasa de Falla'!BV47=0,"",'[1]Tasa de Falla'!BV47)</f>
      </c>
      <c r="N47" s="450">
        <f>IF('[1]Tasa de Falla'!BW47=0,"",'[1]Tasa de Falla'!BW47)</f>
      </c>
      <c r="O47" s="450">
        <f>IF('[1]Tasa de Falla'!BX47=0,"",'[1]Tasa de Falla'!BX47)</f>
      </c>
      <c r="P47" s="450">
        <f>IF('[1]Tasa de Falla'!BY47=0,"",'[1]Tasa de Falla'!BY47)</f>
      </c>
      <c r="Q47" s="450">
        <f>IF('[1]Tasa de Falla'!BZ47=0,"",'[1]Tasa de Falla'!BZ47)</f>
      </c>
      <c r="R47" s="450">
        <f>IF('[1]Tasa de Falla'!CA47=0,"",'[1]Tasa de Falla'!CA47)</f>
      </c>
      <c r="S47" s="444"/>
      <c r="T47" s="445"/>
    </row>
    <row r="48" spans="2:20" s="432" customFormat="1" ht="19.5" customHeight="1">
      <c r="B48" s="433"/>
      <c r="C48" s="446">
        <f>'[1]Tasa de Falla'!C48</f>
        <v>32</v>
      </c>
      <c r="D48" s="451" t="str">
        <f>'[1]Tasa de Falla'!D48</f>
        <v>SAN MARTIN - RECREO</v>
      </c>
      <c r="E48" s="451">
        <f>'[1]Tasa de Falla'!E48</f>
        <v>132</v>
      </c>
      <c r="F48" s="452">
        <f>'[1]Tasa de Falla'!F48</f>
        <v>115</v>
      </c>
      <c r="G48" s="449">
        <f>IF('[1]Tasa de Falla'!BP48=0,"",'[1]Tasa de Falla'!BP48)</f>
      </c>
      <c r="H48" s="449">
        <f>IF('[1]Tasa de Falla'!BQ48=0,"",'[1]Tasa de Falla'!BQ48)</f>
      </c>
      <c r="I48" s="449">
        <f>IF('[1]Tasa de Falla'!BR48=0,"",'[1]Tasa de Falla'!BR48)</f>
      </c>
      <c r="J48" s="449">
        <f>IF('[1]Tasa de Falla'!BS48=0,"",'[1]Tasa de Falla'!BS48)</f>
      </c>
      <c r="K48" s="449">
        <f>IF('[1]Tasa de Falla'!BT48=0,"",'[1]Tasa de Falla'!BT48)</f>
      </c>
      <c r="L48" s="449">
        <f>IF('[1]Tasa de Falla'!BU48=0,"",'[1]Tasa de Falla'!BU48)</f>
      </c>
      <c r="M48" s="449">
        <f>IF('[1]Tasa de Falla'!BV48=0,"",'[1]Tasa de Falla'!BV48)</f>
      </c>
      <c r="N48" s="449">
        <f>IF('[1]Tasa de Falla'!BW48=0,"",'[1]Tasa de Falla'!BW48)</f>
      </c>
      <c r="O48" s="449">
        <f>IF('[1]Tasa de Falla'!BX48=0,"",'[1]Tasa de Falla'!BX48)</f>
      </c>
      <c r="P48" s="449">
        <f>IF('[1]Tasa de Falla'!BY48=0,"",'[1]Tasa de Falla'!BY48)</f>
      </c>
      <c r="Q48" s="449">
        <f>IF('[1]Tasa de Falla'!BZ48=0,"",'[1]Tasa de Falla'!BZ48)</f>
      </c>
      <c r="R48" s="449">
        <f>IF('[1]Tasa de Falla'!CA48=0,"",'[1]Tasa de Falla'!CA48)</f>
        <v>1</v>
      </c>
      <c r="S48" s="444"/>
      <c r="T48" s="445"/>
    </row>
    <row r="49" spans="2:20" s="432" customFormat="1" ht="19.5" customHeight="1">
      <c r="B49" s="433"/>
      <c r="C49" s="440">
        <f>'[1]Tasa de Falla'!C49</f>
        <v>33</v>
      </c>
      <c r="D49" s="441" t="str">
        <f>'[1]Tasa de Falla'!D49</f>
        <v>SAN MARTIN C. - LA RIOJA</v>
      </c>
      <c r="E49" s="441">
        <f>'[1]Tasa de Falla'!E49</f>
        <v>132</v>
      </c>
      <c r="F49" s="442">
        <f>'[1]Tasa de Falla'!F49</f>
        <v>105</v>
      </c>
      <c r="G49" s="450">
        <f>IF('[1]Tasa de Falla'!BP49=0,"",'[1]Tasa de Falla'!BP49)</f>
      </c>
      <c r="H49" s="450">
        <f>IF('[1]Tasa de Falla'!BQ49=0,"",'[1]Tasa de Falla'!BQ49)</f>
      </c>
      <c r="I49" s="450">
        <f>IF('[1]Tasa de Falla'!BR49=0,"",'[1]Tasa de Falla'!BR49)</f>
      </c>
      <c r="J49" s="450">
        <f>IF('[1]Tasa de Falla'!BS49=0,"",'[1]Tasa de Falla'!BS49)</f>
      </c>
      <c r="K49" s="450">
        <f>IF('[1]Tasa de Falla'!BT49=0,"",'[1]Tasa de Falla'!BT49)</f>
      </c>
      <c r="L49" s="450">
        <f>IF('[1]Tasa de Falla'!BU49=0,"",'[1]Tasa de Falla'!BU49)</f>
      </c>
      <c r="M49" s="450">
        <f>IF('[1]Tasa de Falla'!BV49=0,"",'[1]Tasa de Falla'!BV49)</f>
      </c>
      <c r="N49" s="450">
        <f>IF('[1]Tasa de Falla'!BW49=0,"",'[1]Tasa de Falla'!BW49)</f>
      </c>
      <c r="O49" s="450">
        <f>IF('[1]Tasa de Falla'!BX49=0,"",'[1]Tasa de Falla'!BX49)</f>
      </c>
      <c r="P49" s="450">
        <f>IF('[1]Tasa de Falla'!BY49=0,"",'[1]Tasa de Falla'!BY49)</f>
      </c>
      <c r="Q49" s="450">
        <f>IF('[1]Tasa de Falla'!BZ49=0,"",'[1]Tasa de Falla'!BZ49)</f>
      </c>
      <c r="R49" s="450">
        <f>IF('[1]Tasa de Falla'!CA49=0,"",'[1]Tasa de Falla'!CA49)</f>
      </c>
      <c r="S49" s="444"/>
      <c r="T49" s="445"/>
    </row>
    <row r="50" spans="2:20" s="432" customFormat="1" ht="19.5" customHeight="1">
      <c r="B50" s="433"/>
      <c r="C50" s="446">
        <f>'[1]Tasa de Falla'!C50</f>
        <v>34</v>
      </c>
      <c r="D50" s="451" t="str">
        <f>'[1]Tasa de Falla'!D50</f>
        <v>SAN PEDRO JUJUY - LIBERTADOR NOA.</v>
      </c>
      <c r="E50" s="451">
        <f>'[1]Tasa de Falla'!E50</f>
        <v>132</v>
      </c>
      <c r="F50" s="452">
        <f>'[1]Tasa de Falla'!F50</f>
        <v>49</v>
      </c>
      <c r="G50" s="449">
        <f>IF('[1]Tasa de Falla'!BP50=0,"",'[1]Tasa de Falla'!BP50)</f>
      </c>
      <c r="H50" s="449">
        <f>IF('[1]Tasa de Falla'!BQ50=0,"",'[1]Tasa de Falla'!BQ50)</f>
      </c>
      <c r="I50" s="449">
        <f>IF('[1]Tasa de Falla'!BR50=0,"",'[1]Tasa de Falla'!BR50)</f>
        <v>1</v>
      </c>
      <c r="J50" s="449">
        <f>IF('[1]Tasa de Falla'!BS50=0,"",'[1]Tasa de Falla'!BS50)</f>
      </c>
      <c r="K50" s="449">
        <f>IF('[1]Tasa de Falla'!BT50=0,"",'[1]Tasa de Falla'!BT50)</f>
      </c>
      <c r="L50" s="449">
        <f>IF('[1]Tasa de Falla'!BU50=0,"",'[1]Tasa de Falla'!BU50)</f>
      </c>
      <c r="M50" s="449">
        <f>IF('[1]Tasa de Falla'!BV50=0,"",'[1]Tasa de Falla'!BV50)</f>
        <v>1</v>
      </c>
      <c r="N50" s="449">
        <f>IF('[1]Tasa de Falla'!BW50=0,"",'[1]Tasa de Falla'!BW50)</f>
        <v>1</v>
      </c>
      <c r="O50" s="449">
        <f>IF('[1]Tasa de Falla'!BX50=0,"",'[1]Tasa de Falla'!BX50)</f>
        <v>1</v>
      </c>
      <c r="P50" s="449">
        <f>IF('[1]Tasa de Falla'!BY50=0,"",'[1]Tasa de Falla'!BY50)</f>
      </c>
      <c r="Q50" s="449">
        <f>IF('[1]Tasa de Falla'!BZ50=0,"",'[1]Tasa de Falla'!BZ50)</f>
      </c>
      <c r="R50" s="449">
        <f>IF('[1]Tasa de Falla'!CA50=0,"",'[1]Tasa de Falla'!CA50)</f>
      </c>
      <c r="S50" s="444"/>
      <c r="T50" s="445"/>
    </row>
    <row r="51" spans="2:20" s="432" customFormat="1" ht="19.5" customHeight="1">
      <c r="B51" s="433"/>
      <c r="C51" s="440">
        <f>'[1]Tasa de Falla'!C51</f>
        <v>35</v>
      </c>
      <c r="D51" s="441" t="str">
        <f>'[1]Tasa de Falla'!D51</f>
        <v>TUCUMAN NORTE - EL BRACHO</v>
      </c>
      <c r="E51" s="441">
        <f>'[1]Tasa de Falla'!E51</f>
        <v>132</v>
      </c>
      <c r="F51" s="442">
        <f>'[1]Tasa de Falla'!F51</f>
        <v>31.5</v>
      </c>
      <c r="G51" s="450">
        <f>IF('[1]Tasa de Falla'!BP51=0,"",'[1]Tasa de Falla'!BP51)</f>
      </c>
      <c r="H51" s="450">
        <f>IF('[1]Tasa de Falla'!BQ51=0,"",'[1]Tasa de Falla'!BQ51)</f>
      </c>
      <c r="I51" s="450">
        <f>IF('[1]Tasa de Falla'!BR51=0,"",'[1]Tasa de Falla'!BR51)</f>
      </c>
      <c r="J51" s="450">
        <f>IF('[1]Tasa de Falla'!BS51=0,"",'[1]Tasa de Falla'!BS51)</f>
      </c>
      <c r="K51" s="450">
        <f>IF('[1]Tasa de Falla'!BT51=0,"",'[1]Tasa de Falla'!BT51)</f>
        <v>1</v>
      </c>
      <c r="L51" s="450">
        <f>IF('[1]Tasa de Falla'!BU51=0,"",'[1]Tasa de Falla'!BU51)</f>
      </c>
      <c r="M51" s="450">
        <f>IF('[1]Tasa de Falla'!BV51=0,"",'[1]Tasa de Falla'!BV51)</f>
      </c>
      <c r="N51" s="450">
        <f>IF('[1]Tasa de Falla'!BW51=0,"",'[1]Tasa de Falla'!BW51)</f>
      </c>
      <c r="O51" s="450">
        <f>IF('[1]Tasa de Falla'!BX51=0,"",'[1]Tasa de Falla'!BX51)</f>
      </c>
      <c r="P51" s="450">
        <f>IF('[1]Tasa de Falla'!BY51=0,"",'[1]Tasa de Falla'!BY51)</f>
      </c>
      <c r="Q51" s="450">
        <f>IF('[1]Tasa de Falla'!BZ51=0,"",'[1]Tasa de Falla'!BZ51)</f>
      </c>
      <c r="R51" s="450">
        <f>IF('[1]Tasa de Falla'!CA51=0,"",'[1]Tasa de Falla'!CA51)</f>
      </c>
      <c r="S51" s="444"/>
      <c r="T51" s="445"/>
    </row>
    <row r="52" spans="2:20" s="432" customFormat="1" ht="19.5" customHeight="1">
      <c r="B52" s="433"/>
      <c r="C52" s="446">
        <f>'[1]Tasa de Falla'!C52</f>
        <v>36</v>
      </c>
      <c r="D52" s="451" t="str">
        <f>'[1]Tasa de Falla'!D52</f>
        <v>C.H. EL CADILLAL - TUCUMAN NORTE</v>
      </c>
      <c r="E52" s="451">
        <f>'[1]Tasa de Falla'!E52</f>
        <v>132</v>
      </c>
      <c r="F52" s="452">
        <f>'[1]Tasa de Falla'!F52</f>
        <v>21.78</v>
      </c>
      <c r="G52" s="449">
        <f>IF('[1]Tasa de Falla'!BP52=0,"",'[1]Tasa de Falla'!BP52)</f>
      </c>
      <c r="H52" s="449">
        <f>IF('[1]Tasa de Falla'!BQ52=0,"",'[1]Tasa de Falla'!BQ52)</f>
      </c>
      <c r="I52" s="449">
        <f>IF('[1]Tasa de Falla'!BR52=0,"",'[1]Tasa de Falla'!BR52)</f>
      </c>
      <c r="J52" s="449">
        <f>IF('[1]Tasa de Falla'!BS52=0,"",'[1]Tasa de Falla'!BS52)</f>
      </c>
      <c r="K52" s="449">
        <f>IF('[1]Tasa de Falla'!BT52=0,"",'[1]Tasa de Falla'!BT52)</f>
      </c>
      <c r="L52" s="449">
        <f>IF('[1]Tasa de Falla'!BU52=0,"",'[1]Tasa de Falla'!BU52)</f>
      </c>
      <c r="M52" s="449">
        <f>IF('[1]Tasa de Falla'!BV52=0,"",'[1]Tasa de Falla'!BV52)</f>
      </c>
      <c r="N52" s="449">
        <f>IF('[1]Tasa de Falla'!BW52=0,"",'[1]Tasa de Falla'!BW52)</f>
      </c>
      <c r="O52" s="449">
        <f>IF('[1]Tasa de Falla'!BX52=0,"",'[1]Tasa de Falla'!BX52)</f>
      </c>
      <c r="P52" s="449">
        <f>IF('[1]Tasa de Falla'!BY52=0,"",'[1]Tasa de Falla'!BY52)</f>
      </c>
      <c r="Q52" s="449">
        <f>IF('[1]Tasa de Falla'!BZ52=0,"",'[1]Tasa de Falla'!BZ52)</f>
        <v>1</v>
      </c>
      <c r="R52" s="449">
        <f>IF('[1]Tasa de Falla'!CA52=0,"",'[1]Tasa de Falla'!CA52)</f>
      </c>
      <c r="S52" s="444"/>
      <c r="T52" s="445"/>
    </row>
    <row r="53" spans="2:20" s="432" customFormat="1" ht="19.5" customHeight="1">
      <c r="B53" s="433"/>
      <c r="C53" s="440">
        <f>'[1]Tasa de Falla'!C53</f>
        <v>37</v>
      </c>
      <c r="D53" s="441" t="str">
        <f>'[1]Tasa de Falla'!D53</f>
        <v>TUCUMAN NORTE - CABRA CORRAL</v>
      </c>
      <c r="E53" s="441">
        <f>'[1]Tasa de Falla'!E53</f>
        <v>132</v>
      </c>
      <c r="F53" s="442">
        <f>'[1]Tasa de Falla'!F53</f>
        <v>190</v>
      </c>
      <c r="G53" s="450">
        <f>IF('[1]Tasa de Falla'!BP53=0,"",'[1]Tasa de Falla'!BP53)</f>
      </c>
      <c r="H53" s="450">
        <f>IF('[1]Tasa de Falla'!BQ53=0,"",'[1]Tasa de Falla'!BQ53)</f>
        <v>1</v>
      </c>
      <c r="I53" s="450">
        <f>IF('[1]Tasa de Falla'!BR53=0,"",'[1]Tasa de Falla'!BR53)</f>
      </c>
      <c r="J53" s="450">
        <f>IF('[1]Tasa de Falla'!BS53=0,"",'[1]Tasa de Falla'!BS53)</f>
      </c>
      <c r="K53" s="450">
        <f>IF('[1]Tasa de Falla'!BT53=0,"",'[1]Tasa de Falla'!BT53)</f>
        <v>1</v>
      </c>
      <c r="L53" s="450">
        <f>IF('[1]Tasa de Falla'!BU53=0,"",'[1]Tasa de Falla'!BU53)</f>
        <v>3</v>
      </c>
      <c r="M53" s="450">
        <f>IF('[1]Tasa de Falla'!BV53=0,"",'[1]Tasa de Falla'!BV53)</f>
        <v>1</v>
      </c>
      <c r="N53" s="450" t="str">
        <f>IF('[1]Tasa de Falla'!BW53=0,"",'[1]Tasa de Falla'!BW53)</f>
        <v>XXXX</v>
      </c>
      <c r="O53" s="450" t="str">
        <f>IF('[1]Tasa de Falla'!BX53=0,"",'[1]Tasa de Falla'!BX53)</f>
        <v>XXXX</v>
      </c>
      <c r="P53" s="450" t="str">
        <f>IF('[1]Tasa de Falla'!BY53=0,"",'[1]Tasa de Falla'!BY53)</f>
        <v>XXXX</v>
      </c>
      <c r="Q53" s="450" t="str">
        <f>IF('[1]Tasa de Falla'!BZ53=0,"",'[1]Tasa de Falla'!BZ53)</f>
        <v>XXXX</v>
      </c>
      <c r="R53" s="450" t="str">
        <f>IF('[1]Tasa de Falla'!CA53=0,"",'[1]Tasa de Falla'!CA53)</f>
        <v>XXXX</v>
      </c>
      <c r="S53" s="444"/>
      <c r="T53" s="445"/>
    </row>
    <row r="54" spans="2:20" s="432" customFormat="1" ht="19.5" customHeight="1">
      <c r="B54" s="433"/>
      <c r="C54" s="446">
        <f>'[1]Tasa de Falla'!C54</f>
        <v>38</v>
      </c>
      <c r="D54" s="451" t="str">
        <f>'[1]Tasa de Falla'!D54</f>
        <v>METAN - TUCUMAN NORTE</v>
      </c>
      <c r="E54" s="451">
        <f>'[1]Tasa de Falla'!E54</f>
        <v>132</v>
      </c>
      <c r="F54" s="452">
        <f>'[1]Tasa de Falla'!F54</f>
        <v>155.6</v>
      </c>
      <c r="G54" s="449">
        <f>IF('[1]Tasa de Falla'!BP54=0,"",'[1]Tasa de Falla'!BP54)</f>
        <v>1</v>
      </c>
      <c r="H54" s="449">
        <f>IF('[1]Tasa de Falla'!BQ54=0,"",'[1]Tasa de Falla'!BQ54)</f>
        <v>1</v>
      </c>
      <c r="I54" s="449">
        <f>IF('[1]Tasa de Falla'!BR54=0,"",'[1]Tasa de Falla'!BR54)</f>
        <v>1</v>
      </c>
      <c r="J54" s="449">
        <f>IF('[1]Tasa de Falla'!BS54=0,"",'[1]Tasa de Falla'!BS54)</f>
      </c>
      <c r="K54" s="449">
        <f>IF('[1]Tasa de Falla'!BT54=0,"",'[1]Tasa de Falla'!BT54)</f>
      </c>
      <c r="L54" s="449">
        <f>IF('[1]Tasa de Falla'!BU54=0,"",'[1]Tasa de Falla'!BU54)</f>
      </c>
      <c r="M54" s="449">
        <f>IF('[1]Tasa de Falla'!BV54=0,"",'[1]Tasa de Falla'!BV54)</f>
      </c>
      <c r="N54" s="449">
        <f>IF('[1]Tasa de Falla'!BW54=0,"",'[1]Tasa de Falla'!BW54)</f>
        <v>1</v>
      </c>
      <c r="O54" s="449">
        <f>IF('[1]Tasa de Falla'!BX54=0,"",'[1]Tasa de Falla'!BX54)</f>
      </c>
      <c r="P54" s="449">
        <f>IF('[1]Tasa de Falla'!BY54=0,"",'[1]Tasa de Falla'!BY54)</f>
        <v>1</v>
      </c>
      <c r="Q54" s="449">
        <f>IF('[1]Tasa de Falla'!BZ54=0,"",'[1]Tasa de Falla'!BZ54)</f>
      </c>
      <c r="R54" s="449">
        <f>IF('[1]Tasa de Falla'!CA54=0,"",'[1]Tasa de Falla'!CA54)</f>
      </c>
      <c r="S54" s="444"/>
      <c r="T54" s="445"/>
    </row>
    <row r="55" spans="2:20" s="432" customFormat="1" ht="19.5" customHeight="1">
      <c r="B55" s="433"/>
      <c r="C55" s="440">
        <f>'[1]Tasa de Falla'!C55</f>
        <v>39</v>
      </c>
      <c r="D55" s="441" t="str">
        <f>'[1]Tasa de Falla'!D55</f>
        <v>SARMIENTO - TUCUMAN NORTE (O.F.)</v>
      </c>
      <c r="E55" s="441">
        <f>'[1]Tasa de Falla'!E55</f>
        <v>132</v>
      </c>
      <c r="F55" s="442">
        <f>'[1]Tasa de Falla'!F55</f>
        <v>3.3</v>
      </c>
      <c r="G55" s="450">
        <f>IF('[1]Tasa de Falla'!BP55=0,"",'[1]Tasa de Falla'!BP55)</f>
      </c>
      <c r="H55" s="450">
        <f>IF('[1]Tasa de Falla'!BQ55=0,"",'[1]Tasa de Falla'!BQ55)</f>
      </c>
      <c r="I55" s="450">
        <f>IF('[1]Tasa de Falla'!BR55=0,"",'[1]Tasa de Falla'!BR55)</f>
      </c>
      <c r="J55" s="450">
        <f>IF('[1]Tasa de Falla'!BS55=0,"",'[1]Tasa de Falla'!BS55)</f>
      </c>
      <c r="K55" s="450">
        <f>IF('[1]Tasa de Falla'!BT55=0,"",'[1]Tasa de Falla'!BT55)</f>
      </c>
      <c r="L55" s="450">
        <f>IF('[1]Tasa de Falla'!BU55=0,"",'[1]Tasa de Falla'!BU55)</f>
      </c>
      <c r="M55" s="450">
        <f>IF('[1]Tasa de Falla'!BV55=0,"",'[1]Tasa de Falla'!BV55)</f>
      </c>
      <c r="N55" s="450">
        <f>IF('[1]Tasa de Falla'!BW55=0,"",'[1]Tasa de Falla'!BW55)</f>
      </c>
      <c r="O55" s="450">
        <f>IF('[1]Tasa de Falla'!BX55=0,"",'[1]Tasa de Falla'!BX55)</f>
      </c>
      <c r="P55" s="450">
        <f>IF('[1]Tasa de Falla'!BY55=0,"",'[1]Tasa de Falla'!BY55)</f>
      </c>
      <c r="Q55" s="450">
        <f>IF('[1]Tasa de Falla'!BZ55=0,"",'[1]Tasa de Falla'!BZ55)</f>
      </c>
      <c r="R55" s="450">
        <f>IF('[1]Tasa de Falla'!CA55=0,"",'[1]Tasa de Falla'!CA55)</f>
      </c>
      <c r="S55" s="444"/>
      <c r="T55" s="445"/>
    </row>
    <row r="56" spans="2:20" s="432" customFormat="1" ht="19.5" customHeight="1">
      <c r="B56" s="433"/>
      <c r="C56" s="446">
        <f>'[1]Tasa de Falla'!C56</f>
        <v>40</v>
      </c>
      <c r="D56" s="451" t="str">
        <f>'[1]Tasa de Falla'!D56</f>
        <v>TUCUMAN OESTE - TUCUMAN NORTE</v>
      </c>
      <c r="E56" s="451">
        <f>'[1]Tasa de Falla'!E56</f>
        <v>132</v>
      </c>
      <c r="F56" s="452">
        <f>'[1]Tasa de Falla'!F56</f>
        <v>7</v>
      </c>
      <c r="G56" s="449">
        <f>IF('[1]Tasa de Falla'!BP56=0,"",'[1]Tasa de Falla'!BP56)</f>
      </c>
      <c r="H56" s="449">
        <f>IF('[1]Tasa de Falla'!BQ56=0,"",'[1]Tasa de Falla'!BQ56)</f>
      </c>
      <c r="I56" s="449">
        <f>IF('[1]Tasa de Falla'!BR56=0,"",'[1]Tasa de Falla'!BR56)</f>
      </c>
      <c r="J56" s="449">
        <f>IF('[1]Tasa de Falla'!BS56=0,"",'[1]Tasa de Falla'!BS56)</f>
      </c>
      <c r="K56" s="449">
        <f>IF('[1]Tasa de Falla'!BT56=0,"",'[1]Tasa de Falla'!BT56)</f>
      </c>
      <c r="L56" s="449">
        <f>IF('[1]Tasa de Falla'!BU56=0,"",'[1]Tasa de Falla'!BU56)</f>
      </c>
      <c r="M56" s="449">
        <f>IF('[1]Tasa de Falla'!BV56=0,"",'[1]Tasa de Falla'!BV56)</f>
      </c>
      <c r="N56" s="449">
        <f>IF('[1]Tasa de Falla'!BW56=0,"",'[1]Tasa de Falla'!BW56)</f>
      </c>
      <c r="O56" s="449">
        <f>IF('[1]Tasa de Falla'!BX56=0,"",'[1]Tasa de Falla'!BX56)</f>
      </c>
      <c r="P56" s="449">
        <f>IF('[1]Tasa de Falla'!BY56=0,"",'[1]Tasa de Falla'!BY56)</f>
      </c>
      <c r="Q56" s="449">
        <f>IF('[1]Tasa de Falla'!BZ56=0,"",'[1]Tasa de Falla'!BZ56)</f>
      </c>
      <c r="R56" s="449">
        <f>IF('[1]Tasa de Falla'!CA56=0,"",'[1]Tasa de Falla'!CA56)</f>
      </c>
      <c r="S56" s="444"/>
      <c r="T56" s="445"/>
    </row>
    <row r="57" spans="2:20" s="432" customFormat="1" ht="19.5" customHeight="1">
      <c r="B57" s="433"/>
      <c r="C57" s="440">
        <f>'[1]Tasa de Falla'!C57</f>
        <v>41</v>
      </c>
      <c r="D57" s="441" t="str">
        <f>'[1]Tasa de Falla'!D57</f>
        <v>AGUILARES - VILLA QUINTEROS</v>
      </c>
      <c r="E57" s="441">
        <f>'[1]Tasa de Falla'!E57</f>
        <v>132</v>
      </c>
      <c r="F57" s="442">
        <f>'[1]Tasa de Falla'!F57</f>
        <v>21</v>
      </c>
      <c r="G57" s="450">
        <f>IF('[1]Tasa de Falla'!BP57=0,"",'[1]Tasa de Falla'!BP57)</f>
      </c>
      <c r="H57" s="450">
        <f>IF('[1]Tasa de Falla'!BQ57=0,"",'[1]Tasa de Falla'!BQ57)</f>
      </c>
      <c r="I57" s="450">
        <f>IF('[1]Tasa de Falla'!BR57=0,"",'[1]Tasa de Falla'!BR57)</f>
      </c>
      <c r="J57" s="450">
        <f>IF('[1]Tasa de Falla'!BS57=0,"",'[1]Tasa de Falla'!BS57)</f>
      </c>
      <c r="K57" s="450">
        <f>IF('[1]Tasa de Falla'!BT57=0,"",'[1]Tasa de Falla'!BT57)</f>
      </c>
      <c r="L57" s="450">
        <f>IF('[1]Tasa de Falla'!BU57=0,"",'[1]Tasa de Falla'!BU57)</f>
      </c>
      <c r="M57" s="450">
        <f>IF('[1]Tasa de Falla'!BV57=0,"",'[1]Tasa de Falla'!BV57)</f>
      </c>
      <c r="N57" s="450" t="str">
        <f>IF('[1]Tasa de Falla'!BW57=0,"",'[1]Tasa de Falla'!BW57)</f>
        <v>I</v>
      </c>
      <c r="O57" s="450">
        <f>IF('[1]Tasa de Falla'!BX57=0,"",'[1]Tasa de Falla'!BX57)</f>
      </c>
      <c r="P57" s="450">
        <f>IF('[1]Tasa de Falla'!BY57=0,"",'[1]Tasa de Falla'!BY57)</f>
      </c>
      <c r="Q57" s="450">
        <f>IF('[1]Tasa de Falla'!BZ57=0,"",'[1]Tasa de Falla'!BZ57)</f>
      </c>
      <c r="R57" s="450">
        <f>IF('[1]Tasa de Falla'!CA57=0,"",'[1]Tasa de Falla'!CA57)</f>
      </c>
      <c r="S57" s="444"/>
      <c r="T57" s="445"/>
    </row>
    <row r="58" spans="2:20" s="432" customFormat="1" ht="19.5" customHeight="1">
      <c r="B58" s="433"/>
      <c r="C58" s="446">
        <f>'[1]Tasa de Falla'!C58</f>
        <v>42</v>
      </c>
      <c r="D58" s="447" t="str">
        <f>'[1]Tasa de Falla'!D58</f>
        <v>C.H. PUEBLO VIEJO - VILLA QUINTEROS </v>
      </c>
      <c r="E58" s="447">
        <f>'[1]Tasa de Falla'!E58</f>
        <v>132</v>
      </c>
      <c r="F58" s="448">
        <f>'[1]Tasa de Falla'!F58</f>
        <v>24.5</v>
      </c>
      <c r="G58" s="449">
        <f>IF('[1]Tasa de Falla'!BP58=0,"",'[1]Tasa de Falla'!BP58)</f>
      </c>
      <c r="H58" s="449">
        <f>IF('[1]Tasa de Falla'!BQ58=0,"",'[1]Tasa de Falla'!BQ58)</f>
      </c>
      <c r="I58" s="449">
        <f>IF('[1]Tasa de Falla'!BR58=0,"",'[1]Tasa de Falla'!BR58)</f>
      </c>
      <c r="J58" s="449">
        <f>IF('[1]Tasa de Falla'!BS58=0,"",'[1]Tasa de Falla'!BS58)</f>
      </c>
      <c r="K58" s="449">
        <f>IF('[1]Tasa de Falla'!BT58=0,"",'[1]Tasa de Falla'!BT58)</f>
      </c>
      <c r="L58" s="449">
        <f>IF('[1]Tasa de Falla'!BU58=0,"",'[1]Tasa de Falla'!BU58)</f>
      </c>
      <c r="M58" s="449">
        <f>IF('[1]Tasa de Falla'!BV58=0,"",'[1]Tasa de Falla'!BV58)</f>
      </c>
      <c r="N58" s="449" t="str">
        <f>IF('[1]Tasa de Falla'!BW58=0,"",'[1]Tasa de Falla'!BW58)</f>
        <v>I</v>
      </c>
      <c r="O58" s="449">
        <f>IF('[1]Tasa de Falla'!BX58=0,"",'[1]Tasa de Falla'!BX58)</f>
      </c>
      <c r="P58" s="449">
        <f>IF('[1]Tasa de Falla'!BY58=0,"",'[1]Tasa de Falla'!BY58)</f>
      </c>
      <c r="Q58" s="449">
        <f>IF('[1]Tasa de Falla'!BZ58=0,"",'[1]Tasa de Falla'!BZ58)</f>
      </c>
      <c r="R58" s="449">
        <f>IF('[1]Tasa de Falla'!CA58=0,"",'[1]Tasa de Falla'!CA58)</f>
      </c>
      <c r="S58" s="444"/>
      <c r="T58" s="445"/>
    </row>
    <row r="59" spans="2:20" s="432" customFormat="1" ht="19.5" customHeight="1">
      <c r="B59" s="433"/>
      <c r="C59" s="440">
        <f>'[1]Tasa de Falla'!C59</f>
        <v>43</v>
      </c>
      <c r="D59" s="441" t="str">
        <f>'[1]Tasa de Falla'!D59</f>
        <v>C.H. RIO HONDO - VILLA QUINTEROS</v>
      </c>
      <c r="E59" s="441">
        <f>'[1]Tasa de Falla'!E59</f>
        <v>132</v>
      </c>
      <c r="F59" s="442">
        <f>'[1]Tasa de Falla'!F59</f>
        <v>75.4</v>
      </c>
      <c r="G59" s="450">
        <f>IF('[1]Tasa de Falla'!BP59=0,"",'[1]Tasa de Falla'!BP59)</f>
      </c>
      <c r="H59" s="450">
        <f>IF('[1]Tasa de Falla'!BQ59=0,"",'[1]Tasa de Falla'!BQ59)</f>
        <v>1</v>
      </c>
      <c r="I59" s="450">
        <f>IF('[1]Tasa de Falla'!BR59=0,"",'[1]Tasa de Falla'!BR59)</f>
      </c>
      <c r="J59" s="450">
        <f>IF('[1]Tasa de Falla'!BS59=0,"",'[1]Tasa de Falla'!BS59)</f>
      </c>
      <c r="K59" s="450">
        <f>IF('[1]Tasa de Falla'!BT59=0,"",'[1]Tasa de Falla'!BT59)</f>
      </c>
      <c r="L59" s="450">
        <f>IF('[1]Tasa de Falla'!BU59=0,"",'[1]Tasa de Falla'!BU59)</f>
      </c>
      <c r="M59" s="450">
        <f>IF('[1]Tasa de Falla'!BV59=0,"",'[1]Tasa de Falla'!BV59)</f>
      </c>
      <c r="N59" s="450">
        <f>IF('[1]Tasa de Falla'!BW59=0,"",'[1]Tasa de Falla'!BW59)</f>
      </c>
      <c r="O59" s="450">
        <f>IF('[1]Tasa de Falla'!BX59=0,"",'[1]Tasa de Falla'!BX59)</f>
        <v>1</v>
      </c>
      <c r="P59" s="450">
        <f>IF('[1]Tasa de Falla'!BY59=0,"",'[1]Tasa de Falla'!BY59)</f>
      </c>
      <c r="Q59" s="450">
        <f>IF('[1]Tasa de Falla'!BZ59=0,"",'[1]Tasa de Falla'!BZ59)</f>
      </c>
      <c r="R59" s="450">
        <f>IF('[1]Tasa de Falla'!CA59=0,"",'[1]Tasa de Falla'!CA59)</f>
        <v>1</v>
      </c>
      <c r="S59" s="444"/>
      <c r="T59" s="445"/>
    </row>
    <row r="60" spans="2:20" s="432" customFormat="1" ht="19.5" customHeight="1">
      <c r="B60" s="433"/>
      <c r="C60" s="446">
        <f>'[1]Tasa de Falla'!C60</f>
        <v>44</v>
      </c>
      <c r="D60" s="447" t="str">
        <f>'[1]Tasa de Falla'!D60</f>
        <v>C.H. RIO HONDO - SANTIAGO CENTRO</v>
      </c>
      <c r="E60" s="447">
        <f>'[1]Tasa de Falla'!E60</f>
        <v>132</v>
      </c>
      <c r="F60" s="448">
        <f>'[1]Tasa de Falla'!F60</f>
        <v>79</v>
      </c>
      <c r="G60" s="449">
        <f>IF('[1]Tasa de Falla'!BP60=0,"",'[1]Tasa de Falla'!BP60)</f>
      </c>
      <c r="H60" s="449">
        <f>IF('[1]Tasa de Falla'!BQ60=0,"",'[1]Tasa de Falla'!BQ60)</f>
        <v>1</v>
      </c>
      <c r="I60" s="449">
        <f>IF('[1]Tasa de Falla'!BR60=0,"",'[1]Tasa de Falla'!BR60)</f>
      </c>
      <c r="J60" s="449">
        <f>IF('[1]Tasa de Falla'!BS60=0,"",'[1]Tasa de Falla'!BS60)</f>
      </c>
      <c r="K60" s="449">
        <f>IF('[1]Tasa de Falla'!BT60=0,"",'[1]Tasa de Falla'!BT60)</f>
      </c>
      <c r="L60" s="449">
        <f>IF('[1]Tasa de Falla'!BU60=0,"",'[1]Tasa de Falla'!BU60)</f>
      </c>
      <c r="M60" s="449">
        <f>IF('[1]Tasa de Falla'!BV60=0,"",'[1]Tasa de Falla'!BV60)</f>
      </c>
      <c r="N60" s="449">
        <f>IF('[1]Tasa de Falla'!BW60=0,"",'[1]Tasa de Falla'!BW60)</f>
      </c>
      <c r="O60" s="449">
        <f>IF('[1]Tasa de Falla'!BX60=0,"",'[1]Tasa de Falla'!BX60)</f>
      </c>
      <c r="P60" s="449">
        <f>IF('[1]Tasa de Falla'!BY60=0,"",'[1]Tasa de Falla'!BY60)</f>
      </c>
      <c r="Q60" s="449">
        <f>IF('[1]Tasa de Falla'!BZ60=0,"",'[1]Tasa de Falla'!BZ60)</f>
      </c>
      <c r="R60" s="449">
        <f>IF('[1]Tasa de Falla'!CA60=0,"",'[1]Tasa de Falla'!CA60)</f>
      </c>
      <c r="S60" s="444"/>
      <c r="T60" s="445"/>
    </row>
    <row r="61" spans="2:20" s="432" customFormat="1" ht="19.5" customHeight="1">
      <c r="B61" s="433"/>
      <c r="C61" s="440">
        <f>'[1]Tasa de Falla'!C61</f>
        <v>45</v>
      </c>
      <c r="D61" s="441" t="str">
        <f>'[1]Tasa de Falla'!D61</f>
        <v>C.H. RIO HONDO - EL BRACHO</v>
      </c>
      <c r="E61" s="441">
        <f>'[1]Tasa de Falla'!E61</f>
        <v>132</v>
      </c>
      <c r="F61" s="442">
        <f>'[1]Tasa de Falla'!F61</f>
        <v>80.66</v>
      </c>
      <c r="G61" s="450">
        <f>IF('[1]Tasa de Falla'!BP61=0,"",'[1]Tasa de Falla'!BP61)</f>
      </c>
      <c r="H61" s="450">
        <f>IF('[1]Tasa de Falla'!BQ61=0,"",'[1]Tasa de Falla'!BQ61)</f>
      </c>
      <c r="I61" s="450">
        <f>IF('[1]Tasa de Falla'!BR61=0,"",'[1]Tasa de Falla'!BR61)</f>
      </c>
      <c r="J61" s="450">
        <f>IF('[1]Tasa de Falla'!BS61=0,"",'[1]Tasa de Falla'!BS61)</f>
      </c>
      <c r="K61" s="450">
        <f>IF('[1]Tasa de Falla'!BT61=0,"",'[1]Tasa de Falla'!BT61)</f>
      </c>
      <c r="L61" s="450">
        <f>IF('[1]Tasa de Falla'!BU61=0,"",'[1]Tasa de Falla'!BU61)</f>
      </c>
      <c r="M61" s="450">
        <f>IF('[1]Tasa de Falla'!BV61=0,"",'[1]Tasa de Falla'!BV61)</f>
      </c>
      <c r="N61" s="450">
        <f>IF('[1]Tasa de Falla'!BW61=0,"",'[1]Tasa de Falla'!BW61)</f>
      </c>
      <c r="O61" s="450">
        <f>IF('[1]Tasa de Falla'!BX61=0,"",'[1]Tasa de Falla'!BX61)</f>
      </c>
      <c r="P61" s="450">
        <f>IF('[1]Tasa de Falla'!BY61=0,"",'[1]Tasa de Falla'!BY61)</f>
      </c>
      <c r="Q61" s="450">
        <f>IF('[1]Tasa de Falla'!BZ61=0,"",'[1]Tasa de Falla'!BZ61)</f>
      </c>
      <c r="R61" s="450">
        <f>IF('[1]Tasa de Falla'!CA61=0,"",'[1]Tasa de Falla'!CA61)</f>
      </c>
      <c r="S61" s="444"/>
      <c r="T61" s="445"/>
    </row>
    <row r="62" spans="2:20" s="432" customFormat="1" ht="19.5" customHeight="1">
      <c r="B62" s="433"/>
      <c r="C62" s="446">
        <f>'[1]Tasa de Falla'!C62</f>
        <v>46</v>
      </c>
      <c r="D62" s="447" t="str">
        <f>'[1]Tasa de Falla'!D62</f>
        <v>SALTA SUR - SALTA NORTE</v>
      </c>
      <c r="E62" s="447">
        <f>'[1]Tasa de Falla'!E62</f>
        <v>132</v>
      </c>
      <c r="F62" s="448">
        <f>'[1]Tasa de Falla'!F62</f>
        <v>10</v>
      </c>
      <c r="G62" s="449">
        <f>IF('[1]Tasa de Falla'!BP62=0,"",'[1]Tasa de Falla'!BP62)</f>
        <v>1</v>
      </c>
      <c r="H62" s="449">
        <f>IF('[1]Tasa de Falla'!BQ62=0,"",'[1]Tasa de Falla'!BQ62)</f>
      </c>
      <c r="I62" s="449">
        <f>IF('[1]Tasa de Falla'!BR62=0,"",'[1]Tasa de Falla'!BR62)</f>
      </c>
      <c r="J62" s="449">
        <f>IF('[1]Tasa de Falla'!BS62=0,"",'[1]Tasa de Falla'!BS62)</f>
      </c>
      <c r="K62" s="449">
        <f>IF('[1]Tasa de Falla'!BT62=0,"",'[1]Tasa de Falla'!BT62)</f>
        <v>1</v>
      </c>
      <c r="L62" s="449">
        <f>IF('[1]Tasa de Falla'!BU62=0,"",'[1]Tasa de Falla'!BU62)</f>
      </c>
      <c r="M62" s="449">
        <f>IF('[1]Tasa de Falla'!BV62=0,"",'[1]Tasa de Falla'!BV62)</f>
      </c>
      <c r="N62" s="449">
        <f>IF('[1]Tasa de Falla'!BW62=0,"",'[1]Tasa de Falla'!BW62)</f>
      </c>
      <c r="O62" s="449">
        <f>IF('[1]Tasa de Falla'!BX62=0,"",'[1]Tasa de Falla'!BX62)</f>
        <v>2</v>
      </c>
      <c r="P62" s="449">
        <f>IF('[1]Tasa de Falla'!BY62=0,"",'[1]Tasa de Falla'!BY62)</f>
      </c>
      <c r="Q62" s="449">
        <f>IF('[1]Tasa de Falla'!BZ62=0,"",'[1]Tasa de Falla'!BZ62)</f>
      </c>
      <c r="R62" s="449">
        <f>IF('[1]Tasa de Falla'!CA62=0,"",'[1]Tasa de Falla'!CA62)</f>
      </c>
      <c r="S62" s="444"/>
      <c r="T62" s="445"/>
    </row>
    <row r="63" spans="2:20" s="432" customFormat="1" ht="19.5" customHeight="1">
      <c r="B63" s="433"/>
      <c r="C63" s="440">
        <f>'[1]Tasa de Falla'!C63</f>
        <v>47</v>
      </c>
      <c r="D63" s="441" t="str">
        <f>'[1]Tasa de Falla'!D63</f>
        <v>PALPALA - JUJUY ESTE</v>
      </c>
      <c r="E63" s="441">
        <f>'[1]Tasa de Falla'!E63</f>
        <v>132</v>
      </c>
      <c r="F63" s="442">
        <f>'[1]Tasa de Falla'!F63</f>
        <v>12.25</v>
      </c>
      <c r="G63" s="450">
        <f>IF('[1]Tasa de Falla'!BP63=0,"",'[1]Tasa de Falla'!BP63)</f>
      </c>
      <c r="H63" s="450">
        <f>IF('[1]Tasa de Falla'!BQ63=0,"",'[1]Tasa de Falla'!BQ63)</f>
      </c>
      <c r="I63" s="450">
        <f>IF('[1]Tasa de Falla'!BR63=0,"",'[1]Tasa de Falla'!BR63)</f>
      </c>
      <c r="J63" s="450">
        <f>IF('[1]Tasa de Falla'!BS63=0,"",'[1]Tasa de Falla'!BS63)</f>
      </c>
      <c r="K63" s="450">
        <f>IF('[1]Tasa de Falla'!BT63=0,"",'[1]Tasa de Falla'!BT63)</f>
      </c>
      <c r="L63" s="450">
        <f>IF('[1]Tasa de Falla'!BU63=0,"",'[1]Tasa de Falla'!BU63)</f>
      </c>
      <c r="M63" s="450">
        <f>IF('[1]Tasa de Falla'!BV63=0,"",'[1]Tasa de Falla'!BV63)</f>
      </c>
      <c r="N63" s="450">
        <f>IF('[1]Tasa de Falla'!BW63=0,"",'[1]Tasa de Falla'!BW63)</f>
      </c>
      <c r="O63" s="450">
        <f>IF('[1]Tasa de Falla'!BX63=0,"",'[1]Tasa de Falla'!BX63)</f>
      </c>
      <c r="P63" s="450">
        <f>IF('[1]Tasa de Falla'!BY63=0,"",'[1]Tasa de Falla'!BY63)</f>
      </c>
      <c r="Q63" s="450">
        <f>IF('[1]Tasa de Falla'!BZ63=0,"",'[1]Tasa de Falla'!BZ63)</f>
      </c>
      <c r="R63" s="450">
        <f>IF('[1]Tasa de Falla'!CA63=0,"",'[1]Tasa de Falla'!CA63)</f>
      </c>
      <c r="S63" s="444"/>
      <c r="T63" s="445"/>
    </row>
    <row r="64" spans="2:20" s="432" customFormat="1" ht="19.5" customHeight="1">
      <c r="B64" s="433"/>
      <c r="C64" s="446">
        <f>'[1]Tasa de Falla'!C64</f>
        <v>48</v>
      </c>
      <c r="D64" s="447" t="str">
        <f>'[1]Tasa de Falla'!D64</f>
        <v>JUJUY ESTE - JUJUY SUR</v>
      </c>
      <c r="E64" s="447">
        <f>'[1]Tasa de Falla'!E64</f>
        <v>132</v>
      </c>
      <c r="F64" s="448">
        <f>'[1]Tasa de Falla'!F64</f>
        <v>4.25</v>
      </c>
      <c r="G64" s="449">
        <f>IF('[1]Tasa de Falla'!BP64=0,"",'[1]Tasa de Falla'!BP64)</f>
      </c>
      <c r="H64" s="449">
        <f>IF('[1]Tasa de Falla'!BQ64=0,"",'[1]Tasa de Falla'!BQ64)</f>
      </c>
      <c r="I64" s="449">
        <f>IF('[1]Tasa de Falla'!BR64=0,"",'[1]Tasa de Falla'!BR64)</f>
      </c>
      <c r="J64" s="449">
        <f>IF('[1]Tasa de Falla'!BS64=0,"",'[1]Tasa de Falla'!BS64)</f>
      </c>
      <c r="K64" s="449">
        <f>IF('[1]Tasa de Falla'!BT64=0,"",'[1]Tasa de Falla'!BT64)</f>
      </c>
      <c r="L64" s="449">
        <f>IF('[1]Tasa de Falla'!BU64=0,"",'[1]Tasa de Falla'!BU64)</f>
      </c>
      <c r="M64" s="449">
        <f>IF('[1]Tasa de Falla'!BV64=0,"",'[1]Tasa de Falla'!BV64)</f>
      </c>
      <c r="N64" s="449">
        <f>IF('[1]Tasa de Falla'!BW64=0,"",'[1]Tasa de Falla'!BW64)</f>
      </c>
      <c r="O64" s="449">
        <f>IF('[1]Tasa de Falla'!BX64=0,"",'[1]Tasa de Falla'!BX64)</f>
      </c>
      <c r="P64" s="449">
        <f>IF('[1]Tasa de Falla'!BY64=0,"",'[1]Tasa de Falla'!BY64)</f>
      </c>
      <c r="Q64" s="449">
        <f>IF('[1]Tasa de Falla'!BZ64=0,"",'[1]Tasa de Falla'!BZ64)</f>
      </c>
      <c r="R64" s="449">
        <f>IF('[1]Tasa de Falla'!CA64=0,"",'[1]Tasa de Falla'!CA64)</f>
      </c>
      <c r="S64" s="444"/>
      <c r="T64" s="445"/>
    </row>
    <row r="65" spans="2:20" s="432" customFormat="1" ht="19.5" customHeight="1">
      <c r="B65" s="433"/>
      <c r="C65" s="440">
        <f>'[1]Tasa de Falla'!C65</f>
        <v>49</v>
      </c>
      <c r="D65" s="441" t="str">
        <f>'[1]Tasa de Falla'!D65</f>
        <v>CEVIL POZO - GUEMES</v>
      </c>
      <c r="E65" s="441">
        <f>'[1]Tasa de Falla'!E65</f>
        <v>132</v>
      </c>
      <c r="F65" s="442">
        <f>'[1]Tasa de Falla'!F65</f>
        <v>291</v>
      </c>
      <c r="G65" s="450">
        <f>IF('[1]Tasa de Falla'!BP65=0,"",'[1]Tasa de Falla'!BP65)</f>
      </c>
      <c r="H65" s="450">
        <f>IF('[1]Tasa de Falla'!BQ65=0,"",'[1]Tasa de Falla'!BQ65)</f>
        <v>1</v>
      </c>
      <c r="I65" s="450">
        <f>IF('[1]Tasa de Falla'!BR65=0,"",'[1]Tasa de Falla'!BR65)</f>
      </c>
      <c r="J65" s="450">
        <f>IF('[1]Tasa de Falla'!BS65=0,"",'[1]Tasa de Falla'!BS65)</f>
      </c>
      <c r="K65" s="450">
        <f>IF('[1]Tasa de Falla'!BT65=0,"",'[1]Tasa de Falla'!BT65)</f>
      </c>
      <c r="L65" s="450">
        <f>IF('[1]Tasa de Falla'!BU65=0,"",'[1]Tasa de Falla'!BU65)</f>
      </c>
      <c r="M65" s="450">
        <f>IF('[1]Tasa de Falla'!BV65=0,"",'[1]Tasa de Falla'!BV65)</f>
        <v>1</v>
      </c>
      <c r="N65" s="450">
        <f>IF('[1]Tasa de Falla'!BW65=0,"",'[1]Tasa de Falla'!BW65)</f>
        <v>2</v>
      </c>
      <c r="O65" s="450">
        <f>IF('[1]Tasa de Falla'!BX65=0,"",'[1]Tasa de Falla'!BX65)</f>
      </c>
      <c r="P65" s="450" t="str">
        <f>IF('[1]Tasa de Falla'!BY65=0,"",'[1]Tasa de Falla'!BY65)</f>
        <v>XXXX</v>
      </c>
      <c r="Q65" s="450" t="str">
        <f>IF('[1]Tasa de Falla'!BZ65=0,"",'[1]Tasa de Falla'!BZ65)</f>
        <v>XXXX</v>
      </c>
      <c r="R65" s="450" t="str">
        <f>IF('[1]Tasa de Falla'!CA65=0,"",'[1]Tasa de Falla'!CA65)</f>
        <v>XXXX</v>
      </c>
      <c r="S65" s="444"/>
      <c r="T65" s="445"/>
    </row>
    <row r="66" spans="2:20" s="432" customFormat="1" ht="19.5" customHeight="1">
      <c r="B66" s="433"/>
      <c r="C66" s="446">
        <f>'[1]Tasa de Falla'!C66</f>
        <v>50</v>
      </c>
      <c r="D66" s="451" t="str">
        <f>'[1]Tasa de Falla'!D66</f>
        <v>CEVIL POZO - EL BRACHO</v>
      </c>
      <c r="E66" s="451">
        <f>'[1]Tasa de Falla'!E66</f>
        <v>132</v>
      </c>
      <c r="F66" s="452">
        <f>'[1]Tasa de Falla'!F66</f>
        <v>17</v>
      </c>
      <c r="G66" s="449">
        <f>IF('[1]Tasa de Falla'!BP66=0,"",'[1]Tasa de Falla'!BP66)</f>
      </c>
      <c r="H66" s="449">
        <f>IF('[1]Tasa de Falla'!BQ66=0,"",'[1]Tasa de Falla'!BQ66)</f>
      </c>
      <c r="I66" s="449">
        <f>IF('[1]Tasa de Falla'!BR66=0,"",'[1]Tasa de Falla'!BR66)</f>
      </c>
      <c r="J66" s="449">
        <f>IF('[1]Tasa de Falla'!BS66=0,"",'[1]Tasa de Falla'!BS66)</f>
      </c>
      <c r="K66" s="449">
        <f>IF('[1]Tasa de Falla'!BT66=0,"",'[1]Tasa de Falla'!BT66)</f>
      </c>
      <c r="L66" s="449">
        <f>IF('[1]Tasa de Falla'!BU66=0,"",'[1]Tasa de Falla'!BU66)</f>
      </c>
      <c r="M66" s="449">
        <f>IF('[1]Tasa de Falla'!BV66=0,"",'[1]Tasa de Falla'!BV66)</f>
      </c>
      <c r="N66" s="449">
        <f>IF('[1]Tasa de Falla'!BW66=0,"",'[1]Tasa de Falla'!BW66)</f>
      </c>
      <c r="O66" s="449">
        <f>IF('[1]Tasa de Falla'!BX66=0,"",'[1]Tasa de Falla'!BX66)</f>
      </c>
      <c r="P66" s="449">
        <f>IF('[1]Tasa de Falla'!BY66=0,"",'[1]Tasa de Falla'!BY66)</f>
      </c>
      <c r="Q66" s="449">
        <f>IF('[1]Tasa de Falla'!BZ66=0,"",'[1]Tasa de Falla'!BZ66)</f>
      </c>
      <c r="R66" s="449">
        <f>IF('[1]Tasa de Falla'!CA66=0,"",'[1]Tasa de Falla'!CA66)</f>
      </c>
      <c r="S66" s="444"/>
      <c r="T66" s="445"/>
    </row>
    <row r="67" spans="2:20" s="432" customFormat="1" ht="19.5" customHeight="1">
      <c r="B67" s="433"/>
      <c r="C67" s="440"/>
      <c r="D67" s="441"/>
      <c r="E67" s="441"/>
      <c r="F67" s="442"/>
      <c r="G67" s="450">
        <f>IF('[1]Tasa de Falla'!BP67=0,"",'[1]Tasa de Falla'!BP67)</f>
      </c>
      <c r="H67" s="450">
        <f>IF('[1]Tasa de Falla'!BQ67=0,"",'[1]Tasa de Falla'!BQ67)</f>
      </c>
      <c r="I67" s="450">
        <f>IF('[1]Tasa de Falla'!BR67=0,"",'[1]Tasa de Falla'!BR67)</f>
      </c>
      <c r="J67" s="450">
        <f>IF('[1]Tasa de Falla'!BS67=0,"",'[1]Tasa de Falla'!BS67)</f>
      </c>
      <c r="K67" s="450">
        <f>IF('[1]Tasa de Falla'!BT67=0,"",'[1]Tasa de Falla'!BT67)</f>
      </c>
      <c r="L67" s="450">
        <f>IF('[1]Tasa de Falla'!BU67=0,"",'[1]Tasa de Falla'!BU67)</f>
      </c>
      <c r="M67" s="450">
        <f>IF('[1]Tasa de Falla'!BV67=0,"",'[1]Tasa de Falla'!BV67)</f>
      </c>
      <c r="N67" s="450">
        <f>IF('[1]Tasa de Falla'!BW67=0,"",'[1]Tasa de Falla'!BW67)</f>
      </c>
      <c r="O67" s="450">
        <f>IF('[1]Tasa de Falla'!BX67=0,"",'[1]Tasa de Falla'!BX67)</f>
      </c>
      <c r="P67" s="450">
        <f>IF('[1]Tasa de Falla'!BY67=0,"",'[1]Tasa de Falla'!BY67)</f>
      </c>
      <c r="Q67" s="450">
        <f>IF('[1]Tasa de Falla'!BZ67=0,"",'[1]Tasa de Falla'!BZ67)</f>
      </c>
      <c r="R67" s="450">
        <f>IF('[1]Tasa de Falla'!CA67=0,"",'[1]Tasa de Falla'!CA67)</f>
      </c>
      <c r="S67" s="444"/>
      <c r="T67" s="445"/>
    </row>
    <row r="68" spans="2:20" s="432" customFormat="1" ht="19.5" customHeight="1">
      <c r="B68" s="433"/>
      <c r="C68" s="446">
        <f>'[1]Tasa de Falla'!C68</f>
        <v>51</v>
      </c>
      <c r="D68" s="447" t="str">
        <f>'[1]Tasa de Falla'!D68</f>
        <v>METAN - EL TUNAL</v>
      </c>
      <c r="E68" s="447">
        <f>'[1]Tasa de Falla'!E68</f>
        <v>132</v>
      </c>
      <c r="F68" s="448">
        <f>'[1]Tasa de Falla'!F68</f>
        <v>75.6</v>
      </c>
      <c r="G68" s="449">
        <f>IF('[1]Tasa de Falla'!BP68=0,"",'[1]Tasa de Falla'!BP68)</f>
      </c>
      <c r="H68" s="449">
        <f>IF('[1]Tasa de Falla'!BQ68=0,"",'[1]Tasa de Falla'!BQ68)</f>
        <v>1</v>
      </c>
      <c r="I68" s="449">
        <f>IF('[1]Tasa de Falla'!BR68=0,"",'[1]Tasa de Falla'!BR68)</f>
      </c>
      <c r="J68" s="449">
        <f>IF('[1]Tasa de Falla'!BS68=0,"",'[1]Tasa de Falla'!BS68)</f>
      </c>
      <c r="K68" s="449">
        <f>IF('[1]Tasa de Falla'!BT68=0,"",'[1]Tasa de Falla'!BT68)</f>
      </c>
      <c r="L68" s="449">
        <f>IF('[1]Tasa de Falla'!BU68=0,"",'[1]Tasa de Falla'!BU68)</f>
      </c>
      <c r="M68" s="449">
        <f>IF('[1]Tasa de Falla'!BV68=0,"",'[1]Tasa de Falla'!BV68)</f>
      </c>
      <c r="N68" s="449">
        <f>IF('[1]Tasa de Falla'!BW68=0,"",'[1]Tasa de Falla'!BW68)</f>
      </c>
      <c r="O68" s="449">
        <f>IF('[1]Tasa de Falla'!BX68=0,"",'[1]Tasa de Falla'!BX68)</f>
      </c>
      <c r="P68" s="449">
        <f>IF('[1]Tasa de Falla'!BY68=0,"",'[1]Tasa de Falla'!BY68)</f>
      </c>
      <c r="Q68" s="449">
        <f>IF('[1]Tasa de Falla'!BZ68=0,"",'[1]Tasa de Falla'!BZ68)</f>
      </c>
      <c r="R68" s="449">
        <f>IF('[1]Tasa de Falla'!CA68=0,"",'[1]Tasa de Falla'!CA68)</f>
      </c>
      <c r="S68" s="444"/>
      <c r="T68" s="445"/>
    </row>
    <row r="69" spans="2:20" s="432" customFormat="1" ht="19.5" customHeight="1">
      <c r="B69" s="433"/>
      <c r="C69" s="440">
        <f>'[1]Tasa de Falla'!C69</f>
        <v>52</v>
      </c>
      <c r="D69" s="441" t="str">
        <f>'[1]Tasa de Falla'!D69</f>
        <v>EL TUNAL - J.V. GONZALEZ</v>
      </c>
      <c r="E69" s="441">
        <f>'[1]Tasa de Falla'!E69</f>
        <v>132</v>
      </c>
      <c r="F69" s="442">
        <f>'[1]Tasa de Falla'!F69</f>
        <v>41.4</v>
      </c>
      <c r="G69" s="450">
        <f>IF('[1]Tasa de Falla'!BP69=0,"",'[1]Tasa de Falla'!BP69)</f>
      </c>
      <c r="H69" s="450">
        <f>IF('[1]Tasa de Falla'!BQ69=0,"",'[1]Tasa de Falla'!BQ69)</f>
      </c>
      <c r="I69" s="450">
        <f>IF('[1]Tasa de Falla'!BR69=0,"",'[1]Tasa de Falla'!BR69)</f>
      </c>
      <c r="J69" s="450">
        <f>IF('[1]Tasa de Falla'!BS69=0,"",'[1]Tasa de Falla'!BS69)</f>
      </c>
      <c r="K69" s="450">
        <f>IF('[1]Tasa de Falla'!BT69=0,"",'[1]Tasa de Falla'!BT69)</f>
      </c>
      <c r="L69" s="450">
        <f>IF('[1]Tasa de Falla'!BU69=0,"",'[1]Tasa de Falla'!BU69)</f>
      </c>
      <c r="M69" s="450">
        <f>IF('[1]Tasa de Falla'!BV69=0,"",'[1]Tasa de Falla'!BV69)</f>
      </c>
      <c r="N69" s="450">
        <f>IF('[1]Tasa de Falla'!BW69=0,"",'[1]Tasa de Falla'!BW69)</f>
      </c>
      <c r="O69" s="450">
        <f>IF('[1]Tasa de Falla'!BX69=0,"",'[1]Tasa de Falla'!BX69)</f>
      </c>
      <c r="P69" s="450">
        <f>IF('[1]Tasa de Falla'!BY69=0,"",'[1]Tasa de Falla'!BY69)</f>
      </c>
      <c r="Q69" s="450">
        <f>IF('[1]Tasa de Falla'!BZ69=0,"",'[1]Tasa de Falla'!BZ69)</f>
      </c>
      <c r="R69" s="450">
        <f>IF('[1]Tasa de Falla'!CA69=0,"",'[1]Tasa de Falla'!CA69)</f>
      </c>
      <c r="S69" s="444"/>
      <c r="T69" s="445"/>
    </row>
    <row r="70" spans="2:20" s="432" customFormat="1" ht="19.5" customHeight="1">
      <c r="B70" s="433"/>
      <c r="C70" s="446"/>
      <c r="D70" s="447"/>
      <c r="E70" s="447"/>
      <c r="F70" s="448"/>
      <c r="G70" s="449">
        <f>IF('[1]Tasa de Falla'!BP70=0,"",'[1]Tasa de Falla'!BP70)</f>
      </c>
      <c r="H70" s="449">
        <f>IF('[1]Tasa de Falla'!BQ70=0,"",'[1]Tasa de Falla'!BQ70)</f>
      </c>
      <c r="I70" s="449">
        <f>IF('[1]Tasa de Falla'!BR70=0,"",'[1]Tasa de Falla'!BR70)</f>
      </c>
      <c r="J70" s="449">
        <f>IF('[1]Tasa de Falla'!BS70=0,"",'[1]Tasa de Falla'!BS70)</f>
      </c>
      <c r="K70" s="449">
        <f>IF('[1]Tasa de Falla'!BT70=0,"",'[1]Tasa de Falla'!BT70)</f>
      </c>
      <c r="L70" s="449">
        <f>IF('[1]Tasa de Falla'!BU70=0,"",'[1]Tasa de Falla'!BU70)</f>
      </c>
      <c r="M70" s="449">
        <f>IF('[1]Tasa de Falla'!BV70=0,"",'[1]Tasa de Falla'!BV70)</f>
      </c>
      <c r="N70" s="449">
        <f>IF('[1]Tasa de Falla'!BW70=0,"",'[1]Tasa de Falla'!BW70)</f>
      </c>
      <c r="O70" s="449">
        <f>IF('[1]Tasa de Falla'!BX70=0,"",'[1]Tasa de Falla'!BX70)</f>
      </c>
      <c r="P70" s="449">
        <f>IF('[1]Tasa de Falla'!BY70=0,"",'[1]Tasa de Falla'!BY70)</f>
      </c>
      <c r="Q70" s="449">
        <f>IF('[1]Tasa de Falla'!BZ70=0,"",'[1]Tasa de Falla'!BZ70)</f>
      </c>
      <c r="R70" s="449">
        <f>IF('[1]Tasa de Falla'!CA70=0,"",'[1]Tasa de Falla'!CA70)</f>
      </c>
      <c r="S70" s="444"/>
      <c r="T70" s="445"/>
    </row>
    <row r="71" spans="2:20" s="432" customFormat="1" ht="19.5" customHeight="1">
      <c r="B71" s="433"/>
      <c r="C71" s="440">
        <f>'[1]Tasa de Falla'!C71</f>
        <v>53</v>
      </c>
      <c r="D71" s="441" t="str">
        <f>'[1]Tasa de Falla'!D71</f>
        <v>LOS PIZARROS - ESCABA</v>
      </c>
      <c r="E71" s="441">
        <f>'[1]Tasa de Falla'!E71</f>
        <v>132</v>
      </c>
      <c r="F71" s="442">
        <f>'[1]Tasa de Falla'!F71</f>
        <v>21.4</v>
      </c>
      <c r="G71" s="450">
        <f>IF('[1]Tasa de Falla'!BP71=0,"",'[1]Tasa de Falla'!BP71)</f>
      </c>
      <c r="H71" s="450">
        <f>IF('[1]Tasa de Falla'!BQ71=0,"",'[1]Tasa de Falla'!BQ71)</f>
      </c>
      <c r="I71" s="450">
        <f>IF('[1]Tasa de Falla'!BR71=0,"",'[1]Tasa de Falla'!BR71)</f>
      </c>
      <c r="J71" s="450">
        <f>IF('[1]Tasa de Falla'!BS71=0,"",'[1]Tasa de Falla'!BS71)</f>
      </c>
      <c r="K71" s="450">
        <f>IF('[1]Tasa de Falla'!BT71=0,"",'[1]Tasa de Falla'!BT71)</f>
      </c>
      <c r="L71" s="450">
        <f>IF('[1]Tasa de Falla'!BU71=0,"",'[1]Tasa de Falla'!BU71)</f>
      </c>
      <c r="M71" s="450">
        <f>IF('[1]Tasa de Falla'!BV71=0,"",'[1]Tasa de Falla'!BV71)</f>
        <v>2</v>
      </c>
      <c r="N71" s="450">
        <f>IF('[1]Tasa de Falla'!BW71=0,"",'[1]Tasa de Falla'!BW71)</f>
      </c>
      <c r="O71" s="450">
        <f>IF('[1]Tasa de Falla'!BX71=0,"",'[1]Tasa de Falla'!BX71)</f>
        <v>1</v>
      </c>
      <c r="P71" s="450">
        <f>IF('[1]Tasa de Falla'!BY71=0,"",'[1]Tasa de Falla'!BY71)</f>
      </c>
      <c r="Q71" s="450">
        <f>IF('[1]Tasa de Falla'!BZ71=0,"",'[1]Tasa de Falla'!BZ71)</f>
      </c>
      <c r="R71" s="450">
        <f>IF('[1]Tasa de Falla'!CA71=0,"",'[1]Tasa de Falla'!CA71)</f>
      </c>
      <c r="S71" s="444"/>
      <c r="T71" s="445"/>
    </row>
    <row r="72" spans="2:20" s="432" customFormat="1" ht="19.5" customHeight="1">
      <c r="B72" s="433"/>
      <c r="C72" s="446">
        <f>'[1]Tasa de Falla'!C72</f>
        <v>54</v>
      </c>
      <c r="D72" s="447" t="str">
        <f>'[1]Tasa de Falla'!D72</f>
        <v>LOS PIZARROS - LA COCHA</v>
      </c>
      <c r="E72" s="447">
        <f>'[1]Tasa de Falla'!E72</f>
        <v>132</v>
      </c>
      <c r="F72" s="448">
        <f>'[1]Tasa de Falla'!F72</f>
        <v>6.5</v>
      </c>
      <c r="G72" s="449">
        <f>IF('[1]Tasa de Falla'!BP72=0,"",'[1]Tasa de Falla'!BP72)</f>
      </c>
      <c r="H72" s="449">
        <f>IF('[1]Tasa de Falla'!BQ72=0,"",'[1]Tasa de Falla'!BQ72)</f>
      </c>
      <c r="I72" s="449">
        <f>IF('[1]Tasa de Falla'!BR72=0,"",'[1]Tasa de Falla'!BR72)</f>
      </c>
      <c r="J72" s="449">
        <f>IF('[1]Tasa de Falla'!BS72=0,"",'[1]Tasa de Falla'!BS72)</f>
      </c>
      <c r="K72" s="449">
        <f>IF('[1]Tasa de Falla'!BT72=0,"",'[1]Tasa de Falla'!BT72)</f>
      </c>
      <c r="L72" s="449">
        <f>IF('[1]Tasa de Falla'!BU72=0,"",'[1]Tasa de Falla'!BU72)</f>
      </c>
      <c r="M72" s="449">
        <f>IF('[1]Tasa de Falla'!BV72=0,"",'[1]Tasa de Falla'!BV72)</f>
      </c>
      <c r="N72" s="449">
        <f>IF('[1]Tasa de Falla'!BW72=0,"",'[1]Tasa de Falla'!BW72)</f>
      </c>
      <c r="O72" s="449">
        <f>IF('[1]Tasa de Falla'!BX72=0,"",'[1]Tasa de Falla'!BX72)</f>
      </c>
      <c r="P72" s="449">
        <f>IF('[1]Tasa de Falla'!BY72=0,"",'[1]Tasa de Falla'!BY72)</f>
      </c>
      <c r="Q72" s="449">
        <f>IF('[1]Tasa de Falla'!BZ72=0,"",'[1]Tasa de Falla'!BZ72)</f>
      </c>
      <c r="R72" s="449">
        <f>IF('[1]Tasa de Falla'!CA72=0,"",'[1]Tasa de Falla'!CA72)</f>
      </c>
      <c r="S72" s="444"/>
      <c r="T72" s="445"/>
    </row>
    <row r="73" spans="2:20" s="432" customFormat="1" ht="19.5" customHeight="1">
      <c r="B73" s="433"/>
      <c r="C73" s="440">
        <f>'[1]Tasa de Falla'!C73</f>
        <v>55</v>
      </c>
      <c r="D73" s="441" t="str">
        <f>'[1]Tasa de Falla'!D73</f>
        <v>HUACRA - LOS PIZARROS</v>
      </c>
      <c r="E73" s="441">
        <f>'[1]Tasa de Falla'!E73</f>
        <v>132</v>
      </c>
      <c r="F73" s="442">
        <f>'[1]Tasa de Falla'!F73</f>
        <v>28.5</v>
      </c>
      <c r="G73" s="450">
        <f>IF('[1]Tasa de Falla'!BP73=0,"",'[1]Tasa de Falla'!BP73)</f>
      </c>
      <c r="H73" s="450">
        <f>IF('[1]Tasa de Falla'!BQ73=0,"",'[1]Tasa de Falla'!BQ73)</f>
      </c>
      <c r="I73" s="450">
        <f>IF('[1]Tasa de Falla'!BR73=0,"",'[1]Tasa de Falla'!BR73)</f>
      </c>
      <c r="J73" s="450">
        <f>IF('[1]Tasa de Falla'!BS73=0,"",'[1]Tasa de Falla'!BS73)</f>
      </c>
      <c r="K73" s="450">
        <f>IF('[1]Tasa de Falla'!BT73=0,"",'[1]Tasa de Falla'!BT73)</f>
      </c>
      <c r="L73" s="450">
        <f>IF('[1]Tasa de Falla'!BU73=0,"",'[1]Tasa de Falla'!BU73)</f>
      </c>
      <c r="M73" s="450">
        <f>IF('[1]Tasa de Falla'!BV73=0,"",'[1]Tasa de Falla'!BV73)</f>
      </c>
      <c r="N73" s="450">
        <f>IF('[1]Tasa de Falla'!BW73=0,"",'[1]Tasa de Falla'!BW73)</f>
      </c>
      <c r="O73" s="450">
        <f>IF('[1]Tasa de Falla'!BX73=0,"",'[1]Tasa de Falla'!BX73)</f>
      </c>
      <c r="P73" s="450">
        <f>IF('[1]Tasa de Falla'!BY73=0,"",'[1]Tasa de Falla'!BY73)</f>
      </c>
      <c r="Q73" s="450">
        <f>IF('[1]Tasa de Falla'!BZ73=0,"",'[1]Tasa de Falla'!BZ73)</f>
      </c>
      <c r="R73" s="450">
        <f>IF('[1]Tasa de Falla'!CA73=0,"",'[1]Tasa de Falla'!CA73)</f>
      </c>
      <c r="S73" s="444"/>
      <c r="T73" s="445"/>
    </row>
    <row r="74" spans="2:20" s="432" customFormat="1" ht="19.5" customHeight="1">
      <c r="B74" s="433"/>
      <c r="C74" s="446">
        <f>'[1]Tasa de Falla'!C74</f>
        <v>56</v>
      </c>
      <c r="D74" s="451" t="str">
        <f>'[1]Tasa de Falla'!D74</f>
        <v>CEVIL POZO - AVELLANEDA</v>
      </c>
      <c r="E74" s="451">
        <f>'[1]Tasa de Falla'!E74</f>
        <v>132</v>
      </c>
      <c r="F74" s="452">
        <f>'[1]Tasa de Falla'!F74</f>
        <v>8</v>
      </c>
      <c r="G74" s="449">
        <f>IF('[1]Tasa de Falla'!BP74=0,"",'[1]Tasa de Falla'!BP74)</f>
      </c>
      <c r="H74" s="449">
        <f>IF('[1]Tasa de Falla'!BQ74=0,"",'[1]Tasa de Falla'!BQ74)</f>
      </c>
      <c r="I74" s="449">
        <f>IF('[1]Tasa de Falla'!BR74=0,"",'[1]Tasa de Falla'!BR74)</f>
      </c>
      <c r="J74" s="449">
        <f>IF('[1]Tasa de Falla'!BS74=0,"",'[1]Tasa de Falla'!BS74)</f>
      </c>
      <c r="K74" s="449">
        <f>IF('[1]Tasa de Falla'!BT74=0,"",'[1]Tasa de Falla'!BT74)</f>
      </c>
      <c r="L74" s="449">
        <f>IF('[1]Tasa de Falla'!BU74=0,"",'[1]Tasa de Falla'!BU74)</f>
      </c>
      <c r="M74" s="449">
        <f>IF('[1]Tasa de Falla'!BV74=0,"",'[1]Tasa de Falla'!BV74)</f>
      </c>
      <c r="N74" s="449">
        <f>IF('[1]Tasa de Falla'!BW74=0,"",'[1]Tasa de Falla'!BW74)</f>
      </c>
      <c r="O74" s="449">
        <f>IF('[1]Tasa de Falla'!BX74=0,"",'[1]Tasa de Falla'!BX74)</f>
      </c>
      <c r="P74" s="449">
        <f>IF('[1]Tasa de Falla'!BY74=0,"",'[1]Tasa de Falla'!BY74)</f>
      </c>
      <c r="Q74" s="449">
        <f>IF('[1]Tasa de Falla'!BZ74=0,"",'[1]Tasa de Falla'!BZ74)</f>
      </c>
      <c r="R74" s="449">
        <f>IF('[1]Tasa de Falla'!CA74=0,"",'[1]Tasa de Falla'!CA74)</f>
      </c>
      <c r="S74" s="444"/>
      <c r="T74" s="445"/>
    </row>
    <row r="75" spans="2:20" s="432" customFormat="1" ht="19.5" customHeight="1">
      <c r="B75" s="433"/>
      <c r="C75" s="440">
        <f>'[1]Tasa de Falla'!C75</f>
        <v>57</v>
      </c>
      <c r="D75" s="441" t="str">
        <f>'[1]Tasa de Falla'!D75</f>
        <v>CABRA CORRAL - SALTA ESTE</v>
      </c>
      <c r="E75" s="441">
        <f>'[1]Tasa de Falla'!E75</f>
        <v>132</v>
      </c>
      <c r="F75" s="442">
        <f>'[1]Tasa de Falla'!F75</f>
        <v>55</v>
      </c>
      <c r="G75" s="450" t="str">
        <f>IF('[1]Tasa de Falla'!BP75=0,"",'[1]Tasa de Falla'!BP75)</f>
        <v>XXXX</v>
      </c>
      <c r="H75" s="450" t="str">
        <f>IF('[1]Tasa de Falla'!BQ75=0,"",'[1]Tasa de Falla'!BQ75)</f>
        <v>XXXX</v>
      </c>
      <c r="I75" s="450" t="str">
        <f>IF('[1]Tasa de Falla'!BR75=0,"",'[1]Tasa de Falla'!BR75)</f>
        <v>XXXX</v>
      </c>
      <c r="J75" s="450" t="str">
        <f>IF('[1]Tasa de Falla'!BS75=0,"",'[1]Tasa de Falla'!BS75)</f>
        <v>XXXX</v>
      </c>
      <c r="K75" s="450" t="str">
        <f>IF('[1]Tasa de Falla'!BT75=0,"",'[1]Tasa de Falla'!BT75)</f>
        <v>XXXX</v>
      </c>
      <c r="L75" s="450" t="str">
        <f>IF('[1]Tasa de Falla'!BU75=0,"",'[1]Tasa de Falla'!BU75)</f>
        <v>XXXX</v>
      </c>
      <c r="M75" s="450">
        <f>IF('[1]Tasa de Falla'!BV75=0,"",'[1]Tasa de Falla'!BV75)</f>
      </c>
      <c r="N75" s="450">
        <f>IF('[1]Tasa de Falla'!BW75=0,"",'[1]Tasa de Falla'!BW75)</f>
      </c>
      <c r="O75" s="450">
        <f>IF('[1]Tasa de Falla'!BX75=0,"",'[1]Tasa de Falla'!BX75)</f>
        <v>3</v>
      </c>
      <c r="P75" s="450">
        <f>IF('[1]Tasa de Falla'!BY75=0,"",'[1]Tasa de Falla'!BY75)</f>
      </c>
      <c r="Q75" s="450">
        <f>IF('[1]Tasa de Falla'!BZ75=0,"",'[1]Tasa de Falla'!BZ75)</f>
      </c>
      <c r="R75" s="450">
        <f>IF('[1]Tasa de Falla'!CA75=0,"",'[1]Tasa de Falla'!CA75)</f>
      </c>
      <c r="S75" s="444"/>
      <c r="T75" s="445"/>
    </row>
    <row r="76" spans="2:20" s="432" customFormat="1" ht="19.5" customHeight="1">
      <c r="B76" s="433"/>
      <c r="C76" s="446">
        <f>'[1]Tasa de Falla'!C76</f>
        <v>58</v>
      </c>
      <c r="D76" s="447" t="str">
        <f>'[1]Tasa de Falla'!D76</f>
        <v>SALTA ESTE - SALTA SUR</v>
      </c>
      <c r="E76" s="447">
        <f>'[1]Tasa de Falla'!E76</f>
        <v>132</v>
      </c>
      <c r="F76" s="448">
        <f>'[1]Tasa de Falla'!F76</f>
        <v>7</v>
      </c>
      <c r="G76" s="449" t="str">
        <f>IF('[1]Tasa de Falla'!BP76=0,"",'[1]Tasa de Falla'!BP76)</f>
        <v>XXXX</v>
      </c>
      <c r="H76" s="449" t="str">
        <f>IF('[1]Tasa de Falla'!BQ76=0,"",'[1]Tasa de Falla'!BQ76)</f>
        <v>XXXX</v>
      </c>
      <c r="I76" s="449" t="str">
        <f>IF('[1]Tasa de Falla'!BR76=0,"",'[1]Tasa de Falla'!BR76)</f>
        <v>XXXX</v>
      </c>
      <c r="J76" s="449" t="str">
        <f>IF('[1]Tasa de Falla'!BS76=0,"",'[1]Tasa de Falla'!BS76)</f>
        <v>XXXX</v>
      </c>
      <c r="K76" s="449" t="str">
        <f>IF('[1]Tasa de Falla'!BT76=0,"",'[1]Tasa de Falla'!BT76)</f>
        <v>XXXX</v>
      </c>
      <c r="L76" s="449" t="str">
        <f>IF('[1]Tasa de Falla'!BU76=0,"",'[1]Tasa de Falla'!BU76)</f>
        <v>XXXX</v>
      </c>
      <c r="M76" s="449">
        <f>IF('[1]Tasa de Falla'!BV76=0,"",'[1]Tasa de Falla'!BV76)</f>
      </c>
      <c r="N76" s="449">
        <f>IF('[1]Tasa de Falla'!BW76=0,"",'[1]Tasa de Falla'!BW76)</f>
        <v>3</v>
      </c>
      <c r="O76" s="449">
        <f>IF('[1]Tasa de Falla'!BX76=0,"",'[1]Tasa de Falla'!BX76)</f>
        <v>1</v>
      </c>
      <c r="P76" s="449">
        <f>IF('[1]Tasa de Falla'!BY76=0,"",'[1]Tasa de Falla'!BY76)</f>
      </c>
      <c r="Q76" s="449">
        <f>IF('[1]Tasa de Falla'!BZ76=0,"",'[1]Tasa de Falla'!BZ76)</f>
        <v>1</v>
      </c>
      <c r="R76" s="449">
        <f>IF('[1]Tasa de Falla'!CA76=0,"",'[1]Tasa de Falla'!CA76)</f>
      </c>
      <c r="S76" s="444"/>
      <c r="T76" s="445"/>
    </row>
    <row r="77" spans="2:20" s="432" customFormat="1" ht="19.5" customHeight="1">
      <c r="B77" s="433"/>
      <c r="C77" s="440">
        <f>'[1]Tasa de Falla'!C77</f>
        <v>59</v>
      </c>
      <c r="D77" s="441" t="str">
        <f>'[1]Tasa de Falla'!D77</f>
        <v>VILLA QUINTEROS - ANDALGALA</v>
      </c>
      <c r="E77" s="441">
        <f>'[1]Tasa de Falla'!E77</f>
        <v>132</v>
      </c>
      <c r="F77" s="442">
        <f>'[1]Tasa de Falla'!F77</f>
        <v>102</v>
      </c>
      <c r="G77" s="450" t="str">
        <f>IF('[1]Tasa de Falla'!BP77=0,"",'[1]Tasa de Falla'!BP77)</f>
        <v>XXXX</v>
      </c>
      <c r="H77" s="450" t="str">
        <f>IF('[1]Tasa de Falla'!BQ77=0,"",'[1]Tasa de Falla'!BQ77)</f>
        <v>XXXX</v>
      </c>
      <c r="I77" s="450" t="str">
        <f>IF('[1]Tasa de Falla'!BR77=0,"",'[1]Tasa de Falla'!BR77)</f>
        <v>XXXX</v>
      </c>
      <c r="J77" s="450" t="str">
        <f>IF('[1]Tasa de Falla'!BS77=0,"",'[1]Tasa de Falla'!BS77)</f>
        <v>XXXX</v>
      </c>
      <c r="K77" s="450" t="str">
        <f>IF('[1]Tasa de Falla'!BT77=0,"",'[1]Tasa de Falla'!BT77)</f>
        <v>XXXX</v>
      </c>
      <c r="L77" s="450">
        <f>IF('[1]Tasa de Falla'!BU77=0,"",'[1]Tasa de Falla'!BU77)</f>
      </c>
      <c r="M77" s="450">
        <f>IF('[1]Tasa de Falla'!BV77=0,"",'[1]Tasa de Falla'!BV77)</f>
        <v>1</v>
      </c>
      <c r="N77" s="450">
        <f>IF('[1]Tasa de Falla'!BW77=0,"",'[1]Tasa de Falla'!BW77)</f>
        <v>1</v>
      </c>
      <c r="O77" s="450">
        <f>IF('[1]Tasa de Falla'!BX77=0,"",'[1]Tasa de Falla'!BX77)</f>
        <v>1</v>
      </c>
      <c r="P77" s="450">
        <f>IF('[1]Tasa de Falla'!BY77=0,"",'[1]Tasa de Falla'!BY77)</f>
      </c>
      <c r="Q77" s="450">
        <f>IF('[1]Tasa de Falla'!BZ77=0,"",'[1]Tasa de Falla'!BZ77)</f>
        <v>2</v>
      </c>
      <c r="R77" s="450">
        <f>IF('[1]Tasa de Falla'!CA77=0,"",'[1]Tasa de Falla'!CA77)</f>
        <v>3</v>
      </c>
      <c r="S77" s="444"/>
      <c r="T77" s="445"/>
    </row>
    <row r="78" spans="2:20" s="432" customFormat="1" ht="19.5" customHeight="1">
      <c r="B78" s="433"/>
      <c r="C78" s="446"/>
      <c r="D78" s="447"/>
      <c r="E78" s="447"/>
      <c r="F78" s="448"/>
      <c r="G78" s="449" t="str">
        <f>IF('[1]Tasa de Falla'!BP78=0,"",'[1]Tasa de Falla'!BP78)</f>
        <v>XXXX</v>
      </c>
      <c r="H78" s="449" t="str">
        <f>IF('[1]Tasa de Falla'!BQ78=0,"",'[1]Tasa de Falla'!BQ78)</f>
        <v>XXXX</v>
      </c>
      <c r="I78" s="449" t="str">
        <f>IF('[1]Tasa de Falla'!BR78=0,"",'[1]Tasa de Falla'!BR78)</f>
        <v>XXXX</v>
      </c>
      <c r="J78" s="449" t="str">
        <f>IF('[1]Tasa de Falla'!BS78=0,"",'[1]Tasa de Falla'!BS78)</f>
        <v>XXXX</v>
      </c>
      <c r="K78" s="449" t="str">
        <f>IF('[1]Tasa de Falla'!BT78=0,"",'[1]Tasa de Falla'!BT78)</f>
        <v>XXXX</v>
      </c>
      <c r="L78" s="449">
        <f>IF('[1]Tasa de Falla'!BU78=0,"",'[1]Tasa de Falla'!BU78)</f>
      </c>
      <c r="M78" s="449">
        <f>IF('[1]Tasa de Falla'!BV78=0,"",'[1]Tasa de Falla'!BV78)</f>
      </c>
      <c r="N78" s="449">
        <f>IF('[1]Tasa de Falla'!BW78=0,"",'[1]Tasa de Falla'!BW78)</f>
        <v>1</v>
      </c>
      <c r="O78" s="449">
        <f>IF('[1]Tasa de Falla'!BX78=0,"",'[1]Tasa de Falla'!BX78)</f>
      </c>
      <c r="P78" s="449">
        <f>IF('[1]Tasa de Falla'!BY78=0,"",'[1]Tasa de Falla'!BY78)</f>
      </c>
      <c r="Q78" s="449">
        <f>IF('[1]Tasa de Falla'!BZ78=0,"",'[1]Tasa de Falla'!BZ78)</f>
      </c>
      <c r="R78" s="449">
        <f>IF('[1]Tasa de Falla'!CA78=0,"",'[1]Tasa de Falla'!CA78)</f>
      </c>
      <c r="S78" s="444"/>
      <c r="T78" s="445"/>
    </row>
    <row r="79" spans="2:20" s="432" customFormat="1" ht="19.5" customHeight="1">
      <c r="B79" s="433"/>
      <c r="C79" s="446">
        <f>'[1]Tasa de Falla'!C78</f>
        <v>60</v>
      </c>
      <c r="D79" s="447" t="str">
        <f>'[1]Tasa de Falla'!D78</f>
        <v>ANDALGALA - BELEN</v>
      </c>
      <c r="E79" s="447">
        <f>'[1]Tasa de Falla'!E78</f>
        <v>132</v>
      </c>
      <c r="F79" s="448">
        <f>'[1]Tasa de Falla'!F78</f>
        <v>80.3</v>
      </c>
      <c r="G79" s="449" t="str">
        <f>IF('[1]Tasa de Falla'!BP79=0,"",'[1]Tasa de Falla'!BP79)</f>
        <v>XXXX</v>
      </c>
      <c r="H79" s="449" t="str">
        <f>IF('[1]Tasa de Falla'!BQ79=0,"",'[1]Tasa de Falla'!BQ79)</f>
        <v>XXXX</v>
      </c>
      <c r="I79" s="449" t="str">
        <f>IF('[1]Tasa de Falla'!BR79=0,"",'[1]Tasa de Falla'!BR79)</f>
        <v>XXXX</v>
      </c>
      <c r="J79" s="449" t="str">
        <f>IF('[1]Tasa de Falla'!BS79=0,"",'[1]Tasa de Falla'!BS79)</f>
        <v>XXXX</v>
      </c>
      <c r="K79" s="449" t="str">
        <f>IF('[1]Tasa de Falla'!BT79=0,"",'[1]Tasa de Falla'!BT79)</f>
        <v>XXXX</v>
      </c>
      <c r="L79" s="449" t="str">
        <f>IF('[1]Tasa de Falla'!BU79=0,"",'[1]Tasa de Falla'!BU79)</f>
        <v>XXXX</v>
      </c>
      <c r="M79" s="449">
        <f>IF('[1]Tasa de Falla'!BV79=0,"",'[1]Tasa de Falla'!BV79)</f>
      </c>
      <c r="N79" s="449">
        <f>IF('[1]Tasa de Falla'!BW79=0,"",'[1]Tasa de Falla'!BW79)</f>
      </c>
      <c r="O79" s="449">
        <f>IF('[1]Tasa de Falla'!BX79=0,"",'[1]Tasa de Falla'!BX79)</f>
      </c>
      <c r="P79" s="449">
        <f>IF('[1]Tasa de Falla'!BY79=0,"",'[1]Tasa de Falla'!BY79)</f>
      </c>
      <c r="Q79" s="449">
        <f>IF('[1]Tasa de Falla'!BZ79=0,"",'[1]Tasa de Falla'!BZ79)</f>
        <v>1</v>
      </c>
      <c r="R79" s="449">
        <f>IF('[1]Tasa de Falla'!CA79=0,"",'[1]Tasa de Falla'!CA79)</f>
      </c>
      <c r="S79" s="444"/>
      <c r="T79" s="445"/>
    </row>
    <row r="80" spans="2:20" s="432" customFormat="1" ht="19.5" customHeight="1">
      <c r="B80" s="433"/>
      <c r="C80" s="440">
        <f>'[1]Tasa de Falla'!C79</f>
        <v>61</v>
      </c>
      <c r="D80" s="441" t="str">
        <f>'[1]Tasa de Falla'!D79</f>
        <v>TUCUMAN NORTE - TRANCAS</v>
      </c>
      <c r="E80" s="441">
        <f>'[1]Tasa de Falla'!E79</f>
        <v>132</v>
      </c>
      <c r="F80" s="442">
        <f>'[1]Tasa de Falla'!F79</f>
        <v>75</v>
      </c>
      <c r="G80" s="450" t="str">
        <f>IF('[1]Tasa de Falla'!BP80=0,"",'[1]Tasa de Falla'!BP80)</f>
        <v>XXXX</v>
      </c>
      <c r="H80" s="450" t="str">
        <f>IF('[1]Tasa de Falla'!BQ80=0,"",'[1]Tasa de Falla'!BQ80)</f>
        <v>XXXX</v>
      </c>
      <c r="I80" s="450" t="str">
        <f>IF('[1]Tasa de Falla'!BR80=0,"",'[1]Tasa de Falla'!BR80)</f>
        <v>XXXX</v>
      </c>
      <c r="J80" s="450" t="str">
        <f>IF('[1]Tasa de Falla'!BS80=0,"",'[1]Tasa de Falla'!BS80)</f>
        <v>XXXX</v>
      </c>
      <c r="K80" s="450" t="str">
        <f>IF('[1]Tasa de Falla'!BT80=0,"",'[1]Tasa de Falla'!BT80)</f>
        <v>XXXX</v>
      </c>
      <c r="L80" s="450" t="str">
        <f>IF('[1]Tasa de Falla'!BU80=0,"",'[1]Tasa de Falla'!BU80)</f>
        <v>XXXX</v>
      </c>
      <c r="M80" s="450">
        <f>IF('[1]Tasa de Falla'!BV80=0,"",'[1]Tasa de Falla'!BV80)</f>
      </c>
      <c r="N80" s="450">
        <f>IF('[1]Tasa de Falla'!BW80=0,"",'[1]Tasa de Falla'!BW80)</f>
      </c>
      <c r="O80" s="450">
        <f>IF('[1]Tasa de Falla'!BX80=0,"",'[1]Tasa de Falla'!BX80)</f>
      </c>
      <c r="P80" s="450">
        <f>IF('[1]Tasa de Falla'!BY80=0,"",'[1]Tasa de Falla'!BY80)</f>
      </c>
      <c r="Q80" s="450">
        <f>IF('[1]Tasa de Falla'!BZ80=0,"",'[1]Tasa de Falla'!BZ80)</f>
      </c>
      <c r="R80" s="450">
        <f>IF('[1]Tasa de Falla'!CA80=0,"",'[1]Tasa de Falla'!CA80)</f>
      </c>
      <c r="S80" s="444"/>
      <c r="T80" s="445"/>
    </row>
    <row r="81" spans="2:20" s="432" customFormat="1" ht="19.5" customHeight="1">
      <c r="B81" s="433"/>
      <c r="C81" s="446">
        <f>'[1]Tasa de Falla'!C80</f>
        <v>62</v>
      </c>
      <c r="D81" s="447" t="str">
        <f>'[1]Tasa de Falla'!D80</f>
        <v>CABRA CORRAL - TRANCAS</v>
      </c>
      <c r="E81" s="447">
        <f>'[1]Tasa de Falla'!E80</f>
        <v>132</v>
      </c>
      <c r="F81" s="448">
        <f>'[1]Tasa de Falla'!F80</f>
        <v>115</v>
      </c>
      <c r="G81" s="449" t="str">
        <f>IF('[1]Tasa de Falla'!BP81=0,"",'[1]Tasa de Falla'!BP81)</f>
        <v>XXXX</v>
      </c>
      <c r="H81" s="449" t="str">
        <f>IF('[1]Tasa de Falla'!BQ81=0,"",'[1]Tasa de Falla'!BQ81)</f>
        <v>XXXX</v>
      </c>
      <c r="I81" s="449" t="str">
        <f>IF('[1]Tasa de Falla'!BR81=0,"",'[1]Tasa de Falla'!BR81)</f>
        <v>XXXX</v>
      </c>
      <c r="J81" s="449" t="str">
        <f>IF('[1]Tasa de Falla'!BS81=0,"",'[1]Tasa de Falla'!BS81)</f>
        <v>XXXX</v>
      </c>
      <c r="K81" s="449" t="str">
        <f>IF('[1]Tasa de Falla'!BT81=0,"",'[1]Tasa de Falla'!BT81)</f>
        <v>XXXX</v>
      </c>
      <c r="L81" s="449" t="str">
        <f>IF('[1]Tasa de Falla'!BU81=0,"",'[1]Tasa de Falla'!BU81)</f>
        <v>XXXX</v>
      </c>
      <c r="M81" s="449">
        <f>IF('[1]Tasa de Falla'!BV81=0,"",'[1]Tasa de Falla'!BV81)</f>
      </c>
      <c r="N81" s="449">
        <f>IF('[1]Tasa de Falla'!BW81=0,"",'[1]Tasa de Falla'!BW81)</f>
      </c>
      <c r="O81" s="449">
        <f>IF('[1]Tasa de Falla'!BX81=0,"",'[1]Tasa de Falla'!BX81)</f>
      </c>
      <c r="P81" s="449">
        <f>IF('[1]Tasa de Falla'!BY81=0,"",'[1]Tasa de Falla'!BY81)</f>
      </c>
      <c r="Q81" s="449">
        <f>IF('[1]Tasa de Falla'!BZ81=0,"",'[1]Tasa de Falla'!BZ81)</f>
      </c>
      <c r="R81" s="449">
        <f>IF('[1]Tasa de Falla'!CA81=0,"",'[1]Tasa de Falla'!CA81)</f>
      </c>
      <c r="S81" s="444"/>
      <c r="T81" s="445"/>
    </row>
    <row r="82" spans="2:20" s="432" customFormat="1" ht="19.5" customHeight="1" thickBot="1">
      <c r="B82" s="433"/>
      <c r="C82" s="453"/>
      <c r="D82" s="454"/>
      <c r="E82" s="455"/>
      <c r="F82" s="456"/>
      <c r="G82" s="457"/>
      <c r="H82" s="457"/>
      <c r="I82" s="457"/>
      <c r="J82" s="457"/>
      <c r="K82" s="457"/>
      <c r="L82" s="457"/>
      <c r="M82" s="457"/>
      <c r="N82" s="457"/>
      <c r="O82" s="457"/>
      <c r="P82" s="457"/>
      <c r="Q82" s="457"/>
      <c r="R82" s="457"/>
      <c r="S82" s="444"/>
      <c r="T82" s="445"/>
    </row>
    <row r="83" spans="2:20" ht="15" customHeight="1" thickBot="1" thickTop="1">
      <c r="B83" s="418"/>
      <c r="C83" s="123"/>
      <c r="D83" s="206"/>
      <c r="E83" s="458" t="s">
        <v>154</v>
      </c>
      <c r="F83" s="459">
        <f>SUM(F17:F82)-F19-F22-F26-F39-F80-F81</f>
        <v>2948.4800000000005</v>
      </c>
      <c r="G83" s="460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2"/>
      <c r="S83" s="463"/>
      <c r="T83" s="464"/>
    </row>
    <row r="84" spans="2:20" ht="15" customHeight="1" thickBot="1" thickTop="1">
      <c r="B84" s="418"/>
      <c r="C84" s="7"/>
      <c r="D84" s="465"/>
      <c r="F84" s="466" t="s">
        <v>155</v>
      </c>
      <c r="G84" s="467">
        <f aca="true" t="shared" si="0" ref="G84:R84">SUM(G17:G82)</f>
        <v>3</v>
      </c>
      <c r="H84" s="467">
        <f t="shared" si="0"/>
        <v>13</v>
      </c>
      <c r="I84" s="467">
        <f t="shared" si="0"/>
        <v>10</v>
      </c>
      <c r="J84" s="467">
        <f t="shared" si="0"/>
        <v>0</v>
      </c>
      <c r="K84" s="467">
        <f t="shared" si="0"/>
        <v>6</v>
      </c>
      <c r="L84" s="467">
        <f t="shared" si="0"/>
        <v>8</v>
      </c>
      <c r="M84" s="467">
        <f t="shared" si="0"/>
        <v>11</v>
      </c>
      <c r="N84" s="467">
        <f t="shared" si="0"/>
        <v>18</v>
      </c>
      <c r="O84" s="467">
        <f t="shared" si="0"/>
        <v>15</v>
      </c>
      <c r="P84" s="467">
        <f t="shared" si="0"/>
        <v>3</v>
      </c>
      <c r="Q84" s="467">
        <f t="shared" si="0"/>
        <v>7</v>
      </c>
      <c r="R84" s="467">
        <f t="shared" si="0"/>
        <v>7</v>
      </c>
      <c r="S84" s="468"/>
      <c r="T84" s="469"/>
    </row>
    <row r="85" spans="2:20" ht="17.25" thickBot="1" thickTop="1">
      <c r="B85" s="418"/>
      <c r="C85" s="7"/>
      <c r="D85" s="7"/>
      <c r="E85" s="7"/>
      <c r="F85" s="470" t="s">
        <v>156</v>
      </c>
      <c r="G85" s="471">
        <f>+'[1]Tasa de Falla'!BP100</f>
        <v>2.86</v>
      </c>
      <c r="H85" s="471">
        <f>+'[1]Tasa de Falla'!BQ100</f>
        <v>2.71</v>
      </c>
      <c r="I85" s="471">
        <f>+'[1]Tasa de Falla'!BR100</f>
        <v>3.18</v>
      </c>
      <c r="J85" s="471">
        <f>+'[1]Tasa de Falla'!BS100</f>
        <v>3.15</v>
      </c>
      <c r="K85" s="471">
        <f>+'[1]Tasa de Falla'!BT100</f>
        <v>2.93</v>
      </c>
      <c r="L85" s="471">
        <f>+'[1]Tasa de Falla'!BU100</f>
        <v>2.78</v>
      </c>
      <c r="M85" s="471">
        <f>+'[1]Tasa de Falla'!BV100</f>
        <v>2.78</v>
      </c>
      <c r="N85" s="471">
        <f>+'[1]Tasa de Falla'!BW100</f>
        <v>2.69</v>
      </c>
      <c r="O85" s="471">
        <f>+'[1]Tasa de Falla'!BX100</f>
        <v>2.92</v>
      </c>
      <c r="P85" s="471">
        <f>+'[1]Tasa de Falla'!BY100</f>
        <v>3.15</v>
      </c>
      <c r="Q85" s="471">
        <f>+'[1]Tasa de Falla'!BZ100</f>
        <v>3.08</v>
      </c>
      <c r="R85" s="471">
        <f>+'[1]Tasa de Falla'!CA100</f>
        <v>3.25</v>
      </c>
      <c r="S85" s="471">
        <f>ROUND(SUM(G84:R84)/$F$83*100,2)</f>
        <v>3.43</v>
      </c>
      <c r="T85" s="472"/>
    </row>
    <row r="86" spans="2:21" ht="18.75" customHeight="1" thickBot="1" thickTop="1">
      <c r="B86" s="418"/>
      <c r="C86" s="473"/>
      <c r="D86" s="86" t="s">
        <v>157</v>
      </c>
      <c r="E86" s="474"/>
      <c r="F86" s="475"/>
      <c r="G86" s="476"/>
      <c r="H86" s="476"/>
      <c r="I86" s="476"/>
      <c r="J86" s="476"/>
      <c r="K86" s="477"/>
      <c r="L86" s="477"/>
      <c r="M86" s="477"/>
      <c r="N86" s="477"/>
      <c r="O86" s="478"/>
      <c r="P86" s="477"/>
      <c r="Q86" s="477"/>
      <c r="R86" s="479"/>
      <c r="S86" s="479"/>
      <c r="T86" s="480"/>
      <c r="U86" s="481"/>
    </row>
    <row r="87" spans="2:20" ht="21.75" thickBot="1" thickTop="1">
      <c r="B87" s="482"/>
      <c r="C87" s="483" t="s">
        <v>158</v>
      </c>
      <c r="D87" s="86" t="s">
        <v>159</v>
      </c>
      <c r="E87" s="7"/>
      <c r="F87" s="484"/>
      <c r="G87" s="485"/>
      <c r="H87" s="485"/>
      <c r="I87" s="486" t="s">
        <v>160</v>
      </c>
      <c r="J87" s="487">
        <f>+S85</f>
        <v>3.43</v>
      </c>
      <c r="K87" s="488" t="s">
        <v>161</v>
      </c>
      <c r="L87" s="485"/>
      <c r="M87" s="485"/>
      <c r="N87" s="489"/>
      <c r="P87" s="490"/>
      <c r="Q87" s="1"/>
      <c r="R87" s="1"/>
      <c r="S87" s="1"/>
      <c r="T87" s="422"/>
    </row>
    <row r="88" spans="2:20" ht="18.75" customHeight="1" thickBot="1">
      <c r="B88" s="491"/>
      <c r="C88" s="492"/>
      <c r="D88" s="133"/>
      <c r="E88" s="133"/>
      <c r="F88" s="493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5"/>
      <c r="R88" s="495"/>
      <c r="S88" s="495"/>
      <c r="T88" s="496"/>
    </row>
    <row r="89" spans="2:21" ht="15" customHeight="1" thickTop="1">
      <c r="B89" s="497"/>
      <c r="C89" s="1"/>
      <c r="D89" s="1"/>
      <c r="E89" s="1"/>
      <c r="F89" s="498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1"/>
      <c r="R89" s="1"/>
      <c r="S89" s="1"/>
      <c r="T89" s="1"/>
      <c r="U89" s="1"/>
    </row>
    <row r="90" spans="2:21" ht="12.75">
      <c r="B90" s="499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</row>
    <row r="91" ht="12.75">
      <c r="B91" s="501"/>
    </row>
    <row r="92" spans="2:21" ht="22.5" customHeight="1">
      <c r="B92" s="1"/>
      <c r="D92" s="1"/>
      <c r="E92" s="1"/>
      <c r="F92" s="1"/>
      <c r="G92" s="502"/>
      <c r="H92" s="490"/>
      <c r="I92" s="490"/>
      <c r="J92" s="490"/>
      <c r="K92" s="490"/>
      <c r="L92" s="490"/>
      <c r="M92" s="490"/>
      <c r="N92" s="490"/>
      <c r="O92" s="490"/>
      <c r="P92" s="490"/>
      <c r="Q92" s="1"/>
      <c r="R92" s="1"/>
      <c r="S92" s="1"/>
      <c r="T92" s="1"/>
      <c r="U92" s="1"/>
    </row>
    <row r="93" spans="2:21" ht="22.5" customHeight="1">
      <c r="B93" s="1"/>
      <c r="C93" s="1"/>
      <c r="D93" s="503"/>
      <c r="E93" s="503"/>
      <c r="F93" s="420"/>
      <c r="G93" s="502"/>
      <c r="H93" s="502"/>
      <c r="I93" s="502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</row>
    <row r="94" spans="2:21" ht="22.5" customHeight="1">
      <c r="B94" s="1"/>
      <c r="C94" s="1"/>
      <c r="D94" s="503"/>
      <c r="E94" s="503"/>
      <c r="F94" s="504"/>
      <c r="G94" s="502"/>
      <c r="H94" s="490"/>
      <c r="I94" s="490"/>
      <c r="J94" s="490"/>
      <c r="K94" s="490"/>
      <c r="L94" s="490"/>
      <c r="M94" s="490"/>
      <c r="N94" s="490"/>
      <c r="O94" s="490"/>
      <c r="P94" s="490"/>
      <c r="Q94" s="1"/>
      <c r="R94" s="1"/>
      <c r="S94" s="1"/>
      <c r="T94" s="1"/>
      <c r="U94" s="1"/>
    </row>
    <row r="95" spans="2:21" ht="22.5" customHeight="1">
      <c r="B95" s="1"/>
      <c r="C95" s="1"/>
      <c r="D95" s="421"/>
      <c r="E95" s="421"/>
      <c r="F95" s="421"/>
      <c r="G95" s="505"/>
      <c r="H95" s="490"/>
      <c r="I95" s="490"/>
      <c r="J95" s="490"/>
      <c r="K95" s="490"/>
      <c r="L95" s="490"/>
      <c r="M95" s="490"/>
      <c r="N95" s="490"/>
      <c r="O95" s="490"/>
      <c r="P95" s="490"/>
      <c r="Q95" s="1"/>
      <c r="R95" s="1"/>
      <c r="S95" s="1"/>
      <c r="T95" s="1"/>
      <c r="U95" s="1"/>
    </row>
    <row r="96" spans="2:21" ht="22.5" customHeight="1">
      <c r="B96" s="1"/>
      <c r="C96" s="1"/>
      <c r="D96" s="503"/>
      <c r="E96" s="503"/>
      <c r="F96" s="421"/>
      <c r="G96" s="505"/>
      <c r="H96" s="490"/>
      <c r="I96" s="490"/>
      <c r="J96" s="490"/>
      <c r="K96" s="490"/>
      <c r="L96" s="490"/>
      <c r="M96" s="490"/>
      <c r="N96" s="490"/>
      <c r="O96" s="490"/>
      <c r="P96" s="490"/>
      <c r="Q96" s="1"/>
      <c r="R96" s="1"/>
      <c r="S96" s="1"/>
      <c r="T96" s="1"/>
      <c r="U96" s="1"/>
    </row>
    <row r="97" spans="7:16" ht="22.5" customHeight="1">
      <c r="G97" s="490"/>
      <c r="H97" s="506"/>
      <c r="I97" s="506"/>
      <c r="J97" s="506"/>
      <c r="K97" s="506"/>
      <c r="L97" s="506"/>
      <c r="M97" s="506"/>
      <c r="N97" s="506"/>
      <c r="O97" s="506"/>
      <c r="P97" s="506"/>
    </row>
    <row r="98" spans="7:16" ht="22.5" customHeight="1">
      <c r="G98" s="490"/>
      <c r="H98" s="506"/>
      <c r="I98" s="506"/>
      <c r="J98" s="506"/>
      <c r="K98" s="506"/>
      <c r="L98" s="506"/>
      <c r="M98" s="506"/>
      <c r="N98" s="506"/>
      <c r="O98" s="506"/>
      <c r="P98" s="506"/>
    </row>
    <row r="99" ht="22.5" customHeight="1">
      <c r="G99" s="1"/>
    </row>
    <row r="100" ht="22.5" customHeight="1">
      <c r="G100" s="1"/>
    </row>
    <row r="101" ht="22.5" customHeight="1">
      <c r="G101" s="1"/>
    </row>
    <row r="102" ht="22.5" customHeight="1">
      <c r="G102" s="1"/>
    </row>
    <row r="103" ht="22.5" customHeight="1">
      <c r="G103" s="1"/>
    </row>
    <row r="104" ht="22.5" customHeight="1">
      <c r="G104" s="1"/>
    </row>
    <row r="105" ht="22.5" customHeight="1">
      <c r="G105" s="1"/>
    </row>
    <row r="106" ht="22.5" customHeight="1">
      <c r="G106" s="1"/>
    </row>
    <row r="107" ht="22.5" customHeight="1">
      <c r="G107" s="1"/>
    </row>
    <row r="108" ht="22.5" customHeight="1">
      <c r="G108" s="1"/>
    </row>
    <row r="109" ht="22.5" customHeight="1"/>
    <row r="110" ht="22.5" customHeight="1"/>
    <row r="111" ht="22.5" customHeight="1"/>
    <row r="112" ht="22.5" customHeight="1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</sheetData>
  <mergeCells count="2">
    <mergeCell ref="A3:C3"/>
    <mergeCell ref="A4:C4"/>
  </mergeCells>
  <printOptions/>
  <pageMargins left="0.67" right="0.3937007874015748" top="0.5905511811023623" bottom="0.5905511811023623" header="0.5118110236220472" footer="0.3937007874015748"/>
  <pageSetup fitToHeight="1" fitToWidth="1" horizontalDpi="300" verticalDpi="300" orientation="portrait" paperSize="9" scale="43" r:id="rId2"/>
  <headerFooter alignWithMargins="0">
    <oddFooter xml:space="preserve">&amp;L&amp;"Times New Roman,Normal"&amp;6&amp;F - TRANSPORTE de ENERGÍA ELÉCTRICA - AJF/fb - &amp;P/&amp;N&amp;C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Juan Pablo Llorens</cp:lastModifiedBy>
  <cp:lastPrinted>2001-06-19T21:24:23Z</cp:lastPrinted>
  <dcterms:created xsi:type="dcterms:W3CDTF">1998-04-21T14:04:37Z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