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10" windowHeight="3510" tabRatio="661" activeTab="0"/>
  </bookViews>
  <sheets>
    <sheet name="tot-0003" sheetId="1" r:id="rId1"/>
    <sheet name="LI-0003" sheetId="2" r:id="rId2"/>
    <sheet name="LI-0003 (2)" sheetId="3" r:id="rId3"/>
    <sheet name="TR-0003" sheetId="4" r:id="rId4"/>
    <sheet name="TR-EDESA" sheetId="5" r:id="rId5"/>
    <sheet name="SA-0003" sheetId="6" r:id="rId6"/>
    <sheet name="SUP-EDESA" sheetId="7" r:id="rId7"/>
    <sheet name="TRANSNOA" sheetId="8" r:id="rId8"/>
  </sheets>
  <externalReferences>
    <externalReference r:id="rId11"/>
  </externalReferences>
  <definedNames>
    <definedName name="_xlnm.Print_Area" localSheetId="1">'LI-0003'!$A$1:$Z$43</definedName>
    <definedName name="_xlnm.Print_Area" localSheetId="2">'LI-0003 (2)'!$A$1:$Z$39</definedName>
    <definedName name="_xlnm.Print_Area" localSheetId="5">'SA-0003'!$A$1:$U$45</definedName>
    <definedName name="_xlnm.Print_Area" localSheetId="6">'SUP-EDESA'!$A$1:$P$55</definedName>
    <definedName name="_xlnm.Print_Area" localSheetId="0">'tot-0003'!$A$1:$K$32</definedName>
    <definedName name="_xlnm.Print_Area" localSheetId="3">'TR-0003'!$A$1:$AB$49</definedName>
    <definedName name="_xlnm.Print_Area" localSheetId="7">'TRANSNOA'!$A$1:$T$88</definedName>
    <definedName name="INICIO" localSheetId="7">'TRANSNOA'!INICIO</definedName>
    <definedName name="INICIO">[0]!INICIO</definedName>
  </definedNames>
  <calcPr fullCalcOnLoad="1"/>
</workbook>
</file>

<file path=xl/sharedStrings.xml><?xml version="1.0" encoding="utf-8"?>
<sst xmlns="http://schemas.openxmlformats.org/spreadsheetml/2006/main" count="475" uniqueCount="197">
  <si>
    <t>SISTEMA DE TRANSPORTE DE ENERGÍA ELÉCTRICA POR DISTRIBUCIÓN TRONCAL</t>
  </si>
  <si>
    <t>TRANSNOA S.A.</t>
  </si>
  <si>
    <t>LÍNEAS</t>
  </si>
  <si>
    <t>C.H. RIO HONDO - LA BANDA</t>
  </si>
  <si>
    <t>C.H. RIO HONDO - VILLA QUINTEROS</t>
  </si>
  <si>
    <t>CEVIL POZO - TUCUMAN NORTE</t>
  </si>
  <si>
    <t>ESTATICA SUR - INDEPENDENCIA (O.F.)</t>
  </si>
  <si>
    <t>GÜEMES - METAN</t>
  </si>
  <si>
    <t>LA BANDA - SANTIAGO CENTRO</t>
  </si>
  <si>
    <t>METAN - TUCUMAN NORTE</t>
  </si>
  <si>
    <t>PICHANAL - TARTAGAL</t>
  </si>
  <si>
    <t>SAN PEDRO JUJUY - LIBERTADOR NOA</t>
  </si>
  <si>
    <t>TUCUMAN NORTE - EL BRACHO</t>
  </si>
  <si>
    <t>SALTA SUR - SALTA NORTE</t>
  </si>
  <si>
    <t>LOS PIZARROS - ESCABA</t>
  </si>
  <si>
    <t>TRAFO 1</t>
  </si>
  <si>
    <t>132/33/13,2</t>
  </si>
  <si>
    <t>TRAFO 2</t>
  </si>
  <si>
    <t xml:space="preserve">CATAMARCA </t>
  </si>
  <si>
    <t>TRAFO 3</t>
  </si>
  <si>
    <t>TRAFO</t>
  </si>
  <si>
    <t>132/13,2</t>
  </si>
  <si>
    <t xml:space="preserve">HUACRA </t>
  </si>
  <si>
    <t>33/13,2</t>
  </si>
  <si>
    <t>INDEPENDENCIA</t>
  </si>
  <si>
    <t xml:space="preserve">LA BANDA </t>
  </si>
  <si>
    <t xml:space="preserve">LA RIOJA </t>
  </si>
  <si>
    <t xml:space="preserve">PALPALA </t>
  </si>
  <si>
    <t xml:space="preserve">SAN PEDRO </t>
  </si>
  <si>
    <t xml:space="preserve">TUCUMAN NORTE </t>
  </si>
  <si>
    <t xml:space="preserve"> SALIDA CHAÑARITO</t>
  </si>
  <si>
    <t>SALIDA CHUMBICHA</t>
  </si>
  <si>
    <t>SALIDA EL RODEO</t>
  </si>
  <si>
    <t>SALIDA LA MERCED</t>
  </si>
  <si>
    <t>SALIDA PARQUE INDUSTR.</t>
  </si>
  <si>
    <t>SALIDA T.A.S.A.</t>
  </si>
  <si>
    <t>SALTA SUR</t>
  </si>
  <si>
    <t xml:space="preserve">ENTE NACIONAL REGULADOR </t>
  </si>
  <si>
    <t>DE LA ELECTRICIDAD</t>
  </si>
  <si>
    <t>Sanciones duplicadas por tasa de falla &gt; 4 Sal. x año/100km.</t>
  </si>
  <si>
    <t>1.-</t>
  </si>
  <si>
    <t>Equipamiento propio</t>
  </si>
  <si>
    <t>Equipamiento del T.I. EDESA S.A.</t>
  </si>
  <si>
    <t>2.-</t>
  </si>
  <si>
    <t>CONEXIÓN</t>
  </si>
  <si>
    <t>2.1.-</t>
  </si>
  <si>
    <t>Transformación</t>
  </si>
  <si>
    <t>2.1.1.-</t>
  </si>
  <si>
    <t>2.1.2.-</t>
  </si>
  <si>
    <t>2.2.-</t>
  </si>
  <si>
    <t>Salidas</t>
  </si>
  <si>
    <t>3.-</t>
  </si>
  <si>
    <t>SUPERVISIÓN del T.I. EDESA S.A.</t>
  </si>
  <si>
    <t xml:space="preserve">TOTAL </t>
  </si>
  <si>
    <t>SISTEMA DE TRANSPORTE DE ENERGÍA ELÉCTRICA POR DISTRIBUCIÓN TRONCAL - TRANSNOA S.A.</t>
  </si>
  <si>
    <t>1.- LÍNEAS</t>
  </si>
  <si>
    <t xml:space="preserve">$/100 km-h : LINEAS 132 kV </t>
  </si>
  <si>
    <t>FACTOR DE PENALIZACION  K =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</si>
  <si>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</si>
  <si>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</si>
  <si>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</si>
  <si>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</si>
  <si>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</si>
  <si>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</si>
  <si>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</si>
  <si>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</si>
  <si>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</si>
  <si>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C.R.
%</t>
  </si>
  <si>
    <t>PENALIZ.
PROGRAM.</t>
  </si>
  <si>
    <t>REDUCC.
PROGRAM.</t>
  </si>
  <si>
    <t>PENALIZACION FORZADA
Por Salida    1ras. 3 hs.   hs. Restantes</t>
  </si>
  <si>
    <t>REDUCC. FORZADA
Por Salida     1ras. 3 hs.     hs. Restantes</t>
  </si>
  <si>
    <t>RESTANTE
FORZADA</t>
  </si>
  <si>
    <t>REDUCC.
RESTANTE</t>
  </si>
  <si>
    <t>Informó
en 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</si>
  <si>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</si>
  <si>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</si>
  <si>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P - PROGRAMADA                    RP - REDUCCIÓN PROGRAMADA                    RR - REDUCCIÓN RESTANTE ( proveniente de horas anteriores )</t>
  </si>
  <si>
    <t>F - FORZADA                       R - REDUCCIÓN FORZADA                        RF - RESTANTE FORZADA ( proveniente de horas anteriores )</t>
  </si>
  <si>
    <t>2.- CONEXIÓN</t>
  </si>
  <si>
    <t>2.1.- Transformación</t>
  </si>
  <si>
    <t>2.1.1.- Equipamiento propio</t>
  </si>
  <si>
    <t>Por Transformador por MVA    $ =</t>
  </si>
  <si>
    <t>Coeficiente de penalización por salida forzada   =</t>
  </si>
  <si>
    <t>ESTACIÓN
TRANSFORMADORA</t>
  </si>
  <si>
    <t>EQUIPO</t>
  </si>
  <si>
    <t>POT.
[MVA]</t>
  </si>
  <si>
    <t>Hs
Indisp.</t>
  </si>
  <si>
    <t>Mtos.
Indisp.</t>
  </si>
  <si>
    <t>AUT.</t>
  </si>
  <si>
    <t>E.N.S.</t>
  </si>
  <si>
    <t>K (P;ENS)</t>
  </si>
  <si>
    <t>PENALIZAC. FORZADA
Por Salida       hs. Restantes</t>
  </si>
  <si>
    <t>REDUCC. FORZADA
Por Salida       hs. Restantes</t>
  </si>
  <si>
    <t>SISTEMA DE TRANSPORTE DE ENERGÍA ELÉCTRICA POR DISTRIBUCIÓN TRONCAL -  TRANSNOA S.A.</t>
  </si>
  <si>
    <t>2.2.- Salidas</t>
  </si>
  <si>
    <t xml:space="preserve">Salida en 132 kV o 66 kV = </t>
  </si>
  <si>
    <t xml:space="preserve">Salida en 33 kV </t>
  </si>
  <si>
    <t>Salida en 13,2 kV =</t>
  </si>
  <si>
    <t>Hs.
Indisp.</t>
  </si>
  <si>
    <t>K</t>
  </si>
  <si>
    <t>GÜEMES - CEVIL POZO</t>
  </si>
  <si>
    <t>SALIDA CORRALITO B</t>
  </si>
  <si>
    <t>CABRA CORRAL - SAN FRANCISCO</t>
  </si>
  <si>
    <t>SAN FRANCISCO - SALTA SUR</t>
  </si>
  <si>
    <t>VILLA QUINTEROS - ANDALGALA</t>
  </si>
  <si>
    <t>ANDALGALA - BELEN</t>
  </si>
  <si>
    <t>FACTOR X =</t>
  </si>
  <si>
    <t>Transporte de la hoja 1/3</t>
  </si>
  <si>
    <t>F</t>
  </si>
  <si>
    <t>:</t>
  </si>
  <si>
    <t>P</t>
  </si>
  <si>
    <t>R</t>
  </si>
  <si>
    <t>NO</t>
  </si>
  <si>
    <t>SI</t>
  </si>
  <si>
    <t>RP</t>
  </si>
  <si>
    <t>Desde el 01 al 31 de marzo de 2000</t>
  </si>
  <si>
    <t xml:space="preserve">SISTEMA DE TRANSPORTE DE ENERGÍA ELÉCTRICA POR DISTRIBUCIÓN TRONCAL </t>
  </si>
  <si>
    <t>INDISPONIBILIDADES FORZADAS DE LÍNEAS - TASA DE FALLA</t>
  </si>
  <si>
    <t xml:space="preserve">Longitud Total    </t>
  </si>
  <si>
    <t xml:space="preserve">Indisponibilidades Forzadas  </t>
  </si>
  <si>
    <t xml:space="preserve">TASA DE FALLA  </t>
  </si>
  <si>
    <t xml:space="preserve">  Valores Provisorios</t>
  </si>
  <si>
    <t>XXX</t>
  </si>
  <si>
    <t xml:space="preserve">  Línea no computada en el mes</t>
  </si>
  <si>
    <t>TASA DE FALLA</t>
  </si>
  <si>
    <t>SALIDAS x AÑO / 100 km</t>
  </si>
  <si>
    <t>HUACRA - CATAMARCA</t>
  </si>
  <si>
    <t>SALIDA INTERCON. ROCA 1</t>
  </si>
  <si>
    <t>SALIDA INTERCON. ROCA 2</t>
  </si>
  <si>
    <t>SALIDA LA BANDA 1</t>
  </si>
  <si>
    <t>SALIDA LA BANDA 2</t>
  </si>
  <si>
    <t xml:space="preserve"> SALIDA SANTIAGO CENTRO</t>
  </si>
  <si>
    <t>SALIDA SANTIAGO 1</t>
  </si>
  <si>
    <t>3.- SUPERVISIÓN - Transportista Independiente EDESA S.A.</t>
  </si>
  <si>
    <r>
      <t xml:space="preserve">a) </t>
    </r>
    <r>
      <rPr>
        <b/>
        <u val="single"/>
        <sz val="12"/>
        <rFont val="Times New Roman"/>
        <family val="1"/>
      </rPr>
      <t>Datos</t>
    </r>
  </si>
  <si>
    <t xml:space="preserve">$/100 km-h : LÍNEAS 132 kV </t>
  </si>
  <si>
    <t>Tiempo de servicio =</t>
  </si>
  <si>
    <t>hs</t>
  </si>
  <si>
    <t xml:space="preserve">Cargo por Transformador por MVA = </t>
  </si>
  <si>
    <t>Porcentaje por Supervisión  =</t>
  </si>
  <si>
    <t>SANCIÓN al T.I.</t>
  </si>
  <si>
    <t>SEGÚN 1.2.</t>
  </si>
  <si>
    <t>TRANSFORMACIÓN</t>
  </si>
  <si>
    <t>SEGÚN 2.1.2.</t>
  </si>
  <si>
    <t>SALIDAS</t>
  </si>
  <si>
    <t>SEGÚN 2.2.2.</t>
  </si>
  <si>
    <t>SM =</t>
  </si>
  <si>
    <t>Cargo por Capacidad de Transporte</t>
  </si>
  <si>
    <t>U [kV]</t>
  </si>
  <si>
    <t>Long [km]</t>
  </si>
  <si>
    <t>Cargo por C. T.</t>
  </si>
  <si>
    <t>TOTAL</t>
  </si>
  <si>
    <t>METAN - EL TUNAL</t>
  </si>
  <si>
    <t>EL TUNAL - J.V.GONZALEZ</t>
  </si>
  <si>
    <t>Cargo por Capacidad de Transformación</t>
  </si>
  <si>
    <t>Equipo</t>
  </si>
  <si>
    <t>Pot [MVA]</t>
  </si>
  <si>
    <t>E.T</t>
  </si>
  <si>
    <t>Cargo</t>
  </si>
  <si>
    <t>J.V. GONZALEZ</t>
  </si>
  <si>
    <t>T1</t>
  </si>
  <si>
    <t>Alimentador Tolloche</t>
  </si>
  <si>
    <t>T2</t>
  </si>
  <si>
    <t>Alimentador Lajitas</t>
  </si>
  <si>
    <t>EL TUNAL</t>
  </si>
  <si>
    <t>Alimentador J. V. Gonzalez</t>
  </si>
  <si>
    <t>Alimentador El Tunal</t>
  </si>
  <si>
    <t>Alimentador Quebrachal</t>
  </si>
  <si>
    <t>RM =</t>
  </si>
  <si>
    <t xml:space="preserve">Cargo por Supervisión afectado a la sanción </t>
  </si>
  <si>
    <t>CS =</t>
  </si>
  <si>
    <t>Sanción Calculada</t>
  </si>
  <si>
    <t>TOTAL A PENALIZAR A TRANSNOA S.A. POR SUPERVISIÓN A  EDESA S.A.</t>
  </si>
  <si>
    <t>SANCIÓN  =</t>
  </si>
  <si>
    <r>
      <t xml:space="preserve">b) </t>
    </r>
    <r>
      <rPr>
        <b/>
        <u val="single"/>
        <sz val="11"/>
        <rFont val="Times New Roman"/>
        <family val="1"/>
      </rPr>
      <t>SM</t>
    </r>
    <r>
      <rPr>
        <b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 es la suma de las sanciones a que en cada mes se hiciere pasible el Transportista Independiente, valorizadas con idénticos criterios que los que se aplican a la Concesionaria.</t>
    </r>
  </si>
  <si>
    <r>
      <t xml:space="preserve">c) </t>
    </r>
    <r>
      <rPr>
        <b/>
        <u val="single"/>
        <sz val="11"/>
        <rFont val="Times New Roman"/>
        <family val="1"/>
      </rPr>
      <t xml:space="preserve">RM </t>
    </r>
    <r>
      <rPr>
        <sz val="11"/>
        <rFont val="Times New Roman"/>
        <family val="1"/>
      </rPr>
      <t>: es la remuneración que mensualmente recibiría el Transportista Independiente, si su servicio fuera valorizado conforme al régimen remuneratorio que se aplica a la Concesionaria.</t>
    </r>
  </si>
  <si>
    <r>
      <t xml:space="preserve">d) </t>
    </r>
    <r>
      <rPr>
        <b/>
        <u val="single"/>
        <sz val="12"/>
        <rFont val="Times New Roman"/>
        <family val="1"/>
      </rPr>
      <t>CS:</t>
    </r>
    <r>
      <rPr>
        <sz val="12"/>
        <rFont val="Times New Roman"/>
        <family val="1"/>
      </rPr>
      <t xml:space="preserve"> Es el cargo por Supervisión de la Operación que la Transportista percibe por supervisar la operación y mantenimiento del Transportista Independiente.</t>
    </r>
  </si>
  <si>
    <r>
      <t xml:space="preserve">e) </t>
    </r>
    <r>
      <rPr>
        <b/>
        <u val="single"/>
        <sz val="11"/>
        <rFont val="Times New Roman"/>
        <family val="1"/>
      </rPr>
      <t>SANCIÓN</t>
    </r>
  </si>
  <si>
    <t>2.1.2.- Transportista Independiente EDESA S.A.</t>
  </si>
  <si>
    <t>J. V. GONZALEZ</t>
  </si>
  <si>
    <t>Cargo por E.E.T. (DTE 0003)</t>
  </si>
  <si>
    <t>I</t>
  </si>
  <si>
    <t>LA RIOJA - RECREO</t>
  </si>
  <si>
    <t>&gt;&gt;</t>
  </si>
  <si>
    <t>#</t>
  </si>
  <si>
    <t>&gt;&gt; - Cargos modificados respecto la Res. DTEE 140/2000</t>
  </si>
  <si>
    <t># - Cargos adicionales</t>
  </si>
  <si>
    <t>RR</t>
  </si>
  <si>
    <t>30A</t>
  </si>
  <si>
    <t>30B</t>
  </si>
  <si>
    <t>42A</t>
  </si>
  <si>
    <t>43A</t>
  </si>
  <si>
    <t>Reemplaza la hoja 4 del Anexo a la Resolución D.T.E.E. N° 140/2000</t>
  </si>
  <si>
    <t>Correspondiente al mes de MARZO de 2000</t>
  </si>
  <si>
    <t>TOTAL DE PENALIZACIONES A APLICAR</t>
  </si>
  <si>
    <t>ANEXO I A LA RESOLUCION ENRE N° 82/2001</t>
  </si>
</sst>
</file>

<file path=xl/styles.xml><?xml version="1.0" encoding="utf-8"?>
<styleSheet xmlns="http://schemas.openxmlformats.org/spreadsheetml/2006/main">
  <numFmts count="9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_)"/>
    <numFmt numFmtId="189" formatCode="0.0_)"/>
    <numFmt numFmtId="190" formatCode="0.0000000_)"/>
    <numFmt numFmtId="191" formatCode="#,##0.0000"/>
    <numFmt numFmtId="192" formatCode="0.00_)"/>
    <numFmt numFmtId="193" formatCode="&quot;$&quot;\ #,##0.00_);\(&quot;$&quot;\ #,##0.00\)"/>
    <numFmt numFmtId="194" formatCode="#,##0.00000"/>
    <numFmt numFmtId="195" formatCode="0.0"/>
    <numFmt numFmtId="196" formatCode="0.0000"/>
    <numFmt numFmtId="197" formatCode="#,##\$\ 0.00;\-#,##\$\ 0.00,"/>
    <numFmt numFmtId="198" formatCode="\$\ #,##0.00,_);\(\$\ #,##0.00,\)"/>
    <numFmt numFmtId="199" formatCode="&quot;$&quot;\ #,##0.000;&quot;$&quot;\ \-#,##0.000"/>
    <numFmt numFmtId="200" formatCode="#,##0.0"/>
    <numFmt numFmtId="201" formatCode="0.00000"/>
    <numFmt numFmtId="202" formatCode="0.000_)"/>
    <numFmt numFmtId="203" formatCode="0.000"/>
    <numFmt numFmtId="204" formatCode="&quot;$&quot;#,##0.00\ ;&quot;$&quot;\-#,##0.00\ "/>
    <numFmt numFmtId="205" formatCode="0.0%"/>
    <numFmt numFmtId="206" formatCode="dd\-mmm\-yy_)"/>
    <numFmt numFmtId="207" formatCode="#,##0.0_);\(#,##0.0\)"/>
    <numFmt numFmtId="208" formatCode="&quot;$&quot;\ #,##0.00;&quot;$&quot;\ \-#,##0.000"/>
    <numFmt numFmtId="209" formatCode="&quot;$&quot;\ #,##0;\-&quot;$&quot;\ #,##0"/>
    <numFmt numFmtId="210" formatCode="&quot;$&quot;\ #,##0;[Red]\-&quot;$&quot;\ #,##0"/>
    <numFmt numFmtId="211" formatCode="&quot;$&quot;\ #,##0.00;\-&quot;$&quot;\ #,##0.00"/>
    <numFmt numFmtId="212" formatCode="&quot;$&quot;\ #,##0.00;[Red]\-&quot;$&quot;\ #,##0.00"/>
    <numFmt numFmtId="213" formatCode="_-&quot;$&quot;\ * #,##0_-;\-&quot;$&quot;\ * #,##0_-;_-&quot;$&quot;\ * &quot;-&quot;_-;_-@_-"/>
    <numFmt numFmtId="214" formatCode="_-* #,##0_-;\-* #,##0_-;_-* &quot;-&quot;_-;_-@_-"/>
    <numFmt numFmtId="215" formatCode="_-&quot;$&quot;\ * #,##0.00_-;\-&quot;$&quot;\ * #,##0.00_-;_-&quot;$&quot;\ * &quot;-&quot;??_-;_-@_-"/>
    <numFmt numFmtId="216" formatCode="_-* #,##0.00_-;\-* #,##0.00_-;_-* &quot;-&quot;??_-;_-@_-"/>
    <numFmt numFmtId="217" formatCode="&quot;$&quot;#,##0.00"/>
    <numFmt numFmtId="218" formatCode="#.\-"/>
    <numFmt numFmtId="219" formatCode="#.#.\-"/>
    <numFmt numFmtId="220" formatCode="\2.\5%"/>
    <numFmt numFmtId="221" formatCode=".00%"/>
    <numFmt numFmtId="222" formatCode="#,##0&quot;Pts&quot;_);\(#,##0&quot;Pts&quot;\)"/>
    <numFmt numFmtId="223" formatCode="#,##0&quot;Pts&quot;_);[Red]\(#,##0&quot;Pts&quot;\)"/>
    <numFmt numFmtId="224" formatCode="#,##0.00&quot;Pts&quot;_);\(#,##0.00&quot;Pts&quot;\)"/>
    <numFmt numFmtId="225" formatCode="#,##0.00&quot;Pts&quot;_);[Red]\(#,##0.00&quot;Pts&quot;\)"/>
    <numFmt numFmtId="226" formatCode="_ * #,##0_)&quot;Pts&quot;_ ;_ * \(#,##0\)&quot;Pts&quot;_ ;_ * &quot;-&quot;_)&quot;Pts&quot;_ ;_ @_ "/>
    <numFmt numFmtId="227" formatCode="_ * #,##0_)_P_t_s_ ;_ * \(#,##0\)_P_t_s_ ;_ * &quot;-&quot;_)_P_t_s_ ;_ @_ "/>
    <numFmt numFmtId="228" formatCode="_ * #,##0.00_)&quot;Pts&quot;_ ;_ * \(#,##0.00\)&quot;Pts&quot;_ ;_ * &quot;-&quot;??_)&quot;Pts&quot;_ ;_ @_ "/>
    <numFmt numFmtId="229" formatCode="_ * #,##0.00_)_P_t_s_ ;_ * \(#,##0.00\)_P_t_s_ ;_ * &quot;-&quot;??_)_P_t_s_ ;_ @_ "/>
    <numFmt numFmtId="230" formatCode="&quot;$&quot;#,##0.00;&quot;$&quot;\-#,##0.00"/>
    <numFmt numFmtId="231" formatCode="0.000000"/>
    <numFmt numFmtId="232" formatCode="0.0\ \k\V"/>
    <numFmt numFmtId="233" formatCode="0.0\ &quot;km&quot;"/>
    <numFmt numFmtId="234" formatCode="#\ &quot;km&quot;"/>
    <numFmt numFmtId="235" formatCode="0.00\ &quot;km&quot;"/>
    <numFmt numFmtId="236" formatCode="0.00\ &quot;MVA&quot;"/>
    <numFmt numFmtId="237" formatCode="0.0000000"/>
    <numFmt numFmtId="238" formatCode="0.00000000"/>
    <numFmt numFmtId="239" formatCode="0#"/>
    <numFmt numFmtId="240" formatCode="d\ h:mm"/>
    <numFmt numFmtId="241" formatCode="d\ d\íyys\ \ h:mm"/>
    <numFmt numFmtId="242" formatCode="d\ \'d\íyys\'\ \ h:mm"/>
    <numFmt numFmtId="243" formatCode="d\ &quot;días&quot;\ \ h:mm"/>
    <numFmt numFmtId="244" formatCode="d\ &quot;días&quot;\ \ h:mm\ &quot;horas&quot;"/>
    <numFmt numFmtId="245" formatCode="&quot;$&quot;\ #,##0.0;&quot;$&quot;\ \-#,##0.0"/>
    <numFmt numFmtId="246" formatCode="#,##0.000"/>
    <numFmt numFmtId="247" formatCode="dd/mm/yy"/>
  </numFmts>
  <fonts count="8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sz val="11"/>
      <color indexed="5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b/>
      <u val="double"/>
      <sz val="10"/>
      <name val="Times New Roman"/>
      <family val="1"/>
    </font>
    <font>
      <sz val="10"/>
      <color indexed="8"/>
      <name val="MS Sans Serif"/>
      <family val="2"/>
    </font>
    <font>
      <sz val="11"/>
      <name val="MS Sans Serif"/>
      <family val="2"/>
    </font>
    <font>
      <sz val="11"/>
      <color indexed="13"/>
      <name val="Times New Roman"/>
      <family val="1"/>
    </font>
    <font>
      <sz val="11"/>
      <color indexed="8"/>
      <name val="Times New Roman"/>
      <family val="1"/>
    </font>
    <font>
      <sz val="14"/>
      <name val="MS Sans Serif"/>
      <family val="0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b/>
      <sz val="7"/>
      <name val="Times New Roman"/>
      <family val="1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sz val="11"/>
      <color indexed="12"/>
      <name val="MS Sans Serif"/>
      <family val="2"/>
    </font>
    <font>
      <b/>
      <sz val="10"/>
      <color indexed="10"/>
      <name val="Times New Roman"/>
      <family val="0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0"/>
      <color indexed="12"/>
      <name val="Times New Roman"/>
      <family val="1"/>
    </font>
    <font>
      <sz val="12"/>
      <color indexed="9"/>
      <name val="Times New Roman"/>
      <family val="1"/>
    </font>
    <font>
      <sz val="11"/>
      <color indexed="56"/>
      <name val="MS Sans Serif"/>
      <family val="2"/>
    </font>
    <font>
      <b/>
      <sz val="10"/>
      <color indexed="56"/>
      <name val="Times New Roman"/>
      <family val="0"/>
    </font>
    <font>
      <sz val="11"/>
      <color indexed="58"/>
      <name val="MS Sans Serif"/>
      <family val="2"/>
    </font>
    <font>
      <b/>
      <sz val="10"/>
      <color indexed="58"/>
      <name val="Times New Roman"/>
      <family val="0"/>
    </font>
    <font>
      <sz val="11"/>
      <color indexed="9"/>
      <name val="MS Sans Serif"/>
      <family val="2"/>
    </font>
    <font>
      <sz val="10"/>
      <color indexed="9"/>
      <name val="MS Sans Serif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26"/>
      <name val="MS Sans Serif"/>
      <family val="2"/>
    </font>
    <font>
      <b/>
      <sz val="10"/>
      <color indexed="26"/>
      <name val="Times New Roman"/>
      <family val="1"/>
    </font>
    <font>
      <sz val="11"/>
      <color indexed="8"/>
      <name val="MS Sans Serif"/>
      <family val="2"/>
    </font>
    <font>
      <b/>
      <sz val="10"/>
      <color indexed="8"/>
      <name val="Times New Roman"/>
      <family val="0"/>
    </font>
    <font>
      <sz val="11"/>
      <color indexed="62"/>
      <name val="MS Sans Serif"/>
      <family val="2"/>
    </font>
    <font>
      <b/>
      <sz val="10"/>
      <color indexed="62"/>
      <name val="Times New Roman"/>
      <family val="0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22"/>
      <name val="Times New Roman"/>
      <family val="1"/>
    </font>
    <font>
      <b/>
      <u val="single"/>
      <sz val="22"/>
      <name val="Times New Roman"/>
      <family val="1"/>
    </font>
    <font>
      <b/>
      <u val="single"/>
      <sz val="20"/>
      <name val="Arial"/>
      <family val="0"/>
    </font>
    <font>
      <b/>
      <sz val="10"/>
      <name val="Arial"/>
      <family val="2"/>
    </font>
    <font>
      <b/>
      <u val="single"/>
      <sz val="18"/>
      <name val="Times New Roman"/>
      <family val="1"/>
    </font>
    <font>
      <sz val="12"/>
      <name val="Arial"/>
      <family val="0"/>
    </font>
    <font>
      <sz val="14"/>
      <name val="Arial Narrow"/>
      <family val="2"/>
    </font>
    <font>
      <b/>
      <sz val="12"/>
      <name val="Arial"/>
      <family val="0"/>
    </font>
    <font>
      <b/>
      <sz val="10"/>
      <color indexed="10"/>
      <name val="MS Sans Serif"/>
      <family val="2"/>
    </font>
    <font>
      <b/>
      <u val="single"/>
      <sz val="12"/>
      <name val="Arial"/>
      <family val="0"/>
    </font>
    <font>
      <b/>
      <sz val="16"/>
      <name val="Times New Roman"/>
      <family val="1"/>
    </font>
    <font>
      <sz val="9"/>
      <name val="Courier New"/>
      <family val="3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Arial"/>
      <family val="0"/>
    </font>
    <font>
      <b/>
      <u val="single"/>
      <sz val="11"/>
      <name val="Times New Roman"/>
      <family val="1"/>
    </font>
    <font>
      <sz val="11"/>
      <color indexed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MS Sans Serif"/>
      <family val="0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</fills>
  <borders count="80">
    <border>
      <left/>
      <right/>
      <top/>
      <bottom/>
      <diagonal/>
    </border>
    <border>
      <left style="double"/>
      <right style="double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double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7" fillId="0" borderId="0" applyFont="0" applyFill="0" applyBorder="0" applyAlignment="0" applyProtection="0"/>
    <xf numFmtId="40" fontId="0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4" fontId="4" fillId="0" borderId="0" applyFont="0" applyFill="0" applyBorder="0" applyAlignment="0" applyProtection="0"/>
    <xf numFmtId="42" fontId="7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65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200" fontId="9" fillId="0" borderId="3" xfId="0" applyNumberFormat="1" applyFont="1" applyFill="1" applyBorder="1" applyAlignment="1" applyProtection="1">
      <alignment horizontal="center"/>
      <protection/>
    </xf>
    <xf numFmtId="0" fontId="7" fillId="0" borderId="3" xfId="0" applyFont="1" applyBorder="1" applyAlignment="1">
      <alignment/>
    </xf>
    <xf numFmtId="188" fontId="7" fillId="0" borderId="3" xfId="0" applyNumberFormat="1" applyFont="1" applyBorder="1" applyAlignment="1" applyProtection="1">
      <alignment horizontal="center"/>
      <protection/>
    </xf>
    <xf numFmtId="188" fontId="7" fillId="0" borderId="4" xfId="0" applyNumberFormat="1" applyFont="1" applyBorder="1" applyAlignment="1" applyProtection="1">
      <alignment horizontal="center"/>
      <protection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/>
    </xf>
    <xf numFmtId="22" fontId="7" fillId="0" borderId="3" xfId="0" applyNumberFormat="1" applyFont="1" applyBorder="1" applyAlignment="1">
      <alignment horizontal="center"/>
    </xf>
    <xf numFmtId="2" fontId="7" fillId="0" borderId="3" xfId="0" applyNumberFormat="1" applyFont="1" applyBorder="1" applyAlignment="1" applyProtection="1">
      <alignment horizontal="center"/>
      <protection/>
    </xf>
    <xf numFmtId="1" fontId="7" fillId="0" borderId="3" xfId="0" applyNumberFormat="1" applyFont="1" applyBorder="1" applyAlignment="1" applyProtection="1">
      <alignment horizontal="center"/>
      <protection/>
    </xf>
    <xf numFmtId="192" fontId="7" fillId="0" borderId="3" xfId="0" applyNumberFormat="1" applyFont="1" applyBorder="1" applyAlignment="1" applyProtection="1">
      <alignment horizontal="center"/>
      <protection/>
    </xf>
    <xf numFmtId="192" fontId="7" fillId="0" borderId="3" xfId="0" applyNumberFormat="1" applyFont="1" applyBorder="1" applyAlignment="1" applyProtection="1" quotePrefix="1">
      <alignment horizontal="center"/>
      <protection/>
    </xf>
    <xf numFmtId="192" fontId="7" fillId="0" borderId="9" xfId="0" applyNumberFormat="1" applyFont="1" applyBorder="1" applyAlignment="1" applyProtection="1">
      <alignment horizontal="center"/>
      <protection/>
    </xf>
    <xf numFmtId="4" fontId="9" fillId="0" borderId="10" xfId="0" applyNumberFormat="1" applyFont="1" applyBorder="1" applyAlignment="1">
      <alignment horizontal="center"/>
    </xf>
    <xf numFmtId="22" fontId="7" fillId="0" borderId="3" xfId="0" applyNumberFormat="1" applyFont="1" applyBorder="1" applyAlignment="1" applyProtection="1">
      <alignment horizontal="center"/>
      <protection/>
    </xf>
    <xf numFmtId="0" fontId="7" fillId="0" borderId="6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5" xfId="0" applyFont="1" applyFill="1" applyBorder="1" applyAlignment="1">
      <alignment horizontal="center"/>
    </xf>
    <xf numFmtId="189" fontId="7" fillId="0" borderId="1" xfId="0" applyNumberFormat="1" applyFont="1" applyBorder="1" applyAlignment="1" applyProtection="1" quotePrefix="1">
      <alignment horizontal="center"/>
      <protection/>
    </xf>
    <xf numFmtId="2" fontId="7" fillId="0" borderId="1" xfId="0" applyNumberFormat="1" applyFont="1" applyBorder="1" applyAlignment="1" applyProtection="1" quotePrefix="1">
      <alignment horizontal="center"/>
      <protection/>
    </xf>
    <xf numFmtId="192" fontId="7" fillId="0" borderId="3" xfId="0" applyNumberFormat="1" applyFont="1" applyFill="1" applyBorder="1" applyAlignment="1" applyProtection="1">
      <alignment horizontal="center"/>
      <protection/>
    </xf>
    <xf numFmtId="22" fontId="7" fillId="0" borderId="3" xfId="0" applyNumberFormat="1" applyFont="1" applyFill="1" applyBorder="1" applyAlignment="1">
      <alignment horizontal="center"/>
    </xf>
    <xf numFmtId="22" fontId="7" fillId="0" borderId="3" xfId="0" applyNumberFormat="1" applyFont="1" applyFill="1" applyBorder="1" applyAlignment="1" applyProtection="1">
      <alignment horizontal="center"/>
      <protection/>
    </xf>
    <xf numFmtId="2" fontId="7" fillId="0" borderId="3" xfId="0" applyNumberFormat="1" applyFont="1" applyFill="1" applyBorder="1" applyAlignment="1" applyProtection="1">
      <alignment horizontal="center"/>
      <protection/>
    </xf>
    <xf numFmtId="3" fontId="7" fillId="0" borderId="3" xfId="0" applyNumberFormat="1" applyFont="1" applyFill="1" applyBorder="1" applyAlignment="1" applyProtection="1">
      <alignment horizontal="center"/>
      <protection/>
    </xf>
    <xf numFmtId="192" fontId="7" fillId="0" borderId="4" xfId="0" applyNumberFormat="1" applyFont="1" applyFill="1" applyBorder="1" applyAlignment="1" applyProtection="1">
      <alignment horizontal="center"/>
      <protection/>
    </xf>
    <xf numFmtId="2" fontId="7" fillId="0" borderId="1" xfId="0" applyNumberFormat="1" applyFont="1" applyBorder="1" applyAlignment="1" applyProtection="1">
      <alignment horizontal="center"/>
      <protection/>
    </xf>
    <xf numFmtId="0" fontId="7" fillId="0" borderId="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6" xfId="0" applyFont="1" applyFill="1" applyBorder="1" applyAlignment="1" applyProtection="1">
      <alignment horizontal="center"/>
      <protection/>
    </xf>
    <xf numFmtId="22" fontId="7" fillId="0" borderId="1" xfId="0" applyNumberFormat="1" applyFont="1" applyFill="1" applyBorder="1" applyAlignment="1">
      <alignment horizontal="center"/>
    </xf>
    <xf numFmtId="22" fontId="7" fillId="0" borderId="11" xfId="0" applyNumberFormat="1" applyFont="1" applyFill="1" applyBorder="1" applyAlignment="1" applyProtection="1">
      <alignment horizontal="center"/>
      <protection/>
    </xf>
    <xf numFmtId="2" fontId="7" fillId="0" borderId="4" xfId="0" applyNumberFormat="1" applyFont="1" applyFill="1" applyBorder="1" applyAlignment="1" applyProtection="1">
      <alignment horizontal="center"/>
      <protection/>
    </xf>
    <xf numFmtId="4" fontId="10" fillId="0" borderId="4" xfId="0" applyNumberFormat="1" applyFont="1" applyFill="1" applyBorder="1" applyAlignment="1">
      <alignment horizontal="right"/>
    </xf>
    <xf numFmtId="4" fontId="10" fillId="0" borderId="3" xfId="0" applyNumberFormat="1" applyFont="1" applyFill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12" xfId="0" applyFont="1" applyBorder="1" applyAlignment="1" applyProtection="1">
      <alignment horizontal="center"/>
      <protection/>
    </xf>
    <xf numFmtId="4" fontId="7" fillId="0" borderId="4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0" fontId="12" fillId="0" borderId="13" xfId="0" applyFont="1" applyBorder="1" applyAlignment="1" applyProtection="1">
      <alignment horizontal="center"/>
      <protection/>
    </xf>
    <xf numFmtId="0" fontId="7" fillId="0" borderId="9" xfId="0" applyFont="1" applyBorder="1" applyAlignment="1" applyProtection="1">
      <alignment horizontal="center"/>
      <protection/>
    </xf>
    <xf numFmtId="39" fontId="7" fillId="0" borderId="9" xfId="0" applyNumberFormat="1" applyFont="1" applyBorder="1" applyAlignment="1" applyProtection="1">
      <alignment horizontal="center"/>
      <protection/>
    </xf>
    <xf numFmtId="192" fontId="7" fillId="0" borderId="9" xfId="0" applyNumberFormat="1" applyFont="1" applyBorder="1" applyAlignment="1" applyProtection="1" quotePrefix="1">
      <alignment horizontal="center"/>
      <protection/>
    </xf>
    <xf numFmtId="0" fontId="7" fillId="0" borderId="2" xfId="0" applyFont="1" applyFill="1" applyBorder="1" applyAlignment="1">
      <alignment/>
    </xf>
    <xf numFmtId="0" fontId="12" fillId="0" borderId="6" xfId="0" applyFont="1" applyFill="1" applyBorder="1" applyAlignment="1" applyProtection="1" quotePrefix="1">
      <alignment horizontal="center"/>
      <protection/>
    </xf>
    <xf numFmtId="0" fontId="7" fillId="0" borderId="9" xfId="0" applyFont="1" applyFill="1" applyBorder="1" applyAlignment="1">
      <alignment horizontal="center"/>
    </xf>
    <xf numFmtId="0" fontId="12" fillId="0" borderId="13" xfId="0" applyFont="1" applyFill="1" applyBorder="1" applyAlignment="1" applyProtection="1">
      <alignment horizontal="center"/>
      <protection/>
    </xf>
    <xf numFmtId="200" fontId="9" fillId="0" borderId="9" xfId="0" applyNumberFormat="1" applyFont="1" applyFill="1" applyBorder="1" applyAlignment="1" applyProtection="1">
      <alignment horizontal="center"/>
      <protection/>
    </xf>
    <xf numFmtId="199" fontId="7" fillId="0" borderId="10" xfId="0" applyNumberFormat="1" applyFont="1" applyFill="1" applyBorder="1" applyAlignment="1" applyProtection="1">
      <alignment horizontal="center"/>
      <protection/>
    </xf>
    <xf numFmtId="192" fontId="7" fillId="0" borderId="10" xfId="0" applyNumberFormat="1" applyFont="1" applyFill="1" applyBorder="1" applyAlignment="1" applyProtection="1">
      <alignment horizontal="center"/>
      <protection/>
    </xf>
    <xf numFmtId="0" fontId="7" fillId="0" borderId="5" xfId="0" applyFont="1" applyFill="1" applyBorder="1" applyAlignment="1" quotePrefix="1">
      <alignment horizontal="center"/>
    </xf>
    <xf numFmtId="8" fontId="10" fillId="0" borderId="5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5" fillId="0" borderId="0" xfId="0" applyFont="1" applyFill="1" applyBorder="1" applyAlignment="1" applyProtection="1">
      <alignment horizontal="centerContinuous"/>
      <protection/>
    </xf>
    <xf numFmtId="0" fontId="19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Fill="1" applyBorder="1" applyAlignment="1" applyProtection="1">
      <alignment horizontal="left"/>
      <protection/>
    </xf>
    <xf numFmtId="0" fontId="16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4" fillId="0" borderId="0" xfId="0" applyFont="1" applyAlignment="1">
      <alignment/>
    </xf>
    <xf numFmtId="0" fontId="25" fillId="0" borderId="16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24" fillId="0" borderId="0" xfId="0" applyNumberFormat="1" applyFont="1" applyAlignment="1">
      <alignment horizontal="centerContinuous"/>
    </xf>
    <xf numFmtId="0" fontId="25" fillId="0" borderId="0" xfId="0" applyFont="1" applyBorder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4" fillId="0" borderId="2" xfId="0" applyFont="1" applyBorder="1" applyAlignment="1">
      <alignment horizontal="centerContinuous"/>
    </xf>
    <xf numFmtId="0" fontId="24" fillId="0" borderId="0" xfId="0" applyFont="1" applyBorder="1" applyAlignment="1">
      <alignment/>
    </xf>
    <xf numFmtId="0" fontId="24" fillId="0" borderId="16" xfId="0" applyFont="1" applyBorder="1" applyAlignment="1">
      <alignment/>
    </xf>
    <xf numFmtId="0" fontId="26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4" fillId="0" borderId="2" xfId="0" applyFont="1" applyBorder="1" applyAlignment="1">
      <alignment/>
    </xf>
    <xf numFmtId="0" fontId="26" fillId="0" borderId="0" xfId="0" applyNumberFormat="1" applyFont="1" applyBorder="1" applyAlignment="1">
      <alignment horizontal="right"/>
    </xf>
    <xf numFmtId="0" fontId="26" fillId="0" borderId="0" xfId="0" applyNumberFormat="1" applyFont="1" applyBorder="1" applyAlignment="1">
      <alignment/>
    </xf>
    <xf numFmtId="7" fontId="26" fillId="0" borderId="0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26" fillId="0" borderId="0" xfId="0" applyFont="1" applyBorder="1" applyAlignment="1">
      <alignment/>
    </xf>
    <xf numFmtId="0" fontId="26" fillId="0" borderId="17" xfId="0" applyFont="1" applyBorder="1" applyAlignment="1">
      <alignment horizontal="center"/>
    </xf>
    <xf numFmtId="7" fontId="26" fillId="0" borderId="18" xfId="0" applyNumberFormat="1" applyFont="1" applyBorder="1" applyAlignment="1">
      <alignment horizontal="center"/>
    </xf>
    <xf numFmtId="0" fontId="23" fillId="0" borderId="19" xfId="0" applyFont="1" applyBorder="1" applyAlignment="1">
      <alignment/>
    </xf>
    <xf numFmtId="0" fontId="23" fillId="0" borderId="20" xfId="0" applyNumberFormat="1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7" fontId="23" fillId="0" borderId="0" xfId="0" applyNumberFormat="1" applyFont="1" applyBorder="1" applyAlignment="1">
      <alignment/>
    </xf>
    <xf numFmtId="192" fontId="23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191" fontId="7" fillId="0" borderId="0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2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21" fillId="0" borderId="16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0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4" fontId="10" fillId="0" borderId="23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25" fillId="0" borderId="0" xfId="0" applyFont="1" applyBorder="1" applyAlignment="1" applyProtection="1" quotePrefix="1">
      <alignment horizontal="centerContinuous"/>
      <protection/>
    </xf>
    <xf numFmtId="0" fontId="24" fillId="0" borderId="0" xfId="0" applyFont="1" applyBorder="1" applyAlignment="1" applyProtection="1">
      <alignment horizontal="centerContinuous"/>
      <protection/>
    </xf>
    <xf numFmtId="0" fontId="17" fillId="0" borderId="0" xfId="0" applyFont="1" applyBorder="1" applyAlignment="1">
      <alignment horizontal="centerContinuous"/>
    </xf>
    <xf numFmtId="0" fontId="20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5" fillId="0" borderId="0" xfId="0" applyFont="1" applyBorder="1" applyAlignment="1" applyProtection="1">
      <alignment horizontal="centerContinuous"/>
      <protection/>
    </xf>
    <xf numFmtId="0" fontId="19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" vertical="center"/>
    </xf>
    <xf numFmtId="0" fontId="30" fillId="0" borderId="24" xfId="0" applyFont="1" applyBorder="1" applyAlignment="1" applyProtection="1">
      <alignment horizontal="center" vertical="center"/>
      <protection/>
    </xf>
    <xf numFmtId="0" fontId="30" fillId="0" borderId="24" xfId="0" applyFont="1" applyBorder="1" applyAlignment="1" applyProtection="1">
      <alignment horizontal="center" vertical="center" wrapText="1"/>
      <protection/>
    </xf>
    <xf numFmtId="0" fontId="30" fillId="0" borderId="25" xfId="0" applyFont="1" applyBorder="1" applyAlignment="1" applyProtection="1">
      <alignment horizontal="center" vertical="center" wrapText="1"/>
      <protection/>
    </xf>
    <xf numFmtId="0" fontId="30" fillId="0" borderId="17" xfId="0" applyFont="1" applyBorder="1" applyAlignment="1" applyProtection="1">
      <alignment horizontal="center" vertical="center" wrapText="1"/>
      <protection/>
    </xf>
    <xf numFmtId="0" fontId="30" fillId="0" borderId="18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7" fillId="0" borderId="22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188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/>
    </xf>
    <xf numFmtId="2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190" fontId="7" fillId="0" borderId="0" xfId="0" applyNumberFormat="1" applyFont="1" applyFill="1" applyBorder="1" applyAlignment="1" applyProtection="1">
      <alignment/>
      <protection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 quotePrefix="1">
      <alignment horizontal="left"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16" xfId="0" applyFont="1" applyFill="1" applyBorder="1" applyAlignment="1">
      <alignment/>
    </xf>
    <xf numFmtId="0" fontId="21" fillId="0" borderId="2" xfId="0" applyFont="1" applyFill="1" applyBorder="1" applyAlignment="1">
      <alignment/>
    </xf>
    <xf numFmtId="0" fontId="21" fillId="0" borderId="0" xfId="0" applyFont="1" applyFill="1" applyBorder="1" applyAlignment="1" applyProtection="1">
      <alignment/>
      <protection/>
    </xf>
    <xf numFmtId="0" fontId="24" fillId="0" borderId="0" xfId="0" applyFont="1" applyFill="1" applyAlignment="1">
      <alignment/>
    </xf>
    <xf numFmtId="0" fontId="0" fillId="0" borderId="17" xfId="0" applyFont="1" applyFill="1" applyBorder="1" applyAlignment="1" applyProtection="1">
      <alignment horizontal="left"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17" xfId="0" applyFont="1" applyFill="1" applyBorder="1" applyAlignment="1" applyProtection="1" quotePrefix="1">
      <alignment horizontal="left"/>
      <protection/>
    </xf>
    <xf numFmtId="0" fontId="0" fillId="0" borderId="25" xfId="0" applyFont="1" applyFill="1" applyBorder="1" applyAlignment="1" applyProtection="1">
      <alignment horizontal="center"/>
      <protection/>
    </xf>
    <xf numFmtId="188" fontId="0" fillId="0" borderId="24" xfId="0" applyNumberFormat="1" applyFont="1" applyFill="1" applyBorder="1" applyAlignment="1" applyProtection="1">
      <alignment horizontal="center"/>
      <protection/>
    </xf>
    <xf numFmtId="0" fontId="25" fillId="0" borderId="16" xfId="0" applyFont="1" applyFill="1" applyBorder="1" applyAlignment="1">
      <alignment horizontal="centerContinuous"/>
    </xf>
    <xf numFmtId="0" fontId="24" fillId="0" borderId="0" xfId="0" applyFont="1" applyFill="1" applyBorder="1" applyAlignment="1">
      <alignment horizontal="centerContinuous"/>
    </xf>
    <xf numFmtId="0" fontId="25" fillId="0" borderId="0" xfId="0" applyFont="1" applyFill="1" applyBorder="1" applyAlignment="1">
      <alignment horizontal="centerContinuous"/>
    </xf>
    <xf numFmtId="0" fontId="25" fillId="0" borderId="0" xfId="0" applyFont="1" applyFill="1" applyBorder="1" applyAlignment="1" quotePrefix="1">
      <alignment horizontal="centerContinuous"/>
    </xf>
    <xf numFmtId="0" fontId="24" fillId="0" borderId="2" xfId="0" applyFont="1" applyFill="1" applyBorder="1" applyAlignment="1">
      <alignment horizontal="centerContinuous"/>
    </xf>
    <xf numFmtId="0" fontId="17" fillId="0" borderId="0" xfId="0" applyFont="1" applyFill="1" applyAlignment="1">
      <alignment horizontal="centerContinuous"/>
    </xf>
    <xf numFmtId="0" fontId="16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19" fillId="0" borderId="0" xfId="0" applyFont="1" applyFill="1" applyAlignment="1">
      <alignment horizontal="centerContinuous"/>
    </xf>
    <xf numFmtId="22" fontId="7" fillId="0" borderId="0" xfId="0" applyNumberFormat="1" applyFont="1" applyBorder="1" applyAlignment="1">
      <alignment/>
    </xf>
    <xf numFmtId="199" fontId="7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 horizontal="center"/>
    </xf>
    <xf numFmtId="0" fontId="7" fillId="0" borderId="0" xfId="0" applyFont="1" applyBorder="1" applyAlignment="1" applyProtection="1">
      <alignment horizontal="left"/>
      <protection/>
    </xf>
    <xf numFmtId="199" fontId="7" fillId="0" borderId="0" xfId="0" applyNumberFormat="1" applyFont="1" applyBorder="1" applyAlignment="1" applyProtection="1">
      <alignment horizontal="center"/>
      <protection/>
    </xf>
    <xf numFmtId="0" fontId="25" fillId="0" borderId="0" xfId="0" applyFont="1" applyBorder="1" applyAlignment="1" quotePrefix="1">
      <alignment horizontal="centerContinuous"/>
    </xf>
    <xf numFmtId="0" fontId="0" fillId="0" borderId="17" xfId="0" applyFont="1" applyBorder="1" applyAlignment="1" applyProtection="1">
      <alignment horizontal="left"/>
      <protection/>
    </xf>
    <xf numFmtId="199" fontId="0" fillId="0" borderId="27" xfId="0" applyNumberFormat="1" applyFont="1" applyBorder="1" applyAlignment="1" applyProtection="1">
      <alignment horizontal="center"/>
      <protection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/>
    </xf>
    <xf numFmtId="199" fontId="29" fillId="0" borderId="27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1" fontId="0" fillId="0" borderId="9" xfId="0" applyNumberFormat="1" applyFont="1" applyBorder="1" applyAlignment="1">
      <alignment horizontal="center"/>
    </xf>
    <xf numFmtId="192" fontId="31" fillId="0" borderId="3" xfId="0" applyNumberFormat="1" applyFont="1" applyFill="1" applyBorder="1" applyAlignment="1">
      <alignment horizontal="center"/>
    </xf>
    <xf numFmtId="0" fontId="30" fillId="0" borderId="24" xfId="0" applyFont="1" applyFill="1" applyBorder="1" applyAlignment="1" applyProtection="1">
      <alignment horizontal="center" vertical="center"/>
      <protection/>
    </xf>
    <xf numFmtId="0" fontId="30" fillId="0" borderId="24" xfId="0" applyFont="1" applyFill="1" applyBorder="1" applyAlignment="1" applyProtection="1">
      <alignment horizontal="center" vertical="center" wrapText="1"/>
      <protection/>
    </xf>
    <xf numFmtId="0" fontId="30" fillId="0" borderId="17" xfId="0" applyFont="1" applyFill="1" applyBorder="1" applyAlignment="1">
      <alignment horizontal="center" vertical="center"/>
    </xf>
    <xf numFmtId="0" fontId="30" fillId="0" borderId="24" xfId="0" applyFont="1" applyFill="1" applyBorder="1" applyAlignment="1" applyProtection="1" quotePrefix="1">
      <alignment horizontal="center" vertical="center" wrapText="1"/>
      <protection/>
    </xf>
    <xf numFmtId="0" fontId="30" fillId="0" borderId="24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 applyProtection="1">
      <alignment horizontal="center" vertical="center"/>
      <protection/>
    </xf>
    <xf numFmtId="0" fontId="30" fillId="0" borderId="24" xfId="0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0" fontId="30" fillId="0" borderId="18" xfId="0" applyFont="1" applyFill="1" applyBorder="1" applyAlignment="1" applyProtection="1">
      <alignment horizontal="center" vertical="center"/>
      <protection/>
    </xf>
    <xf numFmtId="0" fontId="30" fillId="0" borderId="25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Border="1" applyAlignment="1">
      <alignment horizontal="centerContinuous"/>
    </xf>
    <xf numFmtId="7" fontId="26" fillId="0" borderId="0" xfId="0" applyNumberFormat="1" applyFont="1" applyBorder="1" applyAlignment="1">
      <alignment horizontal="center"/>
    </xf>
    <xf numFmtId="0" fontId="33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35" fillId="0" borderId="26" xfId="0" applyFont="1" applyBorder="1" applyAlignment="1">
      <alignment horizontal="center"/>
    </xf>
    <xf numFmtId="0" fontId="37" fillId="0" borderId="0" xfId="0" applyFont="1" applyBorder="1" applyAlignment="1" applyProtection="1">
      <alignment horizontal="left"/>
      <protection/>
    </xf>
    <xf numFmtId="0" fontId="35" fillId="0" borderId="0" xfId="0" applyFont="1" applyBorder="1" applyAlignment="1">
      <alignment horizontal="center"/>
    </xf>
    <xf numFmtId="0" fontId="37" fillId="0" borderId="0" xfId="0" applyFont="1" applyBorder="1" applyAlignment="1" applyProtection="1">
      <alignment horizontal="left" vertical="top"/>
      <protection/>
    </xf>
    <xf numFmtId="0" fontId="35" fillId="0" borderId="0" xfId="0" applyFont="1" applyBorder="1" applyAlignment="1">
      <alignment/>
    </xf>
    <xf numFmtId="0" fontId="35" fillId="0" borderId="16" xfId="0" applyFont="1" applyBorder="1" applyAlignment="1">
      <alignment/>
    </xf>
    <xf numFmtId="0" fontId="35" fillId="0" borderId="0" xfId="0" applyFont="1" applyAlignment="1">
      <alignment/>
    </xf>
    <xf numFmtId="0" fontId="7" fillId="0" borderId="2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35" fillId="0" borderId="2" xfId="0" applyFont="1" applyFill="1" applyBorder="1" applyAlignment="1">
      <alignment/>
    </xf>
    <xf numFmtId="7" fontId="38" fillId="0" borderId="0" xfId="0" applyNumberFormat="1" applyFont="1" applyBorder="1" applyAlignment="1">
      <alignment horizontal="right"/>
    </xf>
    <xf numFmtId="7" fontId="13" fillId="0" borderId="24" xfId="0" applyNumberFormat="1" applyFont="1" applyBorder="1" applyAlignment="1">
      <alignment horizontal="right"/>
    </xf>
    <xf numFmtId="0" fontId="39" fillId="2" borderId="24" xfId="0" applyFont="1" applyFill="1" applyBorder="1" applyAlignment="1" applyProtection="1">
      <alignment horizontal="center" vertical="center"/>
      <protection/>
    </xf>
    <xf numFmtId="0" fontId="40" fillId="2" borderId="1" xfId="0" applyFont="1" applyFill="1" applyBorder="1" applyAlignment="1">
      <alignment/>
    </xf>
    <xf numFmtId="192" fontId="40" fillId="2" borderId="3" xfId="0" applyNumberFormat="1" applyFont="1" applyFill="1" applyBorder="1" applyAlignment="1" applyProtection="1">
      <alignment horizontal="center"/>
      <protection/>
    </xf>
    <xf numFmtId="192" fontId="40" fillId="2" borderId="9" xfId="0" applyNumberFormat="1" applyFont="1" applyFill="1" applyBorder="1" applyAlignment="1" applyProtection="1">
      <alignment horizontal="center"/>
      <protection/>
    </xf>
    <xf numFmtId="0" fontId="40" fillId="2" borderId="5" xfId="0" applyFont="1" applyFill="1" applyBorder="1" applyAlignment="1">
      <alignment/>
    </xf>
    <xf numFmtId="0" fontId="40" fillId="2" borderId="3" xfId="0" applyFont="1" applyFill="1" applyBorder="1" applyAlignment="1">
      <alignment/>
    </xf>
    <xf numFmtId="0" fontId="40" fillId="2" borderId="9" xfId="0" applyFont="1" applyFill="1" applyBorder="1" applyAlignment="1">
      <alignment/>
    </xf>
    <xf numFmtId="199" fontId="40" fillId="2" borderId="3" xfId="0" applyNumberFormat="1" applyFont="1" applyFill="1" applyBorder="1" applyAlignment="1" applyProtection="1">
      <alignment horizontal="center"/>
      <protection/>
    </xf>
    <xf numFmtId="199" fontId="40" fillId="2" borderId="9" xfId="0" applyNumberFormat="1" applyFont="1" applyFill="1" applyBorder="1" applyAlignment="1" applyProtection="1">
      <alignment horizontal="center"/>
      <protection/>
    </xf>
    <xf numFmtId="0" fontId="10" fillId="0" borderId="28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30" fillId="0" borderId="24" xfId="0" applyFont="1" applyBorder="1" applyAlignment="1">
      <alignment horizontal="center" vertical="center" wrapText="1"/>
    </xf>
    <xf numFmtId="7" fontId="10" fillId="0" borderId="5" xfId="0" applyNumberFormat="1" applyFont="1" applyBorder="1" applyAlignment="1">
      <alignment horizontal="right"/>
    </xf>
    <xf numFmtId="0" fontId="46" fillId="0" borderId="22" xfId="0" applyFont="1" applyBorder="1" applyAlignment="1">
      <alignment/>
    </xf>
    <xf numFmtId="191" fontId="7" fillId="0" borderId="18" xfId="0" applyNumberFormat="1" applyFont="1" applyBorder="1" applyAlignment="1">
      <alignment horizontal="centerContinuous"/>
    </xf>
    <xf numFmtId="0" fontId="40" fillId="2" borderId="5" xfId="0" applyFont="1" applyFill="1" applyBorder="1" applyAlignment="1">
      <alignment horizontal="center"/>
    </xf>
    <xf numFmtId="0" fontId="47" fillId="3" borderId="24" xfId="0" applyFont="1" applyFill="1" applyBorder="1" applyAlignment="1">
      <alignment horizontal="center" vertical="center" wrapText="1"/>
    </xf>
    <xf numFmtId="0" fontId="48" fillId="3" borderId="3" xfId="0" applyFont="1" applyFill="1" applyBorder="1" applyAlignment="1">
      <alignment horizontal="center"/>
    </xf>
    <xf numFmtId="0" fontId="48" fillId="3" borderId="1" xfId="0" applyFont="1" applyFill="1" applyBorder="1" applyAlignment="1">
      <alignment/>
    </xf>
    <xf numFmtId="2" fontId="48" fillId="3" borderId="3" xfId="0" applyNumberFormat="1" applyFont="1" applyFill="1" applyBorder="1" applyAlignment="1">
      <alignment horizontal="center"/>
    </xf>
    <xf numFmtId="2" fontId="48" fillId="3" borderId="9" xfId="0" applyNumberFormat="1" applyFont="1" applyFill="1" applyBorder="1" applyAlignment="1">
      <alignment horizontal="center"/>
    </xf>
    <xf numFmtId="0" fontId="49" fillId="4" borderId="24" xfId="0" applyFont="1" applyFill="1" applyBorder="1" applyAlignment="1">
      <alignment horizontal="center" vertical="center" wrapText="1"/>
    </xf>
    <xf numFmtId="0" fontId="50" fillId="4" borderId="3" xfId="0" applyFont="1" applyFill="1" applyBorder="1" applyAlignment="1">
      <alignment horizontal="center"/>
    </xf>
    <xf numFmtId="0" fontId="50" fillId="4" borderId="1" xfId="0" applyFont="1" applyFill="1" applyBorder="1" applyAlignment="1">
      <alignment/>
    </xf>
    <xf numFmtId="2" fontId="50" fillId="4" borderId="3" xfId="0" applyNumberFormat="1" applyFont="1" applyFill="1" applyBorder="1" applyAlignment="1" applyProtection="1">
      <alignment horizontal="center"/>
      <protection/>
    </xf>
    <xf numFmtId="2" fontId="50" fillId="4" borderId="9" xfId="0" applyNumberFormat="1" applyFont="1" applyFill="1" applyBorder="1" applyAlignment="1">
      <alignment horizontal="center"/>
    </xf>
    <xf numFmtId="0" fontId="43" fillId="5" borderId="17" xfId="0" applyFont="1" applyFill="1" applyBorder="1" applyAlignment="1" applyProtection="1">
      <alignment horizontal="centerContinuous" vertical="center" wrapText="1"/>
      <protection/>
    </xf>
    <xf numFmtId="0" fontId="44" fillId="5" borderId="25" xfId="0" applyFont="1" applyFill="1" applyBorder="1" applyAlignment="1">
      <alignment horizontal="centerContinuous"/>
    </xf>
    <xf numFmtId="0" fontId="43" fillId="5" borderId="18" xfId="0" applyFont="1" applyFill="1" applyBorder="1" applyAlignment="1">
      <alignment horizontal="centerContinuous" vertical="center"/>
    </xf>
    <xf numFmtId="192" fontId="42" fillId="5" borderId="29" xfId="0" applyNumberFormat="1" applyFont="1" applyFill="1" applyBorder="1" applyAlignment="1" applyProtection="1" quotePrefix="1">
      <alignment horizontal="center"/>
      <protection/>
    </xf>
    <xf numFmtId="192" fontId="42" fillId="5" borderId="30" xfId="0" applyNumberFormat="1" applyFont="1" applyFill="1" applyBorder="1" applyAlignment="1" applyProtection="1" quotePrefix="1">
      <alignment horizontal="center"/>
      <protection/>
    </xf>
    <xf numFmtId="4" fontId="42" fillId="5" borderId="4" xfId="0" applyNumberFormat="1" applyFont="1" applyFill="1" applyBorder="1" applyAlignment="1">
      <alignment horizontal="center"/>
    </xf>
    <xf numFmtId="192" fontId="42" fillId="5" borderId="31" xfId="0" applyNumberFormat="1" applyFont="1" applyFill="1" applyBorder="1" applyAlignment="1" applyProtection="1" quotePrefix="1">
      <alignment horizontal="center"/>
      <protection/>
    </xf>
    <xf numFmtId="192" fontId="42" fillId="5" borderId="32" xfId="0" applyNumberFormat="1" applyFont="1" applyFill="1" applyBorder="1" applyAlignment="1" applyProtection="1" quotePrefix="1">
      <alignment horizontal="center"/>
      <protection/>
    </xf>
    <xf numFmtId="4" fontId="42" fillId="5" borderId="10" xfId="0" applyNumberFormat="1" applyFont="1" applyFill="1" applyBorder="1" applyAlignment="1">
      <alignment horizontal="center"/>
    </xf>
    <xf numFmtId="0" fontId="42" fillId="5" borderId="33" xfId="0" applyFont="1" applyFill="1" applyBorder="1" applyAlignment="1">
      <alignment/>
    </xf>
    <xf numFmtId="0" fontId="42" fillId="5" borderId="8" xfId="0" applyFont="1" applyFill="1" applyBorder="1" applyAlignment="1">
      <alignment/>
    </xf>
    <xf numFmtId="2" fontId="48" fillId="3" borderId="24" xfId="0" applyNumberFormat="1" applyFont="1" applyFill="1" applyBorder="1" applyAlignment="1">
      <alignment horizontal="center"/>
    </xf>
    <xf numFmtId="2" fontId="50" fillId="4" borderId="24" xfId="0" applyNumberFormat="1" applyFont="1" applyFill="1" applyBorder="1" applyAlignment="1">
      <alignment horizontal="center"/>
    </xf>
    <xf numFmtId="0" fontId="51" fillId="6" borderId="17" xfId="0" applyFont="1" applyFill="1" applyBorder="1" applyAlignment="1">
      <alignment horizontal="centerContinuous" vertical="center" wrapText="1"/>
    </xf>
    <xf numFmtId="0" fontId="52" fillId="6" borderId="25" xfId="0" applyFont="1" applyFill="1" applyBorder="1" applyAlignment="1">
      <alignment horizontal="centerContinuous"/>
    </xf>
    <xf numFmtId="0" fontId="51" fillId="6" borderId="18" xfId="0" applyFont="1" applyFill="1" applyBorder="1" applyAlignment="1">
      <alignment horizontal="centerContinuous" vertical="center"/>
    </xf>
    <xf numFmtId="0" fontId="53" fillId="6" borderId="34" xfId="0" applyFont="1" applyFill="1" applyBorder="1" applyAlignment="1">
      <alignment horizontal="left"/>
    </xf>
    <xf numFmtId="0" fontId="53" fillId="6" borderId="12" xfId="0" applyFont="1" applyFill="1" applyBorder="1" applyAlignment="1">
      <alignment/>
    </xf>
    <xf numFmtId="4" fontId="53" fillId="6" borderId="29" xfId="0" applyNumberFormat="1" applyFont="1" applyFill="1" applyBorder="1" applyAlignment="1" applyProtection="1">
      <alignment horizontal="center"/>
      <protection/>
    </xf>
    <xf numFmtId="4" fontId="53" fillId="6" borderId="31" xfId="0" applyNumberFormat="1" applyFont="1" applyFill="1" applyBorder="1" applyAlignment="1">
      <alignment horizontal="center"/>
    </xf>
    <xf numFmtId="0" fontId="53" fillId="6" borderId="35" xfId="0" applyFont="1" applyFill="1" applyBorder="1" applyAlignment="1">
      <alignment horizontal="left"/>
    </xf>
    <xf numFmtId="0" fontId="53" fillId="6" borderId="36" xfId="0" applyFont="1" applyFill="1" applyBorder="1" applyAlignment="1">
      <alignment/>
    </xf>
    <xf numFmtId="192" fontId="53" fillId="6" borderId="37" xfId="0" applyNumberFormat="1" applyFont="1" applyFill="1" applyBorder="1" applyAlignment="1" applyProtection="1" quotePrefix="1">
      <alignment horizontal="center"/>
      <protection/>
    </xf>
    <xf numFmtId="4" fontId="53" fillId="6" borderId="38" xfId="0" applyNumberFormat="1" applyFont="1" applyFill="1" applyBorder="1" applyAlignment="1">
      <alignment horizontal="center"/>
    </xf>
    <xf numFmtId="0" fontId="53" fillId="6" borderId="39" xfId="0" applyFont="1" applyFill="1" applyBorder="1" applyAlignment="1">
      <alignment horizontal="left"/>
    </xf>
    <xf numFmtId="0" fontId="53" fillId="6" borderId="40" xfId="0" applyFont="1" applyFill="1" applyBorder="1" applyAlignment="1">
      <alignment/>
    </xf>
    <xf numFmtId="4" fontId="53" fillId="6" borderId="11" xfId="0" applyNumberFormat="1" applyFont="1" applyFill="1" applyBorder="1" applyAlignment="1">
      <alignment horizontal="center"/>
    </xf>
    <xf numFmtId="4" fontId="53" fillId="6" borderId="41" xfId="0" applyNumberFormat="1" applyFont="1" applyFill="1" applyBorder="1" applyAlignment="1">
      <alignment horizontal="center"/>
    </xf>
    <xf numFmtId="0" fontId="51" fillId="7" borderId="24" xfId="0" applyFont="1" applyFill="1" applyBorder="1" applyAlignment="1">
      <alignment horizontal="center" vertical="center" wrapText="1"/>
    </xf>
    <xf numFmtId="0" fontId="53" fillId="7" borderId="5" xfId="0" applyFont="1" applyFill="1" applyBorder="1" applyAlignment="1">
      <alignment horizontal="left"/>
    </xf>
    <xf numFmtId="0" fontId="53" fillId="7" borderId="1" xfId="0" applyFont="1" applyFill="1" applyBorder="1" applyAlignment="1">
      <alignment/>
    </xf>
    <xf numFmtId="4" fontId="53" fillId="7" borderId="3" xfId="0" applyNumberFormat="1" applyFont="1" applyFill="1" applyBorder="1" applyAlignment="1">
      <alignment horizontal="center"/>
    </xf>
    <xf numFmtId="4" fontId="53" fillId="7" borderId="9" xfId="0" applyNumberFormat="1" applyFont="1" applyFill="1" applyBorder="1" applyAlignment="1">
      <alignment horizontal="center"/>
    </xf>
    <xf numFmtId="0" fontId="55" fillId="8" borderId="24" xfId="0" applyFont="1" applyFill="1" applyBorder="1" applyAlignment="1">
      <alignment horizontal="center" vertical="center" wrapText="1"/>
    </xf>
    <xf numFmtId="0" fontId="56" fillId="8" borderId="5" xfId="0" applyFont="1" applyFill="1" applyBorder="1" applyAlignment="1">
      <alignment horizontal="left"/>
    </xf>
    <xf numFmtId="0" fontId="56" fillId="8" borderId="1" xfId="0" applyFont="1" applyFill="1" applyBorder="1" applyAlignment="1">
      <alignment/>
    </xf>
    <xf numFmtId="4" fontId="56" fillId="8" borderId="3" xfId="0" applyNumberFormat="1" applyFont="1" applyFill="1" applyBorder="1" applyAlignment="1">
      <alignment horizontal="center"/>
    </xf>
    <xf numFmtId="4" fontId="56" fillId="8" borderId="9" xfId="0" applyNumberFormat="1" applyFont="1" applyFill="1" applyBorder="1" applyAlignment="1">
      <alignment horizontal="center"/>
    </xf>
    <xf numFmtId="2" fontId="42" fillId="5" borderId="24" xfId="0" applyNumberFormat="1" applyFont="1" applyFill="1" applyBorder="1" applyAlignment="1">
      <alignment horizontal="center"/>
    </xf>
    <xf numFmtId="2" fontId="53" fillId="6" borderId="24" xfId="0" applyNumberFormat="1" applyFont="1" applyFill="1" applyBorder="1" applyAlignment="1">
      <alignment horizontal="center"/>
    </xf>
    <xf numFmtId="2" fontId="53" fillId="7" borderId="24" xfId="0" applyNumberFormat="1" applyFont="1" applyFill="1" applyBorder="1" applyAlignment="1">
      <alignment horizontal="center"/>
    </xf>
    <xf numFmtId="2" fontId="56" fillId="8" borderId="24" xfId="0" applyNumberFormat="1" applyFont="1" applyFill="1" applyBorder="1" applyAlignment="1">
      <alignment horizontal="center"/>
    </xf>
    <xf numFmtId="0" fontId="54" fillId="9" borderId="9" xfId="0" applyFont="1" applyFill="1" applyBorder="1" applyAlignment="1">
      <alignment/>
    </xf>
    <xf numFmtId="0" fontId="51" fillId="9" borderId="24" xfId="0" applyFont="1" applyFill="1" applyBorder="1" applyAlignment="1" applyProtection="1">
      <alignment horizontal="center" vertical="center"/>
      <protection/>
    </xf>
    <xf numFmtId="0" fontId="54" fillId="9" borderId="5" xfId="0" applyFont="1" applyFill="1" applyBorder="1" applyAlignment="1">
      <alignment/>
    </xf>
    <xf numFmtId="0" fontId="54" fillId="9" borderId="3" xfId="0" applyFont="1" applyFill="1" applyBorder="1" applyAlignment="1">
      <alignment/>
    </xf>
    <xf numFmtId="192" fontId="7" fillId="0" borderId="3" xfId="0" applyNumberFormat="1" applyFont="1" applyFill="1" applyBorder="1" applyAlignment="1" applyProtection="1" quotePrefix="1">
      <alignment horizontal="center"/>
      <protection/>
    </xf>
    <xf numFmtId="4" fontId="54" fillId="9" borderId="3" xfId="0" applyNumberFormat="1" applyFont="1" applyFill="1" applyBorder="1" applyAlignment="1" applyProtection="1">
      <alignment horizontal="center"/>
      <protection/>
    </xf>
    <xf numFmtId="0" fontId="51" fillId="3" borderId="24" xfId="0" applyFont="1" applyFill="1" applyBorder="1" applyAlignment="1">
      <alignment horizontal="center" vertical="center" wrapText="1"/>
    </xf>
    <xf numFmtId="0" fontId="53" fillId="3" borderId="5" xfId="0" applyFont="1" applyFill="1" applyBorder="1" applyAlignment="1">
      <alignment/>
    </xf>
    <xf numFmtId="0" fontId="53" fillId="3" borderId="3" xfId="0" applyFont="1" applyFill="1" applyBorder="1" applyAlignment="1">
      <alignment/>
    </xf>
    <xf numFmtId="2" fontId="53" fillId="3" borderId="3" xfId="0" applyNumberFormat="1" applyFont="1" applyFill="1" applyBorder="1" applyAlignment="1">
      <alignment horizontal="center"/>
    </xf>
    <xf numFmtId="0" fontId="53" fillId="3" borderId="9" xfId="0" applyFont="1" applyFill="1" applyBorder="1" applyAlignment="1">
      <alignment/>
    </xf>
    <xf numFmtId="7" fontId="53" fillId="3" borderId="24" xfId="0" applyNumberFormat="1" applyFont="1" applyFill="1" applyBorder="1" applyAlignment="1">
      <alignment horizontal="center"/>
    </xf>
    <xf numFmtId="0" fontId="51" fillId="10" borderId="24" xfId="0" applyFont="1" applyFill="1" applyBorder="1" applyAlignment="1">
      <alignment horizontal="center" vertical="center" wrapText="1"/>
    </xf>
    <xf numFmtId="0" fontId="53" fillId="10" borderId="5" xfId="0" applyFont="1" applyFill="1" applyBorder="1" applyAlignment="1">
      <alignment/>
    </xf>
    <xf numFmtId="0" fontId="53" fillId="10" borderId="3" xfId="0" applyFont="1" applyFill="1" applyBorder="1" applyAlignment="1">
      <alignment/>
    </xf>
    <xf numFmtId="2" fontId="53" fillId="10" borderId="3" xfId="0" applyNumberFormat="1" applyFont="1" applyFill="1" applyBorder="1" applyAlignment="1">
      <alignment horizontal="center"/>
    </xf>
    <xf numFmtId="0" fontId="53" fillId="10" borderId="9" xfId="0" applyFont="1" applyFill="1" applyBorder="1" applyAlignment="1">
      <alignment/>
    </xf>
    <xf numFmtId="7" fontId="54" fillId="10" borderId="24" xfId="0" applyNumberFormat="1" applyFont="1" applyFill="1" applyBorder="1" applyAlignment="1">
      <alignment horizontal="center"/>
    </xf>
    <xf numFmtId="0" fontId="42" fillId="5" borderId="42" xfId="0" applyFont="1" applyFill="1" applyBorder="1" applyAlignment="1">
      <alignment/>
    </xf>
    <xf numFmtId="0" fontId="42" fillId="5" borderId="31" xfId="0" applyFont="1" applyFill="1" applyBorder="1" applyAlignment="1">
      <alignment/>
    </xf>
    <xf numFmtId="0" fontId="42" fillId="5" borderId="41" xfId="0" applyFont="1" applyFill="1" applyBorder="1" applyAlignment="1">
      <alignment/>
    </xf>
    <xf numFmtId="7" fontId="42" fillId="5" borderId="24" xfId="0" applyNumberFormat="1" applyFont="1" applyFill="1" applyBorder="1" applyAlignment="1">
      <alignment horizontal="center"/>
    </xf>
    <xf numFmtId="0" fontId="42" fillId="5" borderId="4" xfId="0" applyFont="1" applyFill="1" applyBorder="1" applyAlignment="1">
      <alignment/>
    </xf>
    <xf numFmtId="192" fontId="42" fillId="5" borderId="11" xfId="0" applyNumberFormat="1" applyFont="1" applyFill="1" applyBorder="1" applyAlignment="1" applyProtection="1" quotePrefix="1">
      <alignment horizontal="center"/>
      <protection/>
    </xf>
    <xf numFmtId="0" fontId="42" fillId="5" borderId="34" xfId="0" applyFont="1" applyFill="1" applyBorder="1" applyAlignment="1">
      <alignment horizontal="center"/>
    </xf>
    <xf numFmtId="0" fontId="42" fillId="5" borderId="29" xfId="0" applyFont="1" applyFill="1" applyBorder="1" applyAlignment="1">
      <alignment horizontal="center"/>
    </xf>
    <xf numFmtId="0" fontId="55" fillId="6" borderId="17" xfId="0" applyFont="1" applyFill="1" applyBorder="1" applyAlignment="1" applyProtection="1">
      <alignment horizontal="centerContinuous" vertical="center" wrapText="1"/>
      <protection/>
    </xf>
    <xf numFmtId="0" fontId="55" fillId="6" borderId="18" xfId="0" applyFont="1" applyFill="1" applyBorder="1" applyAlignment="1">
      <alignment horizontal="centerContinuous" vertical="center"/>
    </xf>
    <xf numFmtId="0" fontId="56" fillId="6" borderId="34" xfId="0" applyFont="1" applyFill="1" applyBorder="1" applyAlignment="1">
      <alignment horizontal="center"/>
    </xf>
    <xf numFmtId="0" fontId="56" fillId="6" borderId="42" xfId="0" applyFont="1" applyFill="1" applyBorder="1" applyAlignment="1">
      <alignment/>
    </xf>
    <xf numFmtId="0" fontId="56" fillId="6" borderId="29" xfId="0" applyFont="1" applyFill="1" applyBorder="1" applyAlignment="1">
      <alignment horizontal="center"/>
    </xf>
    <xf numFmtId="0" fontId="56" fillId="6" borderId="4" xfId="0" applyFont="1" applyFill="1" applyBorder="1" applyAlignment="1">
      <alignment/>
    </xf>
    <xf numFmtId="192" fontId="56" fillId="6" borderId="29" xfId="0" applyNumberFormat="1" applyFont="1" applyFill="1" applyBorder="1" applyAlignment="1" applyProtection="1" quotePrefix="1">
      <alignment horizontal="center"/>
      <protection/>
    </xf>
    <xf numFmtId="192" fontId="56" fillId="6" borderId="11" xfId="0" applyNumberFormat="1" applyFont="1" applyFill="1" applyBorder="1" applyAlignment="1" applyProtection="1" quotePrefix="1">
      <alignment horizontal="center"/>
      <protection/>
    </xf>
    <xf numFmtId="0" fontId="56" fillId="6" borderId="31" xfId="0" applyFont="1" applyFill="1" applyBorder="1" applyAlignment="1">
      <alignment/>
    </xf>
    <xf numFmtId="0" fontId="56" fillId="6" borderId="41" xfId="0" applyFont="1" applyFill="1" applyBorder="1" applyAlignment="1">
      <alignment/>
    </xf>
    <xf numFmtId="7" fontId="56" fillId="6" borderId="24" xfId="0" applyNumberFormat="1" applyFont="1" applyFill="1" applyBorder="1" applyAlignment="1">
      <alignment horizontal="center"/>
    </xf>
    <xf numFmtId="0" fontId="55" fillId="7" borderId="24" xfId="0" applyFont="1" applyFill="1" applyBorder="1" applyAlignment="1">
      <alignment horizontal="center" vertical="center" wrapText="1"/>
    </xf>
    <xf numFmtId="0" fontId="56" fillId="7" borderId="5" xfId="0" applyFont="1" applyFill="1" applyBorder="1" applyAlignment="1">
      <alignment/>
    </xf>
    <xf numFmtId="0" fontId="56" fillId="7" borderId="3" xfId="0" applyFont="1" applyFill="1" applyBorder="1" applyAlignment="1">
      <alignment/>
    </xf>
    <xf numFmtId="192" fontId="56" fillId="7" borderId="3" xfId="0" applyNumberFormat="1" applyFont="1" applyFill="1" applyBorder="1" applyAlignment="1" applyProtection="1" quotePrefix="1">
      <alignment horizontal="center"/>
      <protection/>
    </xf>
    <xf numFmtId="0" fontId="56" fillId="7" borderId="9" xfId="0" applyFont="1" applyFill="1" applyBorder="1" applyAlignment="1">
      <alignment/>
    </xf>
    <xf numFmtId="7" fontId="56" fillId="7" borderId="24" xfId="0" applyNumberFormat="1" applyFont="1" applyFill="1" applyBorder="1" applyAlignment="1">
      <alignment horizontal="center"/>
    </xf>
    <xf numFmtId="0" fontId="57" fillId="11" borderId="24" xfId="0" applyFont="1" applyFill="1" applyBorder="1" applyAlignment="1">
      <alignment horizontal="center" vertical="center" wrapText="1"/>
    </xf>
    <xf numFmtId="0" fontId="58" fillId="11" borderId="5" xfId="0" applyFont="1" applyFill="1" applyBorder="1" applyAlignment="1">
      <alignment/>
    </xf>
    <xf numFmtId="0" fontId="58" fillId="11" borderId="3" xfId="0" applyFont="1" applyFill="1" applyBorder="1" applyAlignment="1">
      <alignment/>
    </xf>
    <xf numFmtId="192" fontId="58" fillId="11" borderId="3" xfId="0" applyNumberFormat="1" applyFont="1" applyFill="1" applyBorder="1" applyAlignment="1" applyProtection="1" quotePrefix="1">
      <alignment horizontal="center"/>
      <protection/>
    </xf>
    <xf numFmtId="0" fontId="58" fillId="11" borderId="9" xfId="0" applyFont="1" applyFill="1" applyBorder="1" applyAlignment="1">
      <alignment/>
    </xf>
    <xf numFmtId="7" fontId="58" fillId="11" borderId="24" xfId="0" applyNumberFormat="1" applyFont="1" applyFill="1" applyBorder="1" applyAlignment="1">
      <alignment horizontal="center"/>
    </xf>
    <xf numFmtId="0" fontId="41" fillId="2" borderId="24" xfId="0" applyFont="1" applyFill="1" applyBorder="1" applyAlignment="1" applyProtection="1">
      <alignment horizontal="center" vertical="center"/>
      <protection/>
    </xf>
    <xf numFmtId="188" fontId="45" fillId="2" borderId="3" xfId="0" applyNumberFormat="1" applyFont="1" applyFill="1" applyBorder="1" applyAlignment="1" applyProtection="1">
      <alignment horizontal="center"/>
      <protection/>
    </xf>
    <xf numFmtId="188" fontId="45" fillId="2" borderId="9" xfId="0" applyNumberFormat="1" applyFont="1" applyFill="1" applyBorder="1" applyAlignment="1" applyProtection="1">
      <alignment horizontal="center"/>
      <protection/>
    </xf>
    <xf numFmtId="192" fontId="7" fillId="0" borderId="9" xfId="0" applyNumberFormat="1" applyFont="1" applyFill="1" applyBorder="1" applyAlignment="1" applyProtection="1">
      <alignment horizontal="center"/>
      <protection/>
    </xf>
    <xf numFmtId="0" fontId="51" fillId="12" borderId="24" xfId="0" applyFont="1" applyFill="1" applyBorder="1" applyAlignment="1">
      <alignment horizontal="center" vertical="center" wrapText="1"/>
    </xf>
    <xf numFmtId="2" fontId="53" fillId="12" borderId="3" xfId="0" applyNumberFormat="1" applyFont="1" applyFill="1" applyBorder="1" applyAlignment="1">
      <alignment horizontal="center"/>
    </xf>
    <xf numFmtId="2" fontId="53" fillId="12" borderId="9" xfId="0" applyNumberFormat="1" applyFont="1" applyFill="1" applyBorder="1" applyAlignment="1">
      <alignment horizontal="center"/>
    </xf>
    <xf numFmtId="188" fontId="45" fillId="2" borderId="5" xfId="0" applyNumberFormat="1" applyFont="1" applyFill="1" applyBorder="1" applyAlignment="1" applyProtection="1">
      <alignment horizontal="center"/>
      <protection/>
    </xf>
    <xf numFmtId="2" fontId="53" fillId="12" borderId="5" xfId="0" applyNumberFormat="1" applyFont="1" applyFill="1" applyBorder="1" applyAlignment="1">
      <alignment horizontal="center"/>
    </xf>
    <xf numFmtId="192" fontId="7" fillId="0" borderId="5" xfId="0" applyNumberFormat="1" applyFont="1" applyFill="1" applyBorder="1" applyAlignment="1" applyProtection="1">
      <alignment horizontal="center"/>
      <protection/>
    </xf>
    <xf numFmtId="0" fontId="59" fillId="13" borderId="17" xfId="0" applyFont="1" applyFill="1" applyBorder="1" applyAlignment="1" applyProtection="1">
      <alignment horizontal="centerContinuous" vertical="center" wrapText="1"/>
      <protection/>
    </xf>
    <xf numFmtId="0" fontId="59" fillId="13" borderId="18" xfId="0" applyFont="1" applyFill="1" applyBorder="1" applyAlignment="1">
      <alignment horizontal="centerContinuous" vertical="center"/>
    </xf>
    <xf numFmtId="192" fontId="60" fillId="13" borderId="34" xfId="0" applyNumberFormat="1" applyFont="1" applyFill="1" applyBorder="1" applyAlignment="1" applyProtection="1" quotePrefix="1">
      <alignment horizontal="center"/>
      <protection/>
    </xf>
    <xf numFmtId="192" fontId="60" fillId="13" borderId="29" xfId="0" applyNumberFormat="1" applyFont="1" applyFill="1" applyBorder="1" applyAlignment="1" applyProtection="1" quotePrefix="1">
      <alignment horizontal="center"/>
      <protection/>
    </xf>
    <xf numFmtId="192" fontId="60" fillId="13" borderId="31" xfId="0" applyNumberFormat="1" applyFont="1" applyFill="1" applyBorder="1" applyAlignment="1" applyProtection="1" quotePrefix="1">
      <alignment horizontal="center"/>
      <protection/>
    </xf>
    <xf numFmtId="192" fontId="60" fillId="13" borderId="39" xfId="0" applyNumberFormat="1" applyFont="1" applyFill="1" applyBorder="1" applyAlignment="1" applyProtection="1" quotePrefix="1">
      <alignment horizontal="center"/>
      <protection/>
    </xf>
    <xf numFmtId="192" fontId="60" fillId="13" borderId="11" xfId="0" applyNumberFormat="1" applyFont="1" applyFill="1" applyBorder="1" applyAlignment="1" applyProtection="1" quotePrefix="1">
      <alignment horizontal="center"/>
      <protection/>
    </xf>
    <xf numFmtId="192" fontId="60" fillId="13" borderId="41" xfId="0" applyNumberFormat="1" applyFont="1" applyFill="1" applyBorder="1" applyAlignment="1" applyProtection="1" quotePrefix="1">
      <alignment horizontal="center"/>
      <protection/>
    </xf>
    <xf numFmtId="192" fontId="53" fillId="7" borderId="5" xfId="0" applyNumberFormat="1" applyFont="1" applyFill="1" applyBorder="1" applyAlignment="1" applyProtection="1" quotePrefix="1">
      <alignment horizontal="center"/>
      <protection/>
    </xf>
    <xf numFmtId="192" fontId="53" fillId="7" borderId="3" xfId="0" applyNumberFormat="1" applyFont="1" applyFill="1" applyBorder="1" applyAlignment="1" applyProtection="1" quotePrefix="1">
      <alignment horizontal="center"/>
      <protection/>
    </xf>
    <xf numFmtId="192" fontId="53" fillId="7" borderId="9" xfId="0" applyNumberFormat="1" applyFont="1" applyFill="1" applyBorder="1" applyAlignment="1" applyProtection="1" quotePrefix="1">
      <alignment horizontal="center"/>
      <protection/>
    </xf>
    <xf numFmtId="2" fontId="53" fillId="12" borderId="24" xfId="0" applyNumberFormat="1" applyFont="1" applyFill="1" applyBorder="1" applyAlignment="1">
      <alignment horizontal="center"/>
    </xf>
    <xf numFmtId="2" fontId="60" fillId="13" borderId="24" xfId="0" applyNumberFormat="1" applyFont="1" applyFill="1" applyBorder="1" applyAlignment="1">
      <alignment horizontal="center"/>
    </xf>
    <xf numFmtId="2" fontId="7" fillId="0" borderId="2" xfId="0" applyNumberFormat="1" applyFont="1" applyBorder="1" applyAlignment="1">
      <alignment/>
    </xf>
    <xf numFmtId="2" fontId="7" fillId="0" borderId="2" xfId="0" applyNumberFormat="1" applyFont="1" applyFill="1" applyBorder="1" applyAlignment="1">
      <alignment/>
    </xf>
    <xf numFmtId="203" fontId="0" fillId="0" borderId="17" xfId="0" applyNumberFormat="1" applyFont="1" applyBorder="1" applyAlignment="1">
      <alignment horizontal="centerContinuous"/>
    </xf>
    <xf numFmtId="0" fontId="46" fillId="0" borderId="14" xfId="0" applyFont="1" applyBorder="1" applyAlignment="1">
      <alignment/>
    </xf>
    <xf numFmtId="0" fontId="61" fillId="0" borderId="0" xfId="0" applyFont="1" applyAlignment="1">
      <alignment horizontal="right" vertical="top"/>
    </xf>
    <xf numFmtId="0" fontId="61" fillId="0" borderId="0" xfId="0" applyFont="1" applyBorder="1" applyAlignment="1">
      <alignment horizontal="right" vertical="top"/>
    </xf>
    <xf numFmtId="0" fontId="61" fillId="0" borderId="0" xfId="0" applyFont="1" applyFill="1" applyAlignment="1">
      <alignment horizontal="right" vertical="top"/>
    </xf>
    <xf numFmtId="203" fontId="7" fillId="0" borderId="24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99" fontId="7" fillId="0" borderId="24" xfId="0" applyNumberFormat="1" applyFont="1" applyBorder="1" applyAlignment="1">
      <alignment vertical="center"/>
    </xf>
    <xf numFmtId="0" fontId="7" fillId="0" borderId="24" xfId="0" applyFont="1" applyBorder="1" applyAlignment="1" quotePrefix="1">
      <alignment horizontal="center" vertical="center"/>
    </xf>
    <xf numFmtId="0" fontId="7" fillId="0" borderId="24" xfId="0" applyFont="1" applyBorder="1" applyAlignment="1">
      <alignment vertical="center"/>
    </xf>
    <xf numFmtId="203" fontId="7" fillId="0" borderId="24" xfId="0" applyNumberFormat="1" applyFont="1" applyBorder="1" applyAlignment="1">
      <alignment horizontal="center" vertical="center"/>
    </xf>
    <xf numFmtId="7" fontId="13" fillId="0" borderId="43" xfId="0" applyNumberFormat="1" applyFont="1" applyBorder="1" applyAlignment="1">
      <alignment horizontal="right"/>
    </xf>
    <xf numFmtId="7" fontId="13" fillId="0" borderId="43" xfId="0" applyNumberFormat="1" applyFont="1" applyFill="1" applyBorder="1" applyAlignment="1">
      <alignment horizontal="right"/>
    </xf>
    <xf numFmtId="7" fontId="32" fillId="0" borderId="28" xfId="0" applyNumberFormat="1" applyFont="1" applyFill="1" applyBorder="1" applyAlignment="1">
      <alignment horizontal="center"/>
    </xf>
    <xf numFmtId="0" fontId="62" fillId="0" borderId="0" xfId="0" applyFont="1" applyAlignment="1">
      <alignment horizontal="right" vertical="top"/>
    </xf>
    <xf numFmtId="0" fontId="63" fillId="0" borderId="0" xfId="0" applyFont="1" applyAlignment="1">
      <alignment/>
    </xf>
    <xf numFmtId="0" fontId="64" fillId="0" borderId="0" xfId="0" applyFont="1" applyAlignment="1">
      <alignment horizontal="centerContinuous"/>
    </xf>
    <xf numFmtId="0" fontId="63" fillId="0" borderId="0" xfId="0" applyFont="1" applyAlignment="1">
      <alignment horizontal="centerContinuous"/>
    </xf>
    <xf numFmtId="0" fontId="65" fillId="0" borderId="0" xfId="0" applyFont="1" applyBorder="1" applyAlignment="1">
      <alignment horizontal="centerContinuous"/>
    </xf>
    <xf numFmtId="0" fontId="66" fillId="0" borderId="0" xfId="0" applyFont="1" applyBorder="1" applyAlignment="1" applyProtection="1">
      <alignment horizontal="left"/>
      <protection/>
    </xf>
    <xf numFmtId="0" fontId="67" fillId="0" borderId="0" xfId="0" applyFont="1" applyBorder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67" fillId="0" borderId="0" xfId="0" applyFont="1" applyAlignment="1">
      <alignment horizontal="centerContinuous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68" fillId="0" borderId="14" xfId="0" applyFont="1" applyBorder="1" applyAlignment="1">
      <alignment/>
    </xf>
    <xf numFmtId="0" fontId="0" fillId="0" borderId="15" xfId="0" applyBorder="1" applyAlignment="1">
      <alignment/>
    </xf>
    <xf numFmtId="0" fontId="68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16" xfId="0" applyBorder="1" applyAlignment="1">
      <alignment/>
    </xf>
    <xf numFmtId="0" fontId="0" fillId="0" borderId="44" xfId="0" applyBorder="1" applyAlignment="1">
      <alignment/>
    </xf>
    <xf numFmtId="0" fontId="68" fillId="0" borderId="0" xfId="0" applyFont="1" applyBorder="1" applyAlignment="1" applyProtection="1">
      <alignment horizontal="center"/>
      <protection/>
    </xf>
    <xf numFmtId="0" fontId="68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30" fillId="0" borderId="45" xfId="0" applyFont="1" applyBorder="1" applyAlignment="1" applyProtection="1">
      <alignment horizontal="centerContinuous" vertical="center"/>
      <protection/>
    </xf>
    <xf numFmtId="0" fontId="30" fillId="0" borderId="45" xfId="0" applyFont="1" applyBorder="1" applyAlignment="1" applyProtection="1">
      <alignment horizontal="centerContinuous" vertical="center" wrapText="1"/>
      <protection/>
    </xf>
    <xf numFmtId="192" fontId="30" fillId="0" borderId="24" xfId="0" applyNumberFormat="1" applyFont="1" applyBorder="1" applyAlignment="1" applyProtection="1">
      <alignment horizontal="centerContinuous" vertical="center" wrapText="1"/>
      <protection/>
    </xf>
    <xf numFmtId="17" fontId="30" fillId="0" borderId="18" xfId="0" applyNumberFormat="1" applyFont="1" applyBorder="1" applyAlignment="1">
      <alignment horizontal="center" vertical="center"/>
    </xf>
    <xf numFmtId="17" fontId="7" fillId="0" borderId="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69" fillId="0" borderId="0" xfId="0" applyFont="1" applyAlignment="1">
      <alignment vertical="center"/>
    </xf>
    <xf numFmtId="0" fontId="69" fillId="0" borderId="16" xfId="0" applyFont="1" applyBorder="1" applyAlignment="1">
      <alignment vertical="center"/>
    </xf>
    <xf numFmtId="0" fontId="69" fillId="0" borderId="6" xfId="0" applyFont="1" applyBorder="1" applyAlignment="1">
      <alignment vertical="center"/>
    </xf>
    <xf numFmtId="0" fontId="69" fillId="0" borderId="46" xfId="0" applyFont="1" applyBorder="1" applyAlignment="1">
      <alignment vertical="center"/>
    </xf>
    <xf numFmtId="0" fontId="69" fillId="0" borderId="28" xfId="0" applyFont="1" applyBorder="1" applyAlignment="1">
      <alignment vertical="center"/>
    </xf>
    <xf numFmtId="0" fontId="69" fillId="0" borderId="47" xfId="0" applyFont="1" applyFill="1" applyBorder="1" applyAlignment="1">
      <alignment vertical="center"/>
    </xf>
    <xf numFmtId="0" fontId="69" fillId="0" borderId="48" xfId="0" applyFont="1" applyFill="1" applyBorder="1" applyAlignment="1">
      <alignment vertical="center"/>
    </xf>
    <xf numFmtId="0" fontId="69" fillId="0" borderId="2" xfId="0" applyFont="1" applyBorder="1" applyAlignment="1">
      <alignment vertical="center"/>
    </xf>
    <xf numFmtId="0" fontId="69" fillId="1" borderId="6" xfId="0" applyFont="1" applyFill="1" applyBorder="1" applyAlignment="1">
      <alignment horizontal="center" vertical="center"/>
    </xf>
    <xf numFmtId="0" fontId="69" fillId="1" borderId="12" xfId="0" applyFont="1" applyFill="1" applyBorder="1" applyAlignment="1" applyProtection="1">
      <alignment horizontal="center" vertical="center"/>
      <protection/>
    </xf>
    <xf numFmtId="2" fontId="69" fillId="1" borderId="1" xfId="0" applyNumberFormat="1" applyFont="1" applyFill="1" applyBorder="1" applyAlignment="1" applyProtection="1">
      <alignment horizontal="center" vertical="center"/>
      <protection/>
    </xf>
    <xf numFmtId="1" fontId="69" fillId="1" borderId="8" xfId="0" applyNumberFormat="1" applyFont="1" applyFill="1" applyBorder="1" applyAlignment="1">
      <alignment horizontal="center" vertical="center"/>
    </xf>
    <xf numFmtId="1" fontId="69" fillId="0" borderId="28" xfId="0" applyNumberFormat="1" applyFont="1" applyFill="1" applyBorder="1" applyAlignment="1">
      <alignment horizontal="center" vertical="center"/>
    </xf>
    <xf numFmtId="1" fontId="69" fillId="0" borderId="2" xfId="0" applyNumberFormat="1" applyFont="1" applyBorder="1" applyAlignment="1">
      <alignment horizontal="center" vertical="center"/>
    </xf>
    <xf numFmtId="0" fontId="69" fillId="14" borderId="6" xfId="0" applyFont="1" applyFill="1" applyBorder="1" applyAlignment="1">
      <alignment horizontal="center" vertical="center"/>
    </xf>
    <xf numFmtId="0" fontId="69" fillId="0" borderId="12" xfId="0" applyFont="1" applyBorder="1" applyAlignment="1" applyProtection="1">
      <alignment horizontal="center" vertical="center"/>
      <protection/>
    </xf>
    <xf numFmtId="2" fontId="69" fillId="0" borderId="1" xfId="0" applyNumberFormat="1" applyFont="1" applyBorder="1" applyAlignment="1" applyProtection="1">
      <alignment horizontal="center" vertical="center"/>
      <protection/>
    </xf>
    <xf numFmtId="1" fontId="69" fillId="0" borderId="4" xfId="0" applyNumberFormat="1" applyFont="1" applyFill="1" applyBorder="1" applyAlignment="1">
      <alignment horizontal="center" vertical="center"/>
    </xf>
    <xf numFmtId="1" fontId="69" fillId="1" borderId="4" xfId="0" applyNumberFormat="1" applyFont="1" applyFill="1" applyBorder="1" applyAlignment="1">
      <alignment horizontal="center" vertical="center"/>
    </xf>
    <xf numFmtId="0" fontId="69" fillId="14" borderId="12" xfId="0" applyFont="1" applyFill="1" applyBorder="1" applyAlignment="1" applyProtection="1">
      <alignment horizontal="center" vertical="center"/>
      <protection/>
    </xf>
    <xf numFmtId="2" fontId="69" fillId="14" borderId="1" xfId="0" applyNumberFormat="1" applyFont="1" applyFill="1" applyBorder="1" applyAlignment="1" applyProtection="1">
      <alignment horizontal="center" vertical="center"/>
      <protection/>
    </xf>
    <xf numFmtId="0" fontId="69" fillId="0" borderId="13" xfId="0" applyFont="1" applyBorder="1" applyAlignment="1">
      <alignment horizontal="center" vertical="center"/>
    </xf>
    <xf numFmtId="0" fontId="69" fillId="0" borderId="49" xfId="0" applyFont="1" applyBorder="1" applyAlignment="1" applyProtection="1">
      <alignment horizontal="left" vertical="center"/>
      <protection/>
    </xf>
    <xf numFmtId="0" fontId="69" fillId="0" borderId="49" xfId="0" applyFont="1" applyBorder="1" applyAlignment="1" applyProtection="1">
      <alignment horizontal="center" vertical="center"/>
      <protection/>
    </xf>
    <xf numFmtId="2" fontId="69" fillId="0" borderId="50" xfId="0" applyNumberFormat="1" applyFont="1" applyBorder="1" applyAlignment="1" applyProtection="1">
      <alignment horizontal="center" vertical="center"/>
      <protection/>
    </xf>
    <xf numFmtId="1" fontId="69" fillId="0" borderId="10" xfId="0" applyNumberFormat="1" applyFont="1" applyFill="1" applyBorder="1" applyAlignment="1">
      <alignment horizontal="center" vertical="center"/>
    </xf>
    <xf numFmtId="0" fontId="5" fillId="0" borderId="26" xfId="0" applyFont="1" applyBorder="1" applyAlignment="1" applyProtection="1">
      <alignment horizontal="right"/>
      <protection/>
    </xf>
    <xf numFmtId="195" fontId="5" fillId="0" borderId="50" xfId="0" applyNumberFormat="1" applyFont="1" applyBorder="1" applyAlignment="1" applyProtection="1">
      <alignment horizontal="center"/>
      <protection/>
    </xf>
    <xf numFmtId="1" fontId="0" fillId="0" borderId="17" xfId="0" applyNumberFormat="1" applyFill="1" applyBorder="1" applyAlignment="1">
      <alignment horizontal="center"/>
    </xf>
    <xf numFmtId="1" fontId="0" fillId="0" borderId="25" xfId="0" applyNumberForma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1" fontId="0" fillId="0" borderId="28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 horizontal="right"/>
    </xf>
    <xf numFmtId="1" fontId="7" fillId="0" borderId="9" xfId="0" applyNumberFormat="1" applyFont="1" applyBorder="1" applyAlignment="1" applyProtection="1">
      <alignment horizontal="center"/>
      <protection/>
    </xf>
    <xf numFmtId="1" fontId="7" fillId="0" borderId="9" xfId="0" applyNumberFormat="1" applyFont="1" applyFill="1" applyBorder="1" applyAlignment="1" applyProtection="1">
      <alignment horizontal="center"/>
      <protection/>
    </xf>
    <xf numFmtId="1" fontId="68" fillId="0" borderId="2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right"/>
    </xf>
    <xf numFmtId="2" fontId="13" fillId="0" borderId="24" xfId="0" applyNumberFormat="1" applyFont="1" applyFill="1" applyBorder="1" applyAlignment="1">
      <alignment horizontal="center"/>
    </xf>
    <xf numFmtId="17" fontId="0" fillId="0" borderId="2" xfId="0" applyNumberFormat="1" applyBorder="1" applyAlignment="1">
      <alignment horizontal="center"/>
    </xf>
    <xf numFmtId="0" fontId="70" fillId="15" borderId="51" xfId="0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192" fontId="5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71" fillId="0" borderId="0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72" fillId="0" borderId="16" xfId="0" applyFont="1" applyBorder="1" applyAlignment="1">
      <alignment/>
    </xf>
    <xf numFmtId="1" fontId="69" fillId="0" borderId="52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73" fillId="0" borderId="25" xfId="0" applyFont="1" applyBorder="1" applyAlignment="1">
      <alignment horizontal="right"/>
    </xf>
    <xf numFmtId="2" fontId="73" fillId="0" borderId="25" xfId="0" applyNumberFormat="1" applyFont="1" applyBorder="1" applyAlignment="1">
      <alignment horizontal="center"/>
    </xf>
    <xf numFmtId="0" fontId="62" fillId="0" borderId="25" xfId="0" applyFont="1" applyBorder="1" applyAlignment="1">
      <alignment/>
    </xf>
    <xf numFmtId="0" fontId="0" fillId="0" borderId="18" xfId="0" applyBorder="1" applyAlignment="1">
      <alignment/>
    </xf>
    <xf numFmtId="1" fontId="0" fillId="0" borderId="0" xfId="0" applyNumberFormat="1" applyBorder="1" applyAlignment="1">
      <alignment horizontal="center"/>
    </xf>
    <xf numFmtId="0" fontId="72" fillId="0" borderId="19" xfId="0" applyFont="1" applyBorder="1" applyAlignment="1">
      <alignment/>
    </xf>
    <xf numFmtId="0" fontId="5" fillId="0" borderId="20" xfId="0" applyFont="1" applyBorder="1" applyAlignment="1" applyProtection="1">
      <alignment horizontal="left"/>
      <protection/>
    </xf>
    <xf numFmtId="0" fontId="5" fillId="0" borderId="20" xfId="0" applyFon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2" fillId="0" borderId="0" xfId="0" applyFont="1" applyBorder="1" applyAlignment="1" applyProtection="1">
      <alignment horizontal="left"/>
      <protection/>
    </xf>
    <xf numFmtId="192" fontId="68" fillId="0" borderId="0" xfId="0" applyNumberFormat="1" applyFont="1" applyBorder="1" applyAlignment="1" applyProtection="1">
      <alignment horizontal="left"/>
      <protection/>
    </xf>
    <xf numFmtId="0" fontId="74" fillId="0" borderId="0" xfId="0" applyFont="1" applyAlignment="1">
      <alignment/>
    </xf>
    <xf numFmtId="0" fontId="0" fillId="0" borderId="0" xfId="0" applyAlignment="1">
      <alignment/>
    </xf>
    <xf numFmtId="0" fontId="74" fillId="0" borderId="0" xfId="0" applyFont="1" applyAlignment="1">
      <alignment/>
    </xf>
    <xf numFmtId="1" fontId="68" fillId="0" borderId="0" xfId="0" applyNumberFormat="1" applyFont="1" applyBorder="1" applyAlignment="1" applyProtection="1">
      <alignment horizontal="center"/>
      <protection/>
    </xf>
    <xf numFmtId="0" fontId="68" fillId="0" borderId="0" xfId="0" applyFont="1" applyBorder="1" applyAlignment="1" applyProtection="1">
      <alignment horizontal="left"/>
      <protection/>
    </xf>
    <xf numFmtId="0" fontId="68" fillId="0" borderId="0" xfId="0" applyFont="1" applyBorder="1" applyAlignment="1" applyProtection="1">
      <alignment horizontal="fill"/>
      <protection/>
    </xf>
    <xf numFmtId="1" fontId="68" fillId="0" borderId="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15" fillId="0" borderId="0" xfId="0" applyFont="1" applyBorder="1" applyAlignment="1" applyProtection="1">
      <alignment/>
      <protection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75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2" xfId="0" applyFont="1" applyBorder="1" applyAlignment="1">
      <alignment/>
    </xf>
    <xf numFmtId="0" fontId="21" fillId="0" borderId="16" xfId="0" applyFont="1" applyBorder="1" applyAlignment="1">
      <alignment horizontal="centerContinuous"/>
    </xf>
    <xf numFmtId="0" fontId="73" fillId="0" borderId="0" xfId="0" applyFont="1" applyFill="1" applyBorder="1" applyAlignment="1">
      <alignment horizontal="centerContinuous"/>
    </xf>
    <xf numFmtId="0" fontId="73" fillId="0" borderId="0" xfId="0" applyFont="1" applyFill="1" applyAlignment="1">
      <alignment horizontal="centerContinuous"/>
    </xf>
    <xf numFmtId="0" fontId="73" fillId="0" borderId="2" xfId="0" applyFont="1" applyFill="1" applyBorder="1" applyAlignment="1">
      <alignment horizontal="centerContinuous"/>
    </xf>
    <xf numFmtId="0" fontId="7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6" fillId="0" borderId="0" xfId="0" applyFont="1" applyFill="1" applyBorder="1" applyAlignment="1">
      <alignment/>
    </xf>
    <xf numFmtId="0" fontId="25" fillId="0" borderId="2" xfId="0" applyFont="1" applyFill="1" applyBorder="1" applyAlignment="1">
      <alignment horizontal="centerContinuous"/>
    </xf>
    <xf numFmtId="0" fontId="2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7" fillId="0" borderId="0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78" fillId="0" borderId="0" xfId="0" applyFont="1" applyFill="1" applyBorder="1" applyAlignment="1">
      <alignment/>
    </xf>
    <xf numFmtId="192" fontId="10" fillId="0" borderId="0" xfId="0" applyNumberFormat="1" applyFont="1" applyBorder="1" applyAlignment="1" applyProtection="1">
      <alignment horizontal="left"/>
      <protection/>
    </xf>
    <xf numFmtId="0" fontId="75" fillId="0" borderId="0" xfId="0" applyFont="1" applyFill="1" applyBorder="1" applyAlignment="1">
      <alignment/>
    </xf>
    <xf numFmtId="5" fontId="1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94" fontId="10" fillId="0" borderId="0" xfId="0" applyNumberFormat="1" applyFont="1" applyBorder="1" applyAlignment="1">
      <alignment horizontal="center"/>
    </xf>
    <xf numFmtId="191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10" fillId="0" borderId="53" xfId="0" applyFont="1" applyFill="1" applyBorder="1" applyAlignment="1">
      <alignment/>
    </xf>
    <xf numFmtId="0" fontId="10" fillId="0" borderId="54" xfId="0" applyFont="1" applyBorder="1" applyAlignment="1" applyProtection="1">
      <alignment horizontal="right"/>
      <protection/>
    </xf>
    <xf numFmtId="203" fontId="10" fillId="0" borderId="55" xfId="0" applyNumberFormat="1" applyFont="1" applyBorder="1" applyAlignment="1">
      <alignment horizontal="center"/>
    </xf>
    <xf numFmtId="0" fontId="0" fillId="0" borderId="56" xfId="0" applyFont="1" applyBorder="1" applyAlignment="1" applyProtection="1">
      <alignment horizontal="left"/>
      <protection/>
    </xf>
    <xf numFmtId="199" fontId="0" fillId="0" borderId="57" xfId="0" applyNumberFormat="1" applyFont="1" applyBorder="1" applyAlignment="1" applyProtection="1">
      <alignment horizontal="centerContinuous"/>
      <protection/>
    </xf>
    <xf numFmtId="0" fontId="10" fillId="0" borderId="58" xfId="0" applyFont="1" applyBorder="1" applyAlignment="1">
      <alignment horizontal="centerContinuous"/>
    </xf>
    <xf numFmtId="0" fontId="32" fillId="0" borderId="0" xfId="0" applyFont="1" applyFill="1" applyBorder="1" applyAlignment="1">
      <alignment/>
    </xf>
    <xf numFmtId="0" fontId="10" fillId="0" borderId="59" xfId="0" applyFont="1" applyFill="1" applyBorder="1" applyAlignment="1">
      <alignment/>
    </xf>
    <xf numFmtId="192" fontId="10" fillId="0" borderId="60" xfId="0" applyNumberFormat="1" applyFont="1" applyBorder="1" applyAlignment="1" applyProtection="1">
      <alignment horizontal="right"/>
      <protection/>
    </xf>
    <xf numFmtId="199" fontId="10" fillId="0" borderId="61" xfId="0" applyNumberFormat="1" applyFont="1" applyBorder="1" applyAlignment="1">
      <alignment horizontal="center"/>
    </xf>
    <xf numFmtId="203" fontId="10" fillId="0" borderId="0" xfId="0" applyNumberFormat="1" applyFont="1" applyBorder="1" applyAlignment="1">
      <alignment horizontal="center"/>
    </xf>
    <xf numFmtId="0" fontId="0" fillId="0" borderId="62" xfId="0" applyFont="1" applyBorder="1" applyAlignment="1">
      <alignment/>
    </xf>
    <xf numFmtId="199" fontId="29" fillId="0" borderId="63" xfId="0" applyNumberFormat="1" applyFont="1" applyBorder="1" applyAlignment="1">
      <alignment horizontal="centerContinuous"/>
    </xf>
    <xf numFmtId="0" fontId="10" fillId="0" borderId="64" xfId="0" applyFont="1" applyBorder="1" applyAlignment="1">
      <alignment horizontal="centerContinuous"/>
    </xf>
    <xf numFmtId="10" fontId="32" fillId="0" borderId="0" xfId="0" applyNumberFormat="1" applyFont="1" applyFill="1" applyBorder="1" applyAlignment="1">
      <alignment/>
    </xf>
    <xf numFmtId="203" fontId="0" fillId="0" borderId="65" xfId="0" applyNumberFormat="1" applyBorder="1" applyAlignment="1">
      <alignment horizontal="center" vertical="center"/>
    </xf>
    <xf numFmtId="199" fontId="10" fillId="0" borderId="0" xfId="0" applyNumberFormat="1" applyFont="1" applyBorder="1" applyAlignment="1">
      <alignment horizontal="center"/>
    </xf>
    <xf numFmtId="0" fontId="0" fillId="0" borderId="66" xfId="0" applyFont="1" applyBorder="1" applyAlignment="1">
      <alignment horizontal="left"/>
    </xf>
    <xf numFmtId="199" fontId="29" fillId="0" borderId="60" xfId="0" applyNumberFormat="1" applyFont="1" applyBorder="1" applyAlignment="1">
      <alignment horizontal="centerContinuous"/>
    </xf>
    <xf numFmtId="0" fontId="10" fillId="0" borderId="67" xfId="0" applyFont="1" applyBorder="1" applyAlignment="1">
      <alignment horizontal="centerContinuous"/>
    </xf>
    <xf numFmtId="0" fontId="10" fillId="0" borderId="0" xfId="0" applyFont="1" applyBorder="1" applyAlignment="1" applyProtection="1">
      <alignment horizontal="center"/>
      <protection/>
    </xf>
    <xf numFmtId="191" fontId="10" fillId="0" borderId="0" xfId="0" applyNumberFormat="1" applyFont="1" applyBorder="1" applyAlignment="1">
      <alignment/>
    </xf>
    <xf numFmtId="7" fontId="10" fillId="0" borderId="0" xfId="0" applyNumberFormat="1" applyFont="1" applyBorder="1" applyAlignment="1">
      <alignment horizontal="center"/>
    </xf>
    <xf numFmtId="0" fontId="75" fillId="0" borderId="0" xfId="0" applyFont="1" applyBorder="1" applyAlignment="1" applyProtection="1">
      <alignment horizontal="left"/>
      <protection/>
    </xf>
    <xf numFmtId="7" fontId="10" fillId="0" borderId="68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6" fillId="0" borderId="17" xfId="0" applyFont="1" applyBorder="1" applyAlignment="1" applyProtection="1">
      <alignment horizontal="center"/>
      <protection/>
    </xf>
    <xf numFmtId="192" fontId="10" fillId="0" borderId="0" xfId="0" applyNumberFormat="1" applyFont="1" applyBorder="1" applyAlignment="1" applyProtection="1">
      <alignment horizontal="center"/>
      <protection/>
    </xf>
    <xf numFmtId="192" fontId="10" fillId="0" borderId="0" xfId="0" applyNumberFormat="1" applyFont="1" applyBorder="1" applyAlignment="1" applyProtection="1" quotePrefix="1">
      <alignment horizontal="center"/>
      <protection/>
    </xf>
    <xf numFmtId="2" fontId="80" fillId="0" borderId="0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10" fillId="0" borderId="0" xfId="0" applyNumberFormat="1" applyFont="1" applyBorder="1" applyAlignment="1" applyProtection="1">
      <alignment horizontal="center"/>
      <protection/>
    </xf>
    <xf numFmtId="0" fontId="10" fillId="0" borderId="69" xfId="0" applyFont="1" applyBorder="1" applyAlignment="1" applyProtection="1">
      <alignment horizontal="center"/>
      <protection/>
    </xf>
    <xf numFmtId="0" fontId="10" fillId="0" borderId="63" xfId="0" applyFont="1" applyBorder="1" applyAlignment="1" applyProtection="1">
      <alignment horizontal="center"/>
      <protection/>
    </xf>
    <xf numFmtId="2" fontId="10" fillId="0" borderId="63" xfId="0" applyNumberFormat="1" applyFont="1" applyBorder="1" applyAlignment="1" applyProtection="1">
      <alignment horizontal="center"/>
      <protection/>
    </xf>
    <xf numFmtId="192" fontId="10" fillId="0" borderId="63" xfId="0" applyNumberFormat="1" applyFont="1" applyBorder="1" applyAlignment="1" applyProtection="1">
      <alignment horizontal="center"/>
      <protection/>
    </xf>
    <xf numFmtId="0" fontId="0" fillId="0" borderId="63" xfId="0" applyBorder="1" applyAlignment="1">
      <alignment horizontal="centerContinuous"/>
    </xf>
    <xf numFmtId="0" fontId="0" fillId="0" borderId="63" xfId="0" applyBorder="1" applyAlignment="1">
      <alignment/>
    </xf>
    <xf numFmtId="7" fontId="75" fillId="0" borderId="36" xfId="0" applyNumberFormat="1" applyFont="1" applyBorder="1" applyAlignment="1">
      <alignment horizontal="center"/>
    </xf>
    <xf numFmtId="0" fontId="10" fillId="0" borderId="70" xfId="0" applyFont="1" applyBorder="1" applyAlignment="1" applyProtection="1">
      <alignment horizontal="center"/>
      <protection/>
    </xf>
    <xf numFmtId="0" fontId="10" fillId="0" borderId="71" xfId="0" applyFont="1" applyBorder="1" applyAlignment="1" applyProtection="1">
      <alignment horizontal="center"/>
      <protection/>
    </xf>
    <xf numFmtId="2" fontId="10" fillId="0" borderId="71" xfId="0" applyNumberFormat="1" applyFont="1" applyBorder="1" applyAlignment="1" applyProtection="1">
      <alignment horizontal="center"/>
      <protection/>
    </xf>
    <xf numFmtId="192" fontId="10" fillId="0" borderId="71" xfId="0" applyNumberFormat="1" applyFont="1" applyBorder="1" applyAlignment="1" applyProtection="1">
      <alignment horizontal="center"/>
      <protection/>
    </xf>
    <xf numFmtId="7" fontId="10" fillId="0" borderId="71" xfId="0" applyNumberFormat="1" applyFont="1" applyBorder="1" applyAlignment="1" applyProtection="1">
      <alignment horizontal="center"/>
      <protection/>
    </xf>
    <xf numFmtId="0" fontId="10" fillId="0" borderId="71" xfId="0" applyFont="1" applyBorder="1" applyAlignment="1" applyProtection="1">
      <alignment horizontal="centerContinuous"/>
      <protection/>
    </xf>
    <xf numFmtId="0" fontId="10" fillId="0" borderId="71" xfId="0" applyFont="1" applyBorder="1" applyAlignment="1" applyProtection="1">
      <alignment horizontal="right"/>
      <protection/>
    </xf>
    <xf numFmtId="7" fontId="10" fillId="0" borderId="72" xfId="0" applyNumberFormat="1" applyFont="1" applyBorder="1" applyAlignment="1" applyProtection="1">
      <alignment horizontal="center"/>
      <protection/>
    </xf>
    <xf numFmtId="0" fontId="10" fillId="0" borderId="73" xfId="0" applyFont="1" applyBorder="1" applyAlignment="1" applyProtection="1">
      <alignment horizontal="center"/>
      <protection/>
    </xf>
    <xf numFmtId="0" fontId="10" fillId="0" borderId="68" xfId="0" applyFont="1" applyBorder="1" applyAlignment="1" applyProtection="1">
      <alignment horizontal="center"/>
      <protection/>
    </xf>
    <xf numFmtId="2" fontId="10" fillId="0" borderId="68" xfId="0" applyNumberFormat="1" applyFont="1" applyBorder="1" applyAlignment="1" applyProtection="1">
      <alignment horizontal="center"/>
      <protection/>
    </xf>
    <xf numFmtId="192" fontId="10" fillId="0" borderId="68" xfId="0" applyNumberFormat="1" applyFont="1" applyBorder="1" applyAlignment="1" applyProtection="1">
      <alignment horizontal="center"/>
      <protection/>
    </xf>
    <xf numFmtId="7" fontId="10" fillId="0" borderId="68" xfId="0" applyNumberFormat="1" applyFont="1" applyBorder="1" applyAlignment="1" applyProtection="1">
      <alignment horizontal="center"/>
      <protection/>
    </xf>
    <xf numFmtId="0" fontId="10" fillId="0" borderId="68" xfId="0" applyFont="1" applyBorder="1" applyAlignment="1" applyProtection="1">
      <alignment horizontal="centerContinuous"/>
      <protection/>
    </xf>
    <xf numFmtId="0" fontId="10" fillId="0" borderId="68" xfId="0" applyFont="1" applyBorder="1" applyAlignment="1" applyProtection="1">
      <alignment horizontal="right"/>
      <protection/>
    </xf>
    <xf numFmtId="7" fontId="10" fillId="0" borderId="37" xfId="0" applyNumberFormat="1" applyFont="1" applyBorder="1" applyAlignment="1" applyProtection="1">
      <alignment horizontal="center"/>
      <protection/>
    </xf>
    <xf numFmtId="2" fontId="10" fillId="0" borderId="0" xfId="0" applyNumberFormat="1" applyFont="1" applyBorder="1" applyAlignment="1" applyProtection="1">
      <alignment horizontal="right"/>
      <protection/>
    </xf>
    <xf numFmtId="5" fontId="10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right"/>
      <protection/>
    </xf>
    <xf numFmtId="7" fontId="10" fillId="0" borderId="36" xfId="0" applyNumberFormat="1" applyFont="1" applyBorder="1" applyAlignment="1" applyProtection="1">
      <alignment horizontal="center"/>
      <protection/>
    </xf>
    <xf numFmtId="7" fontId="10" fillId="0" borderId="0" xfId="0" applyNumberFormat="1" applyFont="1" applyBorder="1" applyAlignment="1">
      <alignment horizontal="right"/>
    </xf>
    <xf numFmtId="192" fontId="10" fillId="0" borderId="36" xfId="0" applyNumberFormat="1" applyFont="1" applyBorder="1" applyAlignment="1" applyProtection="1">
      <alignment horizontal="center"/>
      <protection/>
    </xf>
    <xf numFmtId="0" fontId="0" fillId="0" borderId="69" xfId="0" applyBorder="1" applyAlignment="1">
      <alignment horizontal="centerContinuous"/>
    </xf>
    <xf numFmtId="0" fontId="10" fillId="0" borderId="63" xfId="0" applyFont="1" applyBorder="1" applyAlignment="1" applyProtection="1">
      <alignment horizontal="centerContinuous"/>
      <protection/>
    </xf>
    <xf numFmtId="0" fontId="0" fillId="0" borderId="63" xfId="0" applyBorder="1" applyAlignment="1">
      <alignment horizontal="center"/>
    </xf>
    <xf numFmtId="192" fontId="10" fillId="0" borderId="69" xfId="0" applyNumberFormat="1" applyFont="1" applyBorder="1" applyAlignment="1" applyProtection="1">
      <alignment horizontal="centerContinuous"/>
      <protection/>
    </xf>
    <xf numFmtId="2" fontId="80" fillId="0" borderId="33" xfId="0" applyNumberFormat="1" applyFont="1" applyBorder="1" applyAlignment="1">
      <alignment horizontal="centerContinuous"/>
    </xf>
    <xf numFmtId="7" fontId="10" fillId="0" borderId="70" xfId="0" applyNumberFormat="1" applyFont="1" applyBorder="1" applyAlignment="1">
      <alignment horizontal="centerContinuous"/>
    </xf>
    <xf numFmtId="192" fontId="10" fillId="0" borderId="71" xfId="0" applyNumberFormat="1" applyFont="1" applyBorder="1" applyAlignment="1" applyProtection="1" quotePrefix="1">
      <alignment horizontal="center"/>
      <protection/>
    </xf>
    <xf numFmtId="7" fontId="10" fillId="0" borderId="70" xfId="0" applyNumberFormat="1" applyFont="1" applyBorder="1" applyAlignment="1" applyProtection="1">
      <alignment horizontal="centerContinuous"/>
      <protection/>
    </xf>
    <xf numFmtId="2" fontId="80" fillId="0" borderId="74" xfId="0" applyNumberFormat="1" applyFont="1" applyBorder="1" applyAlignment="1">
      <alignment horizontal="centerContinuous"/>
    </xf>
    <xf numFmtId="0" fontId="10" fillId="0" borderId="75" xfId="0" applyFont="1" applyBorder="1" applyAlignment="1" applyProtection="1">
      <alignment horizontal="center"/>
      <protection/>
    </xf>
    <xf numFmtId="7" fontId="10" fillId="0" borderId="76" xfId="0" applyNumberFormat="1" applyFont="1" applyBorder="1" applyAlignment="1" applyProtection="1">
      <alignment horizontal="center"/>
      <protection/>
    </xf>
    <xf numFmtId="7" fontId="10" fillId="0" borderId="75" xfId="0" applyNumberFormat="1" applyFont="1" applyBorder="1" applyAlignment="1">
      <alignment horizontal="centerContinuous"/>
    </xf>
    <xf numFmtId="0" fontId="10" fillId="0" borderId="0" xfId="0" applyFont="1" applyBorder="1" applyAlignment="1" applyProtection="1">
      <alignment horizontal="centerContinuous"/>
      <protection/>
    </xf>
    <xf numFmtId="7" fontId="10" fillId="0" borderId="75" xfId="0" applyNumberFormat="1" applyFont="1" applyBorder="1" applyAlignment="1" applyProtection="1">
      <alignment horizontal="centerContinuous"/>
      <protection/>
    </xf>
    <xf numFmtId="2" fontId="80" fillId="0" borderId="77" xfId="0" applyNumberFormat="1" applyFont="1" applyBorder="1" applyAlignment="1">
      <alignment horizontal="centerContinuous"/>
    </xf>
    <xf numFmtId="7" fontId="0" fillId="0" borderId="36" xfId="0" applyNumberFormat="1" applyBorder="1" applyAlignment="1">
      <alignment horizontal="center"/>
    </xf>
    <xf numFmtId="7" fontId="10" fillId="0" borderId="73" xfId="0" applyNumberFormat="1" applyFont="1" applyBorder="1" applyAlignment="1">
      <alignment horizontal="centerContinuous"/>
    </xf>
    <xf numFmtId="192" fontId="10" fillId="0" borderId="68" xfId="0" applyNumberFormat="1" applyFont="1" applyBorder="1" applyAlignment="1" applyProtection="1" quotePrefix="1">
      <alignment horizontal="center"/>
      <protection/>
    </xf>
    <xf numFmtId="7" fontId="10" fillId="0" borderId="73" xfId="0" applyNumberFormat="1" applyFont="1" applyBorder="1" applyAlignment="1" applyProtection="1">
      <alignment horizontal="centerContinuous"/>
      <protection/>
    </xf>
    <xf numFmtId="2" fontId="80" fillId="0" borderId="30" xfId="0" applyNumberFormat="1" applyFont="1" applyBorder="1" applyAlignment="1">
      <alignment horizontal="centerContinuous"/>
    </xf>
    <xf numFmtId="7" fontId="10" fillId="0" borderId="69" xfId="0" applyNumberFormat="1" applyFont="1" applyBorder="1" applyAlignment="1" applyProtection="1">
      <alignment horizontal="centerContinuous"/>
      <protection/>
    </xf>
    <xf numFmtId="5" fontId="26" fillId="0" borderId="17" xfId="0" applyNumberFormat="1" applyFont="1" applyBorder="1" applyAlignment="1" applyProtection="1">
      <alignment horizontal="center"/>
      <protection/>
    </xf>
    <xf numFmtId="7" fontId="26" fillId="0" borderId="18" xfId="0" applyNumberFormat="1" applyFont="1" applyBorder="1" applyAlignment="1" applyProtection="1">
      <alignment horizontal="center"/>
      <protection/>
    </xf>
    <xf numFmtId="0" fontId="13" fillId="0" borderId="0" xfId="0" applyFont="1" applyBorder="1" applyAlignment="1">
      <alignment horizontal="left"/>
    </xf>
    <xf numFmtId="192" fontId="10" fillId="0" borderId="0" xfId="0" applyNumberFormat="1" applyFont="1" applyBorder="1" applyAlignment="1" applyProtection="1">
      <alignment horizontal="right"/>
      <protection/>
    </xf>
    <xf numFmtId="1" fontId="10" fillId="0" borderId="0" xfId="0" applyNumberFormat="1" applyFont="1" applyBorder="1" applyAlignment="1" applyProtection="1">
      <alignment horizontal="right"/>
      <protection/>
    </xf>
    <xf numFmtId="7" fontId="82" fillId="0" borderId="18" xfId="0" applyNumberFormat="1" applyFont="1" applyFill="1" applyBorder="1" applyAlignment="1">
      <alignment horizontal="center"/>
    </xf>
    <xf numFmtId="0" fontId="83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7" fontId="10" fillId="0" borderId="0" xfId="0" applyNumberFormat="1" applyFont="1" applyBorder="1" applyAlignment="1" applyProtection="1">
      <alignment horizontal="center"/>
      <protection/>
    </xf>
    <xf numFmtId="2" fontId="10" fillId="0" borderId="0" xfId="0" applyNumberFormat="1" applyFont="1" applyFill="1" applyBorder="1" applyAlignment="1">
      <alignment/>
    </xf>
    <xf numFmtId="0" fontId="26" fillId="0" borderId="17" xfId="0" applyFont="1" applyFill="1" applyBorder="1" applyAlignment="1">
      <alignment horizontal="center"/>
    </xf>
    <xf numFmtId="8" fontId="26" fillId="0" borderId="18" xfId="0" applyNumberFormat="1" applyFont="1" applyBorder="1" applyAlignment="1" applyProtection="1">
      <alignment horizontal="center"/>
      <protection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192" fontId="81" fillId="0" borderId="63" xfId="0" applyNumberFormat="1" applyFont="1" applyBorder="1" applyAlignment="1" applyProtection="1">
      <alignment horizontal="centerContinuous"/>
      <protection/>
    </xf>
    <xf numFmtId="7" fontId="10" fillId="0" borderId="71" xfId="0" applyNumberFormat="1" applyFont="1" applyFill="1" applyBorder="1" applyAlignment="1" applyProtection="1">
      <alignment horizontal="centerContinuous"/>
      <protection/>
    </xf>
    <xf numFmtId="7" fontId="10" fillId="0" borderId="68" xfId="0" applyNumberFormat="1" applyFont="1" applyFill="1" applyBorder="1" applyAlignment="1" applyProtection="1">
      <alignment horizontal="centerContinuous"/>
      <protection/>
    </xf>
    <xf numFmtId="4" fontId="10" fillId="0" borderId="28" xfId="0" applyNumberFormat="1" applyFont="1" applyBorder="1" applyAlignment="1">
      <alignment horizontal="center"/>
    </xf>
    <xf numFmtId="0" fontId="7" fillId="0" borderId="1" xfId="0" applyFont="1" applyFill="1" applyBorder="1" applyAlignment="1" applyProtection="1">
      <alignment horizontal="center"/>
      <protection/>
    </xf>
    <xf numFmtId="189" fontId="7" fillId="0" borderId="1" xfId="0" applyNumberFormat="1" applyFont="1" applyFill="1" applyBorder="1" applyAlignment="1" applyProtection="1" quotePrefix="1">
      <alignment horizontal="center"/>
      <protection/>
    </xf>
    <xf numFmtId="2" fontId="7" fillId="0" borderId="1" xfId="0" applyNumberFormat="1" applyFont="1" applyFill="1" applyBorder="1" applyAlignment="1" applyProtection="1" quotePrefix="1">
      <alignment horizontal="center"/>
      <protection/>
    </xf>
    <xf numFmtId="0" fontId="7" fillId="0" borderId="16" xfId="0" applyFont="1" applyFill="1" applyBorder="1" applyAlignment="1">
      <alignment horizontal="right"/>
    </xf>
    <xf numFmtId="0" fontId="54" fillId="0" borderId="3" xfId="0" applyFont="1" applyFill="1" applyBorder="1" applyAlignment="1">
      <alignment/>
    </xf>
    <xf numFmtId="0" fontId="53" fillId="0" borderId="3" xfId="0" applyFont="1" applyFill="1" applyBorder="1" applyAlignment="1">
      <alignment/>
    </xf>
    <xf numFmtId="0" fontId="42" fillId="0" borderId="29" xfId="0" applyFont="1" applyFill="1" applyBorder="1" applyAlignment="1">
      <alignment horizontal="center"/>
    </xf>
    <xf numFmtId="0" fontId="42" fillId="0" borderId="4" xfId="0" applyFont="1" applyFill="1" applyBorder="1" applyAlignment="1">
      <alignment/>
    </xf>
    <xf numFmtId="0" fontId="56" fillId="0" borderId="29" xfId="0" applyFont="1" applyFill="1" applyBorder="1" applyAlignment="1">
      <alignment horizontal="center"/>
    </xf>
    <xf numFmtId="0" fontId="56" fillId="0" borderId="4" xfId="0" applyFont="1" applyFill="1" applyBorder="1" applyAlignment="1">
      <alignment/>
    </xf>
    <xf numFmtId="0" fontId="56" fillId="0" borderId="3" xfId="0" applyFont="1" applyFill="1" applyBorder="1" applyAlignment="1">
      <alignment/>
    </xf>
    <xf numFmtId="192" fontId="58" fillId="0" borderId="3" xfId="0" applyNumberFormat="1" applyFont="1" applyFill="1" applyBorder="1" applyAlignment="1" applyProtection="1" quotePrefix="1">
      <alignment horizontal="center"/>
      <protection/>
    </xf>
    <xf numFmtId="0" fontId="7" fillId="0" borderId="24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</cellXfs>
  <cellStyles count="34">
    <cellStyle name="Normal" xfId="0"/>
    <cellStyle name="Comma" xfId="15"/>
    <cellStyle name="Comma [0]" xfId="16"/>
    <cellStyle name="Millares [0]_CCTNEA" xfId="17"/>
    <cellStyle name="Millares [0]_Hoja1" xfId="18"/>
    <cellStyle name="Millares [0]_Hoja1_MODELO L (2)" xfId="19"/>
    <cellStyle name="Millares [0]_Hoja1_MODELO T (2)" xfId="20"/>
    <cellStyle name="Millares [0]_líneas" xfId="21"/>
    <cellStyle name="Millares_CCTNEA" xfId="22"/>
    <cellStyle name="Millares_Hoja1" xfId="23"/>
    <cellStyle name="Millares_Hoja1_MODELO L (2)" xfId="24"/>
    <cellStyle name="Millares_Hoja1_MODELO T (2)" xfId="25"/>
    <cellStyle name="Millares_líneas" xfId="26"/>
    <cellStyle name="Currency" xfId="27"/>
    <cellStyle name="Currency [0]" xfId="28"/>
    <cellStyle name="Moneda [0]_CCTNEA" xfId="29"/>
    <cellStyle name="Moneda [0]_COMAHUE9701" xfId="30"/>
    <cellStyle name="Moneda [0]_Hoja1" xfId="31"/>
    <cellStyle name="Moneda [0]_líneas" xfId="32"/>
    <cellStyle name="Moneda [0]_T9912NOA" xfId="33"/>
    <cellStyle name="Moneda [0]_TRANSPA9611" xfId="34"/>
    <cellStyle name="Moneda [0]_TRANSPA9701" xfId="35"/>
    <cellStyle name="Moneda [0]_TRANSPA9701 (2)" xfId="36"/>
    <cellStyle name="Moneda_CCTNEA" xfId="37"/>
    <cellStyle name="Moneda_COMAHUE9701" xfId="38"/>
    <cellStyle name="Moneda_Hoja1" xfId="39"/>
    <cellStyle name="Moneda_líneas" xfId="40"/>
    <cellStyle name="Moneda_T9912NOA" xfId="41"/>
    <cellStyle name="Moneda_TRANSPA9611" xfId="42"/>
    <cellStyle name="Moneda_TRANSPA9701" xfId="43"/>
    <cellStyle name="Moneda_TRANSPA9701 (2)" xfId="44"/>
    <cellStyle name="Normal_Hoja1" xfId="45"/>
    <cellStyle name="Normal_líneas" xfId="46"/>
    <cellStyle name="Percent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0</xdr:rowOff>
    </xdr:from>
    <xdr:to>
      <xdr:col>1</xdr:col>
      <xdr:colOff>247650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4857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0</xdr:rowOff>
    </xdr:from>
    <xdr:to>
      <xdr:col>1</xdr:col>
      <xdr:colOff>247650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4857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0</xdr:rowOff>
    </xdr:from>
    <xdr:to>
      <xdr:col>1</xdr:col>
      <xdr:colOff>247650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4857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0</xdr:rowOff>
    </xdr:from>
    <xdr:to>
      <xdr:col>1</xdr:col>
      <xdr:colOff>247650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4857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0</xdr:rowOff>
    </xdr:from>
    <xdr:to>
      <xdr:col>1</xdr:col>
      <xdr:colOff>38100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4762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0</xdr:col>
      <xdr:colOff>1304925</xdr:colOff>
      <xdr:row>2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0482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762250"/>
          <a:ext cx="27717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0</xdr:rowOff>
    </xdr:from>
    <xdr:to>
      <xdr:col>1</xdr:col>
      <xdr:colOff>142875</xdr:colOff>
      <xdr:row>2</xdr:row>
      <xdr:rowOff>9525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4667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porte\ARCHIVOS.XLS\P-TRSNOA\TBAS2NO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FUERZA MAYOR"/>
    </sheetNames>
    <sheetDataSet>
      <sheetData sheetId="0">
        <row r="15">
          <cell r="BL15">
            <v>36220</v>
          </cell>
          <cell r="BM15">
            <v>36251</v>
          </cell>
          <cell r="BN15">
            <v>36281</v>
          </cell>
          <cell r="BO15">
            <v>36312</v>
          </cell>
          <cell r="BP15">
            <v>36342</v>
          </cell>
          <cell r="BQ15">
            <v>36373</v>
          </cell>
          <cell r="BR15">
            <v>36404</v>
          </cell>
          <cell r="BS15">
            <v>36434</v>
          </cell>
          <cell r="BT15">
            <v>36465</v>
          </cell>
          <cell r="BU15">
            <v>36495</v>
          </cell>
          <cell r="BV15">
            <v>36526</v>
          </cell>
          <cell r="BW15">
            <v>36557</v>
          </cell>
          <cell r="BX15">
            <v>36586</v>
          </cell>
        </row>
        <row r="17">
          <cell r="C17">
            <v>1</v>
          </cell>
          <cell r="D17" t="str">
            <v>AGUA BLANCA - VILLA QUINTEROS</v>
          </cell>
          <cell r="E17">
            <v>132</v>
          </cell>
          <cell r="F17">
            <v>23.8</v>
          </cell>
          <cell r="BQ17">
            <v>1</v>
          </cell>
          <cell r="BT17">
            <v>1</v>
          </cell>
        </row>
        <row r="18">
          <cell r="C18">
            <v>2</v>
          </cell>
          <cell r="D18" t="str">
            <v>AGUILARES - ESCABA</v>
          </cell>
          <cell r="E18">
            <v>132</v>
          </cell>
          <cell r="F18">
            <v>27</v>
          </cell>
        </row>
        <row r="19">
          <cell r="C19">
            <v>3</v>
          </cell>
          <cell r="D19" t="str">
            <v>CABRA CORRAL - SALTA SUR</v>
          </cell>
          <cell r="E19">
            <v>132</v>
          </cell>
          <cell r="F19">
            <v>62</v>
          </cell>
          <cell r="BR19">
            <v>1</v>
          </cell>
          <cell r="BV19" t="str">
            <v>XXXX</v>
          </cell>
          <cell r="BW19" t="str">
            <v>XXXX</v>
          </cell>
        </row>
        <row r="20">
          <cell r="C20">
            <v>4</v>
          </cell>
          <cell r="D20" t="str">
            <v>CEVIL POZO - TUCUMAN NORTE</v>
          </cell>
          <cell r="E20">
            <v>132</v>
          </cell>
          <cell r="F20">
            <v>14.5</v>
          </cell>
        </row>
        <row r="21">
          <cell r="C21">
            <v>5</v>
          </cell>
          <cell r="D21" t="str">
            <v>CAMPO SANTO - MINETTI</v>
          </cell>
          <cell r="E21">
            <v>132</v>
          </cell>
          <cell r="F21">
            <v>29.9</v>
          </cell>
          <cell r="BM21">
            <v>1</v>
          </cell>
        </row>
        <row r="22">
          <cell r="C22">
            <v>6</v>
          </cell>
          <cell r="D22" t="str">
            <v>ESCABA - HUACRA</v>
          </cell>
          <cell r="E22">
            <v>132</v>
          </cell>
          <cell r="F22">
            <v>49.9</v>
          </cell>
          <cell r="BL22" t="str">
            <v>XXXX</v>
          </cell>
          <cell r="BM22" t="str">
            <v>XXXX</v>
          </cell>
          <cell r="BN22" t="str">
            <v>XXXX</v>
          </cell>
          <cell r="BO22" t="str">
            <v>XXXX</v>
          </cell>
          <cell r="BP22" t="str">
            <v>XXXX</v>
          </cell>
          <cell r="BQ22" t="str">
            <v>XXXX</v>
          </cell>
          <cell r="BR22" t="str">
            <v>XXXX</v>
          </cell>
          <cell r="BS22" t="str">
            <v>XXXX</v>
          </cell>
          <cell r="BT22" t="str">
            <v>XXXX</v>
          </cell>
          <cell r="BU22" t="str">
            <v>XXXX</v>
          </cell>
          <cell r="BV22" t="str">
            <v>XXXX</v>
          </cell>
          <cell r="BW22" t="str">
            <v>XXXX</v>
          </cell>
        </row>
        <row r="23">
          <cell r="C23">
            <v>7</v>
          </cell>
          <cell r="D23" t="str">
            <v>ESTATICA SUR - EL BRACHO</v>
          </cell>
          <cell r="E23">
            <v>132</v>
          </cell>
          <cell r="F23">
            <v>19.6</v>
          </cell>
          <cell r="BW23">
            <v>1</v>
          </cell>
        </row>
        <row r="24">
          <cell r="C24">
            <v>8</v>
          </cell>
          <cell r="D24" t="str">
            <v>ESTATICA SUR - INDEPENDENCIA</v>
          </cell>
          <cell r="E24">
            <v>132</v>
          </cell>
          <cell r="F24">
            <v>2.6</v>
          </cell>
          <cell r="BU24">
            <v>1</v>
          </cell>
          <cell r="BV24">
            <v>1</v>
          </cell>
        </row>
        <row r="25">
          <cell r="C25">
            <v>9</v>
          </cell>
          <cell r="D25" t="str">
            <v>ESTATICA SUR - SARMIENTO</v>
          </cell>
          <cell r="E25">
            <v>132</v>
          </cell>
          <cell r="F25">
            <v>4.4</v>
          </cell>
        </row>
        <row r="26">
          <cell r="C26">
            <v>10</v>
          </cell>
          <cell r="D26" t="str">
            <v>GÜEMES - EL BRACHO</v>
          </cell>
          <cell r="E26">
            <v>132</v>
          </cell>
          <cell r="F26">
            <v>308</v>
          </cell>
          <cell r="BL26" t="str">
            <v>XXXX</v>
          </cell>
          <cell r="BM26" t="str">
            <v>XXXX</v>
          </cell>
          <cell r="BN26" t="str">
            <v>XXXX</v>
          </cell>
          <cell r="BO26" t="str">
            <v>XXXX</v>
          </cell>
          <cell r="BP26" t="str">
            <v>XXXX</v>
          </cell>
          <cell r="BQ26" t="str">
            <v>XXXX</v>
          </cell>
          <cell r="BR26" t="str">
            <v>XXXX</v>
          </cell>
          <cell r="BS26" t="str">
            <v>XXXX</v>
          </cell>
          <cell r="BT26" t="str">
            <v>XXXX</v>
          </cell>
          <cell r="BU26" t="str">
            <v>XXXX</v>
          </cell>
          <cell r="BV26" t="str">
            <v>XXXX</v>
          </cell>
          <cell r="BW26" t="str">
            <v>XXXX</v>
          </cell>
        </row>
        <row r="27">
          <cell r="C27">
            <v>11</v>
          </cell>
          <cell r="D27" t="str">
            <v>GÜEMES - CAMPO SANTO</v>
          </cell>
          <cell r="E27">
            <v>132</v>
          </cell>
          <cell r="F27">
            <v>6.2</v>
          </cell>
          <cell r="BO27">
            <v>1</v>
          </cell>
          <cell r="BQ27">
            <v>1</v>
          </cell>
          <cell r="BV27">
            <v>2</v>
          </cell>
          <cell r="BW27">
            <v>1</v>
          </cell>
        </row>
        <row r="28">
          <cell r="C28">
            <v>12</v>
          </cell>
          <cell r="D28" t="str">
            <v>GÜEMES - SAN JUANCITO</v>
          </cell>
          <cell r="E28">
            <v>132</v>
          </cell>
          <cell r="F28">
            <v>36.2</v>
          </cell>
          <cell r="BL28">
            <v>1</v>
          </cell>
          <cell r="BQ28">
            <v>1</v>
          </cell>
          <cell r="BR28">
            <v>2</v>
          </cell>
          <cell r="BV28">
            <v>1</v>
          </cell>
          <cell r="BW28">
            <v>3</v>
          </cell>
        </row>
        <row r="29">
          <cell r="C29">
            <v>13</v>
          </cell>
          <cell r="D29" t="str">
            <v>HUACRA - CATAMARCA</v>
          </cell>
          <cell r="E29">
            <v>132</v>
          </cell>
          <cell r="F29">
            <v>67.3</v>
          </cell>
          <cell r="BT29">
            <v>1</v>
          </cell>
          <cell r="BU29">
            <v>1</v>
          </cell>
        </row>
        <row r="30">
          <cell r="C30">
            <v>14</v>
          </cell>
          <cell r="D30" t="str">
            <v>HUACRA - LA CALERA</v>
          </cell>
          <cell r="E30">
            <v>132</v>
          </cell>
          <cell r="F30">
            <v>91.2</v>
          </cell>
          <cell r="BV30">
            <v>1</v>
          </cell>
        </row>
        <row r="31">
          <cell r="C31">
            <v>15</v>
          </cell>
          <cell r="D31" t="str">
            <v>INDEPENDENCIA - AGUA BLANCA</v>
          </cell>
          <cell r="E31">
            <v>132</v>
          </cell>
          <cell r="F31">
            <v>34.1</v>
          </cell>
          <cell r="BQ31">
            <v>2</v>
          </cell>
          <cell r="BR31">
            <v>1</v>
          </cell>
          <cell r="BT31">
            <v>1</v>
          </cell>
          <cell r="BW31">
            <v>1</v>
          </cell>
        </row>
        <row r="32">
          <cell r="C32">
            <v>16</v>
          </cell>
          <cell r="D32" t="str">
            <v>INDEPENDENCIA - EL BRACHO</v>
          </cell>
          <cell r="E32">
            <v>132</v>
          </cell>
          <cell r="F32">
            <v>17.1</v>
          </cell>
          <cell r="BQ32">
            <v>1</v>
          </cell>
          <cell r="BU32">
            <v>1</v>
          </cell>
          <cell r="BW32">
            <v>1</v>
          </cell>
        </row>
        <row r="33">
          <cell r="C33">
            <v>17</v>
          </cell>
          <cell r="D33" t="str">
            <v>INDEPENDENCIA - PAPEL DEL TUCUMAN</v>
          </cell>
          <cell r="E33">
            <v>132</v>
          </cell>
          <cell r="F33">
            <v>19.3</v>
          </cell>
          <cell r="BU33">
            <v>1</v>
          </cell>
        </row>
        <row r="34">
          <cell r="C34">
            <v>18</v>
          </cell>
          <cell r="D34" t="str">
            <v>LA CALERA - FRIAS</v>
          </cell>
          <cell r="E34">
            <v>132</v>
          </cell>
          <cell r="F34">
            <v>27.3</v>
          </cell>
          <cell r="BL34">
            <v>1</v>
          </cell>
          <cell r="BM34">
            <v>1</v>
          </cell>
          <cell r="BR34">
            <v>1</v>
          </cell>
        </row>
        <row r="35">
          <cell r="C35">
            <v>19</v>
          </cell>
          <cell r="D35" t="str">
            <v>LA BANDA - SANTIAGO CENTRO</v>
          </cell>
          <cell r="E35">
            <v>132</v>
          </cell>
          <cell r="F35">
            <v>10.9</v>
          </cell>
        </row>
        <row r="36">
          <cell r="C36">
            <v>20</v>
          </cell>
          <cell r="D36" t="str">
            <v>LIBERTADOR - PICHANAL</v>
          </cell>
          <cell r="E36">
            <v>132</v>
          </cell>
          <cell r="F36">
            <v>76</v>
          </cell>
        </row>
        <row r="37">
          <cell r="C37">
            <v>21</v>
          </cell>
          <cell r="D37" t="str">
            <v>METAN - GÜEMES</v>
          </cell>
          <cell r="E37">
            <v>132</v>
          </cell>
          <cell r="F37">
            <v>97.1</v>
          </cell>
          <cell r="BO37">
            <v>1</v>
          </cell>
          <cell r="BQ37">
            <v>1</v>
          </cell>
          <cell r="BR37">
            <v>1</v>
          </cell>
        </row>
        <row r="38">
          <cell r="C38">
            <v>22</v>
          </cell>
          <cell r="D38" t="str">
            <v>MINETTI - SAN JUANCITO</v>
          </cell>
          <cell r="E38">
            <v>132</v>
          </cell>
          <cell r="F38">
            <v>26</v>
          </cell>
        </row>
        <row r="39">
          <cell r="C39">
            <v>23</v>
          </cell>
          <cell r="D39" t="str">
            <v>PALPALA - JUJUY SUR</v>
          </cell>
          <cell r="E39">
            <v>132</v>
          </cell>
          <cell r="F39">
            <v>14</v>
          </cell>
          <cell r="BL39" t="str">
            <v>XXXX</v>
          </cell>
          <cell r="BM39" t="str">
            <v>XXXX</v>
          </cell>
          <cell r="BN39" t="str">
            <v>XXXX</v>
          </cell>
          <cell r="BO39" t="str">
            <v>XXXX</v>
          </cell>
          <cell r="BP39" t="str">
            <v>XXXX</v>
          </cell>
          <cell r="BQ39" t="str">
            <v>XXXX</v>
          </cell>
          <cell r="BR39" t="str">
            <v>XXXX</v>
          </cell>
          <cell r="BS39" t="str">
            <v>XXXX</v>
          </cell>
          <cell r="BT39" t="str">
            <v>XXXX</v>
          </cell>
          <cell r="BU39" t="str">
            <v>XXXX</v>
          </cell>
          <cell r="BV39" t="str">
            <v>XXXX</v>
          </cell>
          <cell r="BW39" t="str">
            <v>XXXX</v>
          </cell>
        </row>
        <row r="40">
          <cell r="C40">
            <v>24</v>
          </cell>
          <cell r="D40" t="str">
            <v>PICHANAL - ORAN</v>
          </cell>
          <cell r="E40">
            <v>132</v>
          </cell>
          <cell r="F40">
            <v>17</v>
          </cell>
        </row>
        <row r="41">
          <cell r="C41">
            <v>25</v>
          </cell>
          <cell r="D41" t="str">
            <v>PICHANAL - TARTAGAL</v>
          </cell>
          <cell r="E41">
            <v>132</v>
          </cell>
          <cell r="F41">
            <v>105</v>
          </cell>
        </row>
        <row r="42">
          <cell r="C42">
            <v>26</v>
          </cell>
          <cell r="D42" t="str">
            <v>RIO HONDO - LA BANDA</v>
          </cell>
          <cell r="E42">
            <v>132</v>
          </cell>
          <cell r="F42">
            <v>76.5</v>
          </cell>
        </row>
        <row r="43">
          <cell r="C43">
            <v>27</v>
          </cell>
          <cell r="D43" t="str">
            <v>LA RIOJA - RECREO  2</v>
          </cell>
          <cell r="E43">
            <v>132</v>
          </cell>
          <cell r="F43">
            <v>220</v>
          </cell>
          <cell r="BN43">
            <v>1</v>
          </cell>
          <cell r="BQ43">
            <v>1</v>
          </cell>
          <cell r="BU43">
            <v>1</v>
          </cell>
        </row>
        <row r="44">
          <cell r="C44">
            <v>28</v>
          </cell>
          <cell r="D44" t="str">
            <v>SALTA SUR - CAMPO SANTO</v>
          </cell>
          <cell r="E44">
            <v>132</v>
          </cell>
          <cell r="F44">
            <v>40.9</v>
          </cell>
          <cell r="BP44">
            <v>1</v>
          </cell>
          <cell r="BQ44">
            <v>1</v>
          </cell>
        </row>
        <row r="45">
          <cell r="C45">
            <v>29</v>
          </cell>
          <cell r="D45" t="str">
            <v>SAN JUANCITO - PALPALA</v>
          </cell>
          <cell r="E45">
            <v>132</v>
          </cell>
          <cell r="F45">
            <v>23.9</v>
          </cell>
          <cell r="BL45">
            <v>1</v>
          </cell>
          <cell r="BR45">
            <v>1</v>
          </cell>
          <cell r="BW45">
            <v>1</v>
          </cell>
        </row>
        <row r="46">
          <cell r="C46">
            <v>30</v>
          </cell>
          <cell r="D46" t="str">
            <v>SAN JUANCITO - SAN PEDRO</v>
          </cell>
          <cell r="E46">
            <v>132</v>
          </cell>
          <cell r="F46">
            <v>27</v>
          </cell>
          <cell r="BR46">
            <v>1</v>
          </cell>
          <cell r="BW46">
            <v>1</v>
          </cell>
        </row>
        <row r="47">
          <cell r="C47">
            <v>31</v>
          </cell>
          <cell r="D47" t="str">
            <v>SAN MARTIN C. - CATAMARCA</v>
          </cell>
          <cell r="E47">
            <v>132</v>
          </cell>
          <cell r="F47">
            <v>88</v>
          </cell>
        </row>
        <row r="48">
          <cell r="C48">
            <v>32</v>
          </cell>
          <cell r="D48" t="str">
            <v>SAN MARTIN C. - RECREO</v>
          </cell>
          <cell r="E48">
            <v>132</v>
          </cell>
          <cell r="F48">
            <v>115</v>
          </cell>
        </row>
        <row r="49">
          <cell r="C49">
            <v>33</v>
          </cell>
          <cell r="D49" t="str">
            <v>SAN MARTIN C. - LA RIOJA</v>
          </cell>
          <cell r="E49">
            <v>132</v>
          </cell>
          <cell r="F49">
            <v>105</v>
          </cell>
          <cell r="BM49">
            <v>1</v>
          </cell>
        </row>
        <row r="50">
          <cell r="C50">
            <v>34</v>
          </cell>
          <cell r="D50" t="str">
            <v>SAN PEDRO - LIBERTADOR</v>
          </cell>
          <cell r="E50">
            <v>132</v>
          </cell>
          <cell r="F50">
            <v>49</v>
          </cell>
          <cell r="BR50">
            <v>1</v>
          </cell>
          <cell r="BV50">
            <v>1</v>
          </cell>
          <cell r="BW50">
            <v>1</v>
          </cell>
        </row>
        <row r="51">
          <cell r="C51">
            <v>35</v>
          </cell>
          <cell r="D51" t="str">
            <v>TUCUMAN NORTE - EL BRACHO</v>
          </cell>
          <cell r="E51">
            <v>132</v>
          </cell>
          <cell r="F51">
            <v>31.5</v>
          </cell>
          <cell r="BN51">
            <v>1</v>
          </cell>
          <cell r="BO51">
            <v>1</v>
          </cell>
          <cell r="BT51">
            <v>1</v>
          </cell>
        </row>
        <row r="52">
          <cell r="C52">
            <v>36</v>
          </cell>
          <cell r="D52" t="str">
            <v>TUCUMAN NORTE - EL CADILLAL</v>
          </cell>
          <cell r="E52">
            <v>132</v>
          </cell>
          <cell r="F52">
            <v>21.8</v>
          </cell>
        </row>
        <row r="53">
          <cell r="C53">
            <v>37</v>
          </cell>
          <cell r="D53" t="str">
            <v>TUCUMAN NORTE - CABRA CORRAL</v>
          </cell>
          <cell r="E53">
            <v>132</v>
          </cell>
          <cell r="F53">
            <v>190</v>
          </cell>
          <cell r="BQ53">
            <v>1</v>
          </cell>
          <cell r="BT53">
            <v>1</v>
          </cell>
          <cell r="BU53">
            <v>3</v>
          </cell>
          <cell r="BV53">
            <v>1</v>
          </cell>
          <cell r="BW53" t="str">
            <v>XXXX</v>
          </cell>
        </row>
        <row r="54">
          <cell r="C54">
            <v>38</v>
          </cell>
          <cell r="D54" t="str">
            <v>TUCUMAN NORTE - METAN</v>
          </cell>
          <cell r="E54">
            <v>132</v>
          </cell>
          <cell r="F54">
            <v>155.6</v>
          </cell>
          <cell r="BO54">
            <v>1</v>
          </cell>
          <cell r="BP54">
            <v>1</v>
          </cell>
          <cell r="BQ54">
            <v>1</v>
          </cell>
          <cell r="BR54">
            <v>1</v>
          </cell>
          <cell r="BW54">
            <v>1</v>
          </cell>
        </row>
        <row r="55">
          <cell r="C55">
            <v>39</v>
          </cell>
          <cell r="D55" t="str">
            <v>TUCUMAN NORTE - SARMIENTO</v>
          </cell>
          <cell r="E55">
            <v>132</v>
          </cell>
          <cell r="F55">
            <v>3.3</v>
          </cell>
        </row>
        <row r="56">
          <cell r="C56">
            <v>40</v>
          </cell>
          <cell r="D56" t="str">
            <v>TUCUMAN NORTE - TUCUMAN OESTE</v>
          </cell>
          <cell r="E56">
            <v>132</v>
          </cell>
          <cell r="F56">
            <v>7</v>
          </cell>
        </row>
        <row r="57">
          <cell r="C57">
            <v>41</v>
          </cell>
          <cell r="D57" t="str">
            <v>VILLA QUINTEROS - AGUILARES</v>
          </cell>
          <cell r="E57">
            <v>132</v>
          </cell>
          <cell r="F57">
            <v>21</v>
          </cell>
          <cell r="BO57">
            <v>1</v>
          </cell>
        </row>
        <row r="58">
          <cell r="C58">
            <v>42</v>
          </cell>
          <cell r="D58" t="str">
            <v>VILLA QUINTEROS - PUEBLO VIEJO</v>
          </cell>
          <cell r="E58">
            <v>132</v>
          </cell>
          <cell r="F58">
            <v>24.5</v>
          </cell>
          <cell r="BW58">
            <v>1</v>
          </cell>
        </row>
        <row r="59">
          <cell r="C59">
            <v>43</v>
          </cell>
          <cell r="D59" t="str">
            <v>RIO HONDO - VILLA QUINTEROS</v>
          </cell>
          <cell r="E59">
            <v>132</v>
          </cell>
          <cell r="F59">
            <v>75.4</v>
          </cell>
          <cell r="BL59">
            <v>1</v>
          </cell>
          <cell r="BQ59">
            <v>1</v>
          </cell>
        </row>
        <row r="60">
          <cell r="C60">
            <v>44</v>
          </cell>
          <cell r="D60" t="str">
            <v>RIO HONDO - SANTIAGO CENTRO</v>
          </cell>
          <cell r="E60">
            <v>132</v>
          </cell>
          <cell r="F60">
            <v>79</v>
          </cell>
          <cell r="BM60">
            <v>1</v>
          </cell>
          <cell r="BQ60">
            <v>1</v>
          </cell>
        </row>
        <row r="61">
          <cell r="C61">
            <v>45</v>
          </cell>
          <cell r="D61" t="str">
            <v>EL BRACHO - RIO HONDO</v>
          </cell>
          <cell r="E61">
            <v>132</v>
          </cell>
          <cell r="F61">
            <v>80.66</v>
          </cell>
        </row>
        <row r="62">
          <cell r="C62">
            <v>46</v>
          </cell>
          <cell r="D62" t="str">
            <v>SALTA SUR - SALTA NORTE</v>
          </cell>
          <cell r="E62">
            <v>132</v>
          </cell>
          <cell r="F62">
            <v>10</v>
          </cell>
          <cell r="BP62">
            <v>1</v>
          </cell>
          <cell r="BT62">
            <v>1</v>
          </cell>
        </row>
        <row r="63">
          <cell r="C63">
            <v>47</v>
          </cell>
          <cell r="D63" t="str">
            <v>PALPALA - JUJUY ESTE</v>
          </cell>
          <cell r="E63">
            <v>132</v>
          </cell>
          <cell r="F63">
            <v>12.25</v>
          </cell>
        </row>
        <row r="64">
          <cell r="C64">
            <v>48</v>
          </cell>
          <cell r="D64" t="str">
            <v>JUJUY ESTE - JUJUY SUR</v>
          </cell>
          <cell r="E64">
            <v>132</v>
          </cell>
          <cell r="F64">
            <v>4.25</v>
          </cell>
        </row>
        <row r="65">
          <cell r="C65">
            <v>49</v>
          </cell>
          <cell r="D65" t="str">
            <v>CEVIL POZO - GUEMES</v>
          </cell>
          <cell r="E65">
            <v>132</v>
          </cell>
          <cell r="F65">
            <v>291</v>
          </cell>
          <cell r="BL65">
            <v>1</v>
          </cell>
          <cell r="BM65">
            <v>1</v>
          </cell>
          <cell r="BQ65">
            <v>1</v>
          </cell>
          <cell r="BV65">
            <v>1</v>
          </cell>
          <cell r="BW65">
            <v>2</v>
          </cell>
        </row>
        <row r="66">
          <cell r="C66">
            <v>50</v>
          </cell>
          <cell r="D66" t="str">
            <v>CEVIL POZO - EL BRACHO</v>
          </cell>
          <cell r="E66">
            <v>132</v>
          </cell>
          <cell r="F66">
            <v>17</v>
          </cell>
        </row>
        <row r="68">
          <cell r="C68">
            <v>51</v>
          </cell>
          <cell r="D68" t="str">
            <v>METAN - EL TUNAL</v>
          </cell>
          <cell r="E68">
            <v>132</v>
          </cell>
          <cell r="F68">
            <v>75.6</v>
          </cell>
          <cell r="BL68">
            <v>1</v>
          </cell>
          <cell r="BQ68">
            <v>1</v>
          </cell>
        </row>
        <row r="69">
          <cell r="C69">
            <v>52</v>
          </cell>
          <cell r="D69" t="str">
            <v>J.V. GONZALEZ - EL TUNAL</v>
          </cell>
          <cell r="E69">
            <v>132</v>
          </cell>
          <cell r="F69">
            <v>41.4</v>
          </cell>
          <cell r="BL69">
            <v>1</v>
          </cell>
        </row>
        <row r="71">
          <cell r="C71">
            <v>53</v>
          </cell>
          <cell r="D71" t="str">
            <v>LOS PIZARROS - ESCABA</v>
          </cell>
          <cell r="E71">
            <v>132</v>
          </cell>
          <cell r="F71">
            <v>21.4</v>
          </cell>
          <cell r="BV71">
            <v>2</v>
          </cell>
        </row>
        <row r="72">
          <cell r="C72">
            <v>54</v>
          </cell>
          <cell r="D72" t="str">
            <v>LOS PIZARROS - LA COCHA</v>
          </cell>
          <cell r="E72">
            <v>132</v>
          </cell>
          <cell r="F72">
            <v>6.5</v>
          </cell>
        </row>
        <row r="73">
          <cell r="C73">
            <v>55</v>
          </cell>
          <cell r="D73" t="str">
            <v>HUACRA - LOS PIZARROS</v>
          </cell>
          <cell r="E73">
            <v>132</v>
          </cell>
          <cell r="F73">
            <v>28.5</v>
          </cell>
          <cell r="BL73">
            <v>1</v>
          </cell>
        </row>
        <row r="74">
          <cell r="C74">
            <v>56</v>
          </cell>
          <cell r="D74" t="str">
            <v>CEVIL POZO - AVELLANEDA</v>
          </cell>
          <cell r="E74">
            <v>132</v>
          </cell>
          <cell r="F74">
            <v>8</v>
          </cell>
        </row>
        <row r="75">
          <cell r="C75">
            <v>57</v>
          </cell>
          <cell r="D75" t="str">
            <v>CABRA CORRAL - SALTA ESTE</v>
          </cell>
          <cell r="E75">
            <v>132</v>
          </cell>
          <cell r="F75">
            <v>55</v>
          </cell>
          <cell r="BL75" t="str">
            <v>XXXX</v>
          </cell>
          <cell r="BM75" t="str">
            <v>XXXX</v>
          </cell>
          <cell r="BN75" t="str">
            <v>XXXX</v>
          </cell>
          <cell r="BO75" t="str">
            <v>XXXX</v>
          </cell>
          <cell r="BP75" t="str">
            <v>XXXX</v>
          </cell>
          <cell r="BQ75" t="str">
            <v>XXXX</v>
          </cell>
          <cell r="BR75" t="str">
            <v>XXXX</v>
          </cell>
          <cell r="BS75" t="str">
            <v>XXXX</v>
          </cell>
          <cell r="BT75" t="str">
            <v>XXXX</v>
          </cell>
          <cell r="BU75" t="str">
            <v>XXXX</v>
          </cell>
        </row>
        <row r="76">
          <cell r="C76">
            <v>58</v>
          </cell>
          <cell r="D76" t="str">
            <v>SALTA ESTE - SALTA SUR</v>
          </cell>
          <cell r="E76">
            <v>132</v>
          </cell>
          <cell r="F76">
            <v>7</v>
          </cell>
          <cell r="BL76" t="str">
            <v>XXXX</v>
          </cell>
          <cell r="BM76" t="str">
            <v>XXXX</v>
          </cell>
          <cell r="BN76" t="str">
            <v>XXXX</v>
          </cell>
          <cell r="BO76" t="str">
            <v>XXXX</v>
          </cell>
          <cell r="BP76" t="str">
            <v>XXXX</v>
          </cell>
          <cell r="BQ76" t="str">
            <v>XXXX</v>
          </cell>
          <cell r="BR76" t="str">
            <v>XXXX</v>
          </cell>
          <cell r="BS76" t="str">
            <v>XXXX</v>
          </cell>
          <cell r="BT76" t="str">
            <v>XXXX</v>
          </cell>
          <cell r="BU76" t="str">
            <v>XXXX</v>
          </cell>
        </row>
        <row r="77">
          <cell r="C77">
            <v>59</v>
          </cell>
          <cell r="D77" t="str">
            <v>VILLA QUINTEROS - ANDALGALA</v>
          </cell>
          <cell r="E77">
            <v>132</v>
          </cell>
          <cell r="F77">
            <v>102</v>
          </cell>
          <cell r="BL77" t="str">
            <v>XXXX</v>
          </cell>
          <cell r="BM77" t="str">
            <v>XXXX</v>
          </cell>
          <cell r="BN77" t="str">
            <v>XXXX</v>
          </cell>
          <cell r="BO77" t="str">
            <v>XXXX</v>
          </cell>
          <cell r="BP77" t="str">
            <v>XXXX</v>
          </cell>
          <cell r="BQ77" t="str">
            <v>XXXX</v>
          </cell>
          <cell r="BR77" t="str">
            <v>XXXX</v>
          </cell>
          <cell r="BS77" t="str">
            <v>XXXX</v>
          </cell>
          <cell r="BT77" t="str">
            <v>XXXX</v>
          </cell>
          <cell r="BV77">
            <v>1</v>
          </cell>
          <cell r="BW77">
            <v>1</v>
          </cell>
        </row>
        <row r="78">
          <cell r="C78">
            <v>60</v>
          </cell>
          <cell r="D78" t="str">
            <v>ANDALGALA - BELEN</v>
          </cell>
          <cell r="E78">
            <v>132</v>
          </cell>
          <cell r="F78">
            <v>80.3</v>
          </cell>
          <cell r="BL78" t="str">
            <v>XXXX</v>
          </cell>
          <cell r="BM78" t="str">
            <v>XXXX</v>
          </cell>
          <cell r="BN78" t="str">
            <v>XXXX</v>
          </cell>
          <cell r="BO78" t="str">
            <v>XXXX</v>
          </cell>
          <cell r="BP78" t="str">
            <v>XXXX</v>
          </cell>
          <cell r="BQ78" t="str">
            <v>XXXX</v>
          </cell>
          <cell r="BR78" t="str">
            <v>XXXX</v>
          </cell>
          <cell r="BS78" t="str">
            <v>XXXX</v>
          </cell>
          <cell r="BT78" t="str">
            <v>XXXX</v>
          </cell>
          <cell r="BW78">
            <v>1</v>
          </cell>
        </row>
        <row r="79">
          <cell r="C79">
            <v>61</v>
          </cell>
          <cell r="D79" t="str">
            <v>TUCUMAN NORTE - TRANCAS</v>
          </cell>
          <cell r="E79">
            <v>132</v>
          </cell>
          <cell r="F79">
            <v>75</v>
          </cell>
          <cell r="BL79" t="str">
            <v>XXXX</v>
          </cell>
          <cell r="BM79" t="str">
            <v>XXXX</v>
          </cell>
          <cell r="BN79" t="str">
            <v>XXXX</v>
          </cell>
          <cell r="BO79" t="str">
            <v>XXXX</v>
          </cell>
          <cell r="BP79" t="str">
            <v>XXXX</v>
          </cell>
          <cell r="BQ79" t="str">
            <v>XXXX</v>
          </cell>
          <cell r="BR79" t="str">
            <v>XXXX</v>
          </cell>
          <cell r="BS79" t="str">
            <v>XXXX</v>
          </cell>
          <cell r="BT79" t="str">
            <v>XXXX</v>
          </cell>
          <cell r="BU79" t="str">
            <v>XXXX</v>
          </cell>
          <cell r="BV79" t="str">
            <v>XXXX</v>
          </cell>
        </row>
        <row r="80">
          <cell r="C80">
            <v>62</v>
          </cell>
          <cell r="D80" t="str">
            <v>CABRA CORRAL - TRANCAS</v>
          </cell>
          <cell r="E80">
            <v>132</v>
          </cell>
          <cell r="F80">
            <v>115</v>
          </cell>
          <cell r="BL80" t="str">
            <v>XXXX</v>
          </cell>
          <cell r="BM80" t="str">
            <v>XXXX</v>
          </cell>
          <cell r="BN80" t="str">
            <v>XXXX</v>
          </cell>
          <cell r="BO80" t="str">
            <v>XXXX</v>
          </cell>
          <cell r="BP80" t="str">
            <v>XXXX</v>
          </cell>
          <cell r="BQ80" t="str">
            <v>XXXX</v>
          </cell>
          <cell r="BR80" t="str">
            <v>XXXX</v>
          </cell>
          <cell r="BS80" t="str">
            <v>XXXX</v>
          </cell>
          <cell r="BT80" t="str">
            <v>XXXX</v>
          </cell>
          <cell r="BU80" t="str">
            <v>XXXX</v>
          </cell>
          <cell r="BV80" t="str">
            <v>XXXX</v>
          </cell>
        </row>
        <row r="100">
          <cell r="BL100">
            <v>3.04</v>
          </cell>
          <cell r="BM100">
            <v>2.75</v>
          </cell>
          <cell r="BN100">
            <v>2.93</v>
          </cell>
          <cell r="BO100">
            <v>2.89</v>
          </cell>
          <cell r="BP100">
            <v>2.86</v>
          </cell>
          <cell r="BQ100">
            <v>2.71</v>
          </cell>
          <cell r="BR100">
            <v>3.25</v>
          </cell>
          <cell r="BS100">
            <v>3.22</v>
          </cell>
          <cell r="BT100">
            <v>3</v>
          </cell>
          <cell r="BU100">
            <v>2.93</v>
          </cell>
          <cell r="BV100">
            <v>2.92</v>
          </cell>
          <cell r="BW100">
            <v>3.02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T42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5.7109375" style="9" customWidth="1"/>
    <col min="2" max="2" width="7.7109375" style="9" customWidth="1"/>
    <col min="3" max="3" width="10.421875" style="9" customWidth="1"/>
    <col min="4" max="5" width="9.00390625" style="9" customWidth="1"/>
    <col min="6" max="6" width="3.7109375" style="9" customWidth="1"/>
    <col min="7" max="8" width="20.7109375" style="9" customWidth="1"/>
    <col min="9" max="9" width="6.28125" style="9" customWidth="1"/>
    <col min="10" max="10" width="15.7109375" style="9" customWidth="1"/>
    <col min="11" max="11" width="14.8515625" style="9" customWidth="1"/>
    <col min="12" max="12" width="15.7109375" style="9" customWidth="1"/>
    <col min="13" max="14" width="11.421875" style="9" customWidth="1"/>
    <col min="15" max="15" width="14.140625" style="9" customWidth="1"/>
    <col min="16" max="16" width="11.421875" style="9" customWidth="1"/>
    <col min="17" max="17" width="14.7109375" style="9" customWidth="1"/>
    <col min="18" max="18" width="11.421875" style="9" customWidth="1"/>
    <col min="19" max="19" width="12.00390625" style="9" customWidth="1"/>
    <col min="20" max="16384" width="11.421875" style="9" customWidth="1"/>
  </cols>
  <sheetData>
    <row r="1" spans="2:12" s="72" customFormat="1" ht="26.25">
      <c r="B1" s="73"/>
      <c r="L1" s="388"/>
    </row>
    <row r="2" spans="2:11" s="72" customFormat="1" ht="26.25">
      <c r="B2" s="73" t="s">
        <v>196</v>
      </c>
      <c r="C2" s="74"/>
      <c r="D2" s="75"/>
      <c r="E2" s="75"/>
      <c r="F2" s="75"/>
      <c r="G2" s="75"/>
      <c r="H2" s="75"/>
      <c r="I2" s="75"/>
      <c r="J2" s="75"/>
      <c r="K2" s="75"/>
    </row>
    <row r="3" spans="3:20" ht="12.75">
      <c r="C3"/>
      <c r="D3" s="76"/>
      <c r="E3" s="76"/>
      <c r="F3" s="76"/>
      <c r="G3" s="76"/>
      <c r="H3" s="76"/>
      <c r="I3" s="76"/>
      <c r="J3" s="76"/>
      <c r="K3" s="76"/>
      <c r="Q3" s="7"/>
      <c r="R3" s="7"/>
      <c r="S3" s="7"/>
      <c r="T3" s="7"/>
    </row>
    <row r="4" spans="1:20" s="79" customFormat="1" ht="11.25">
      <c r="A4" s="77" t="s">
        <v>37</v>
      </c>
      <c r="B4" s="78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20" s="79" customFormat="1" ht="11.25">
      <c r="A5" s="77" t="s">
        <v>38</v>
      </c>
      <c r="B5" s="78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2:20" s="72" customFormat="1" ht="6" customHeight="1">
      <c r="B6" s="81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2:20" s="90" customFormat="1" ht="19.5">
      <c r="B7" s="147" t="s">
        <v>0</v>
      </c>
      <c r="C7" s="230"/>
      <c r="D7" s="231"/>
      <c r="E7" s="231"/>
      <c r="F7" s="231"/>
      <c r="G7" s="95"/>
      <c r="H7" s="95"/>
      <c r="I7" s="95"/>
      <c r="J7" s="95"/>
      <c r="K7" s="95"/>
      <c r="L7" s="97"/>
      <c r="M7" s="97"/>
      <c r="N7" s="97"/>
      <c r="O7" s="97"/>
      <c r="P7" s="97"/>
      <c r="Q7" s="97"/>
      <c r="R7" s="97"/>
      <c r="S7" s="97"/>
      <c r="T7" s="97"/>
    </row>
    <row r="8" spans="10:20" ht="12.75"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2:20" s="90" customFormat="1" ht="19.5">
      <c r="B9" s="147" t="s">
        <v>1</v>
      </c>
      <c r="C9" s="230"/>
      <c r="D9" s="231"/>
      <c r="E9" s="231"/>
      <c r="F9" s="231"/>
      <c r="G9" s="95"/>
      <c r="H9" s="95"/>
      <c r="I9" s="95"/>
      <c r="J9" s="95"/>
      <c r="K9" s="95"/>
      <c r="L9" s="97"/>
      <c r="M9" s="97"/>
      <c r="N9" s="97"/>
      <c r="O9" s="97"/>
      <c r="P9" s="97"/>
      <c r="Q9" s="97"/>
      <c r="R9" s="97"/>
      <c r="S9" s="97"/>
      <c r="T9" s="97"/>
    </row>
    <row r="10" spans="4:20" ht="12.75">
      <c r="D10" s="85"/>
      <c r="E10" s="85"/>
      <c r="F10" s="85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2:20" s="90" customFormat="1" ht="19.5">
      <c r="B11" s="147" t="s">
        <v>195</v>
      </c>
      <c r="C11" s="230"/>
      <c r="D11" s="231"/>
      <c r="E11" s="231"/>
      <c r="F11" s="231"/>
      <c r="G11" s="95"/>
      <c r="H11" s="95"/>
      <c r="I11" s="95"/>
      <c r="J11" s="95"/>
      <c r="K11" s="95"/>
      <c r="L11" s="97"/>
      <c r="M11" s="97"/>
      <c r="N11" s="97"/>
      <c r="O11" s="97"/>
      <c r="P11" s="97"/>
      <c r="Q11" s="97"/>
      <c r="R11" s="97"/>
      <c r="S11" s="97"/>
      <c r="T11" s="97"/>
    </row>
    <row r="12" spans="4:20" s="86" customFormat="1" ht="16.5" thickBot="1">
      <c r="D12" s="6"/>
      <c r="E12" s="6"/>
      <c r="F12" s="6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</row>
    <row r="13" spans="2:20" s="86" customFormat="1" ht="16.5" thickTop="1">
      <c r="B13" s="257">
        <f>IF(C13=TRUE,2,1)</f>
        <v>1</v>
      </c>
      <c r="C13" s="387" t="b">
        <v>0</v>
      </c>
      <c r="D13" s="88"/>
      <c r="E13" s="88"/>
      <c r="F13" s="88"/>
      <c r="G13" s="88"/>
      <c r="H13" s="88"/>
      <c r="I13" s="88"/>
      <c r="J13" s="88"/>
      <c r="K13" s="89"/>
      <c r="L13" s="87"/>
      <c r="M13" s="87"/>
      <c r="N13" s="87"/>
      <c r="O13" s="87"/>
      <c r="P13" s="87"/>
      <c r="Q13" s="87"/>
      <c r="R13" s="87"/>
      <c r="S13" s="87"/>
      <c r="T13" s="87"/>
    </row>
    <row r="14" spans="2:20" s="90" customFormat="1" ht="18.75">
      <c r="B14" s="91" t="s">
        <v>116</v>
      </c>
      <c r="C14" s="92"/>
      <c r="D14" s="93"/>
      <c r="E14" s="94"/>
      <c r="F14" s="94"/>
      <c r="G14" s="94"/>
      <c r="H14" s="94"/>
      <c r="I14" s="94"/>
      <c r="J14" s="95"/>
      <c r="K14" s="96"/>
      <c r="L14" s="97"/>
      <c r="M14" s="97"/>
      <c r="N14" s="97"/>
      <c r="O14" s="97"/>
      <c r="P14" s="97"/>
      <c r="Q14" s="97"/>
      <c r="R14" s="97"/>
      <c r="S14" s="97"/>
      <c r="T14" s="97"/>
    </row>
    <row r="15" spans="2:20" s="90" customFormat="1" ht="18.75" hidden="1">
      <c r="B15" s="98"/>
      <c r="C15" s="99"/>
      <c r="D15" s="99"/>
      <c r="E15" s="97"/>
      <c r="F15" s="97"/>
      <c r="G15" s="100"/>
      <c r="H15" s="100"/>
      <c r="I15" s="100"/>
      <c r="J15" s="97"/>
      <c r="K15" s="101"/>
      <c r="L15" s="97"/>
      <c r="M15" s="97"/>
      <c r="N15" s="97"/>
      <c r="O15" s="97"/>
      <c r="P15" s="97"/>
      <c r="Q15" s="97"/>
      <c r="R15" s="97"/>
      <c r="S15" s="97"/>
      <c r="T15" s="97"/>
    </row>
    <row r="16" spans="2:20" s="90" customFormat="1" ht="18.75" hidden="1">
      <c r="B16" s="91" t="s">
        <v>39</v>
      </c>
      <c r="C16" s="228"/>
      <c r="D16" s="228"/>
      <c r="E16" s="95"/>
      <c r="F16" s="95"/>
      <c r="G16" s="94"/>
      <c r="H16" s="94"/>
      <c r="I16" s="94"/>
      <c r="J16" s="95"/>
      <c r="K16" s="96"/>
      <c r="L16"/>
      <c r="M16" s="97"/>
      <c r="N16" s="97"/>
      <c r="O16" s="97"/>
      <c r="P16" s="97"/>
      <c r="Q16" s="97"/>
      <c r="R16" s="97"/>
      <c r="S16" s="97"/>
      <c r="T16" s="97"/>
    </row>
    <row r="17" spans="2:20" s="90" customFormat="1" ht="18.75">
      <c r="B17" s="98"/>
      <c r="C17" s="99"/>
      <c r="D17" s="99"/>
      <c r="E17" s="97"/>
      <c r="F17" s="97"/>
      <c r="G17" s="100"/>
      <c r="H17" s="100"/>
      <c r="I17" s="100"/>
      <c r="J17" s="97"/>
      <c r="K17" s="101"/>
      <c r="L17"/>
      <c r="M17" s="97"/>
      <c r="N17" s="97"/>
      <c r="O17" s="97"/>
      <c r="P17" s="97"/>
      <c r="Q17" s="97"/>
      <c r="R17" s="97"/>
      <c r="S17" s="97"/>
      <c r="T17" s="97"/>
    </row>
    <row r="18" spans="2:20" s="90" customFormat="1" ht="18.75">
      <c r="B18" s="98"/>
      <c r="C18" s="102" t="s">
        <v>40</v>
      </c>
      <c r="D18" s="103" t="s">
        <v>2</v>
      </c>
      <c r="E18" s="97"/>
      <c r="F18" s="97"/>
      <c r="G18" s="100"/>
      <c r="H18" s="100"/>
      <c r="I18" s="100"/>
      <c r="J18" s="104">
        <f>'LI-0003 (2)'!Y37</f>
        <v>28542.75</v>
      </c>
      <c r="K18" s="101"/>
      <c r="L18" s="97"/>
      <c r="M18" s="97"/>
      <c r="N18" s="97"/>
      <c r="O18" s="97"/>
      <c r="P18" s="97"/>
      <c r="Q18" s="97"/>
      <c r="R18" s="97"/>
      <c r="S18" s="97"/>
      <c r="T18" s="97"/>
    </row>
    <row r="19" spans="2:20" ht="12.75">
      <c r="B19" s="105"/>
      <c r="C19" s="106"/>
      <c r="D19" s="107"/>
      <c r="E19" s="7"/>
      <c r="F19" s="7"/>
      <c r="G19" s="108"/>
      <c r="H19" s="108"/>
      <c r="I19" s="108"/>
      <c r="J19" s="109"/>
      <c r="K19" s="10"/>
      <c r="L19" s="7"/>
      <c r="M19" s="7"/>
      <c r="N19" s="7"/>
      <c r="O19" s="7"/>
      <c r="P19" s="7"/>
      <c r="Q19" s="7"/>
      <c r="R19" s="7"/>
      <c r="S19" s="7"/>
      <c r="T19" s="7"/>
    </row>
    <row r="20" spans="2:20" s="90" customFormat="1" ht="18.75">
      <c r="B20" s="98"/>
      <c r="C20" s="102" t="s">
        <v>43</v>
      </c>
      <c r="D20" s="103" t="s">
        <v>44</v>
      </c>
      <c r="E20" s="97"/>
      <c r="F20" s="97"/>
      <c r="G20" s="100"/>
      <c r="H20" s="100"/>
      <c r="I20" s="100"/>
      <c r="J20" s="104"/>
      <c r="K20" s="101"/>
      <c r="L20" s="97"/>
      <c r="M20" s="97"/>
      <c r="N20" s="97"/>
      <c r="O20" s="97"/>
      <c r="P20" s="97"/>
      <c r="Q20" s="97"/>
      <c r="R20" s="97"/>
      <c r="S20" s="97"/>
      <c r="T20" s="97"/>
    </row>
    <row r="21" spans="2:20" s="90" customFormat="1" ht="18.75">
      <c r="B21" s="98"/>
      <c r="C21" s="102"/>
      <c r="D21" s="102" t="s">
        <v>45</v>
      </c>
      <c r="E21" s="111" t="s">
        <v>46</v>
      </c>
      <c r="F21" s="111"/>
      <c r="G21" s="100"/>
      <c r="H21" s="100"/>
      <c r="I21" s="100"/>
      <c r="J21" s="104"/>
      <c r="K21" s="101"/>
      <c r="L21" s="97"/>
      <c r="M21" s="97"/>
      <c r="N21" s="97"/>
      <c r="O21" s="97"/>
      <c r="P21" s="97"/>
      <c r="Q21" s="97"/>
      <c r="R21" s="97"/>
      <c r="S21" s="97"/>
      <c r="T21" s="97"/>
    </row>
    <row r="22" spans="2:20" s="90" customFormat="1" ht="18.75">
      <c r="B22" s="98"/>
      <c r="C22" s="102"/>
      <c r="D22"/>
      <c r="E22" s="102" t="s">
        <v>47</v>
      </c>
      <c r="F22" s="111" t="s">
        <v>41</v>
      </c>
      <c r="G22"/>
      <c r="H22" s="100"/>
      <c r="I22" s="100"/>
      <c r="J22" s="104">
        <f>+'TR-0003'!AA45</f>
        <v>7211.89</v>
      </c>
      <c r="K22" s="101"/>
      <c r="L22" s="97"/>
      <c r="M22" s="97"/>
      <c r="N22" s="97"/>
      <c r="O22" s="97"/>
      <c r="P22" s="97"/>
      <c r="Q22" s="97"/>
      <c r="R22" s="97"/>
      <c r="S22" s="97"/>
      <c r="T22" s="97"/>
    </row>
    <row r="23" spans="2:20" s="90" customFormat="1" ht="18.75">
      <c r="B23" s="98"/>
      <c r="C23" s="102"/>
      <c r="D23"/>
      <c r="E23" s="102" t="s">
        <v>48</v>
      </c>
      <c r="F23" s="111" t="s">
        <v>42</v>
      </c>
      <c r="G23"/>
      <c r="H23" s="100"/>
      <c r="I23" s="100"/>
      <c r="J23" s="104">
        <f>'TR-EDESA'!AA44</f>
        <v>1.21</v>
      </c>
      <c r="K23" s="101"/>
      <c r="L23" s="97"/>
      <c r="M23" s="97"/>
      <c r="N23" s="97"/>
      <c r="O23" s="97"/>
      <c r="P23" s="97"/>
      <c r="Q23" s="97"/>
      <c r="R23" s="97"/>
      <c r="S23" s="97"/>
      <c r="T23" s="97"/>
    </row>
    <row r="24" spans="2:20" ht="12.75">
      <c r="B24" s="105"/>
      <c r="C24" s="106"/>
      <c r="D24" s="106"/>
      <c r="E24" s="7"/>
      <c r="F24" s="7"/>
      <c r="G24" s="108"/>
      <c r="H24" s="108"/>
      <c r="I24" s="108"/>
      <c r="J24" s="110"/>
      <c r="K24" s="10"/>
      <c r="L24" s="7"/>
      <c r="M24" s="7"/>
      <c r="N24" s="7"/>
      <c r="O24" s="7"/>
      <c r="P24" s="7"/>
      <c r="Q24" s="7"/>
      <c r="R24" s="7"/>
      <c r="S24" s="7"/>
      <c r="T24" s="7"/>
    </row>
    <row r="25" spans="2:20" s="90" customFormat="1" ht="18.75">
      <c r="B25" s="98"/>
      <c r="C25" s="102"/>
      <c r="D25" s="102" t="s">
        <v>49</v>
      </c>
      <c r="E25" s="111" t="s">
        <v>50</v>
      </c>
      <c r="F25" s="111"/>
      <c r="G25" s="100"/>
      <c r="H25" s="100"/>
      <c r="I25" s="100"/>
      <c r="J25" s="104">
        <f>+'SA-0003'!T43</f>
        <v>897.79</v>
      </c>
      <c r="K25" s="101"/>
      <c r="L25" s="97"/>
      <c r="M25" s="97"/>
      <c r="N25" s="97"/>
      <c r="O25" s="97"/>
      <c r="P25" s="97"/>
      <c r="Q25" s="97"/>
      <c r="R25" s="97"/>
      <c r="S25" s="97"/>
      <c r="T25" s="97"/>
    </row>
    <row r="26" spans="2:20" s="90" customFormat="1" ht="18.75">
      <c r="B26" s="98"/>
      <c r="C26" s="99"/>
      <c r="D26" s="99"/>
      <c r="E26" s="111"/>
      <c r="F26" s="111"/>
      <c r="G26" s="100"/>
      <c r="H26" s="100"/>
      <c r="I26" s="100"/>
      <c r="J26" s="104"/>
      <c r="K26" s="101"/>
      <c r="L26" s="97"/>
      <c r="M26" s="97"/>
      <c r="N26" s="97"/>
      <c r="O26" s="97"/>
      <c r="P26" s="97"/>
      <c r="Q26" s="97"/>
      <c r="R26" s="97"/>
      <c r="S26" s="97"/>
      <c r="T26" s="97"/>
    </row>
    <row r="27" spans="2:20" s="90" customFormat="1" ht="18.75">
      <c r="B27" s="98"/>
      <c r="C27" s="102" t="s">
        <v>51</v>
      </c>
      <c r="D27" s="103" t="s">
        <v>52</v>
      </c>
      <c r="E27" s="97"/>
      <c r="F27" s="97"/>
      <c r="G27" s="100"/>
      <c r="H27" s="100"/>
      <c r="I27" s="100"/>
      <c r="J27" s="104">
        <f>'SUP-EDESA'!I54</f>
        <v>0.3025</v>
      </c>
      <c r="K27" s="101"/>
      <c r="L27" s="97"/>
      <c r="M27" s="97"/>
      <c r="N27" s="97"/>
      <c r="O27" s="97"/>
      <c r="P27" s="97"/>
      <c r="Q27" s="97"/>
      <c r="R27" s="97"/>
      <c r="S27" s="97"/>
      <c r="T27" s="97"/>
    </row>
    <row r="28" spans="2:20" s="90" customFormat="1" ht="18.75">
      <c r="B28" s="98"/>
      <c r="C28" s="102"/>
      <c r="D28" s="102"/>
      <c r="E28" s="111"/>
      <c r="F28" s="111"/>
      <c r="G28" s="100"/>
      <c r="H28" s="100"/>
      <c r="I28" s="100"/>
      <c r="J28" s="104"/>
      <c r="K28" s="101"/>
      <c r="L28" s="97"/>
      <c r="M28" s="97"/>
      <c r="N28" s="97"/>
      <c r="O28" s="97"/>
      <c r="P28" s="97"/>
      <c r="Q28" s="97"/>
      <c r="R28" s="97"/>
      <c r="S28" s="97"/>
      <c r="T28" s="97"/>
    </row>
    <row r="29" spans="2:20" s="90" customFormat="1" ht="19.5" thickBot="1">
      <c r="B29" s="98"/>
      <c r="C29" s="99"/>
      <c r="D29" s="99"/>
      <c r="E29" s="97"/>
      <c r="F29" s="97"/>
      <c r="G29" s="100"/>
      <c r="H29" s="100"/>
      <c r="I29" s="100"/>
      <c r="J29" s="97"/>
      <c r="K29" s="101"/>
      <c r="L29" s="97"/>
      <c r="M29" s="97"/>
      <c r="N29" s="97"/>
      <c r="O29" s="97"/>
      <c r="P29" s="97"/>
      <c r="Q29" s="97"/>
      <c r="R29" s="97"/>
      <c r="S29" s="97"/>
      <c r="T29" s="97"/>
    </row>
    <row r="30" spans="2:20" s="90" customFormat="1" ht="20.25" thickBot="1" thickTop="1">
      <c r="B30" s="98"/>
      <c r="C30" s="102"/>
      <c r="D30" s="102"/>
      <c r="G30" s="112" t="s">
        <v>53</v>
      </c>
      <c r="H30" s="113">
        <f>SUM(J18:J28)</f>
        <v>36653.9425</v>
      </c>
      <c r="I30" s="229"/>
      <c r="K30" s="101"/>
      <c r="L30" s="97"/>
      <c r="M30" s="97"/>
      <c r="N30" s="97"/>
      <c r="O30" s="97"/>
      <c r="P30" s="97"/>
      <c r="Q30" s="97"/>
      <c r="R30" s="97"/>
      <c r="S30" s="97"/>
      <c r="T30" s="97"/>
    </row>
    <row r="31" spans="2:20" s="86" customFormat="1" ht="17.25" thickBot="1" thickTop="1">
      <c r="B31" s="114"/>
      <c r="C31" s="115"/>
      <c r="D31" s="115"/>
      <c r="E31" s="116"/>
      <c r="F31" s="116"/>
      <c r="G31" s="116"/>
      <c r="H31" s="116"/>
      <c r="I31" s="116"/>
      <c r="J31" s="116"/>
      <c r="K31" s="117"/>
      <c r="L31" s="87"/>
      <c r="M31" s="87"/>
      <c r="N31" s="118"/>
      <c r="O31" s="119"/>
      <c r="P31" s="119"/>
      <c r="Q31" s="120"/>
      <c r="R31" s="121"/>
      <c r="S31" s="87"/>
      <c r="T31" s="87"/>
    </row>
    <row r="32" spans="2:20" ht="13.5" thickTop="1">
      <c r="B32" s="79"/>
      <c r="D32" s="7"/>
      <c r="G32" s="7"/>
      <c r="H32" s="7"/>
      <c r="I32" s="7"/>
      <c r="J32" s="7"/>
      <c r="K32" s="7"/>
      <c r="L32" s="7"/>
      <c r="M32" s="7"/>
      <c r="N32" s="47"/>
      <c r="O32" s="122"/>
      <c r="P32" s="122"/>
      <c r="Q32" s="7"/>
      <c r="R32" s="123"/>
      <c r="S32" s="7"/>
      <c r="T32" s="7"/>
    </row>
    <row r="33" spans="4:20" ht="12.75">
      <c r="D33" s="7"/>
      <c r="G33" s="7"/>
      <c r="H33" s="7"/>
      <c r="I33" s="7"/>
      <c r="J33" s="7"/>
      <c r="K33" s="7"/>
      <c r="L33" s="7"/>
      <c r="M33" s="7"/>
      <c r="N33" s="7"/>
      <c r="O33" s="124"/>
      <c r="P33" s="124"/>
      <c r="Q33" s="125"/>
      <c r="R33" s="123"/>
      <c r="S33" s="7"/>
      <c r="T33" s="7"/>
    </row>
    <row r="34" spans="4:20" ht="12.75"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124"/>
      <c r="P34" s="124"/>
      <c r="Q34" s="125"/>
      <c r="R34" s="123"/>
      <c r="S34" s="7"/>
      <c r="T34" s="7"/>
    </row>
    <row r="35" spans="4:20" ht="12.75">
      <c r="D35" s="7"/>
      <c r="E35" s="7"/>
      <c r="F35" s="7"/>
      <c r="M35" s="7"/>
      <c r="N35" s="7"/>
      <c r="O35" s="7"/>
      <c r="P35" s="7"/>
      <c r="Q35" s="7"/>
      <c r="R35" s="7"/>
      <c r="S35" s="7"/>
      <c r="T35" s="7"/>
    </row>
    <row r="36" spans="4:20" ht="12.75">
      <c r="D36" s="7"/>
      <c r="E36" s="7"/>
      <c r="F36" s="7"/>
      <c r="Q36" s="7"/>
      <c r="R36" s="7"/>
      <c r="S36" s="7"/>
      <c r="T36" s="7"/>
    </row>
    <row r="37" spans="4:20" ht="12.75">
      <c r="D37" s="7"/>
      <c r="E37" s="7"/>
      <c r="F37" s="7"/>
      <c r="Q37" s="7"/>
      <c r="R37" s="7"/>
      <c r="S37" s="7"/>
      <c r="T37" s="7"/>
    </row>
    <row r="38" spans="4:20" ht="12.75">
      <c r="D38" s="7"/>
      <c r="E38" s="7"/>
      <c r="F38" s="7"/>
      <c r="Q38" s="7"/>
      <c r="R38" s="7"/>
      <c r="S38" s="7"/>
      <c r="T38" s="7"/>
    </row>
    <row r="39" spans="4:20" ht="12.75">
      <c r="D39" s="7"/>
      <c r="E39" s="7"/>
      <c r="F39" s="7"/>
      <c r="Q39" s="7"/>
      <c r="R39" s="7"/>
      <c r="S39" s="7"/>
      <c r="T39" s="7"/>
    </row>
    <row r="40" spans="4:20" ht="12.75">
      <c r="D40" s="7"/>
      <c r="E40" s="7"/>
      <c r="F40" s="7"/>
      <c r="Q40" s="7"/>
      <c r="R40" s="7"/>
      <c r="S40" s="7"/>
      <c r="T40" s="7"/>
    </row>
    <row r="41" spans="17:20" ht="12.75">
      <c r="Q41" s="7"/>
      <c r="R41" s="7"/>
      <c r="S41" s="7"/>
      <c r="T41" s="7"/>
    </row>
    <row r="42" spans="17:20" ht="12.75">
      <c r="Q42" s="7"/>
      <c r="R42" s="7"/>
      <c r="S42" s="7"/>
      <c r="T42" s="7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96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">
    <pageSetUpPr fitToPage="1"/>
  </sheetPr>
  <dimension ref="A1:Z53"/>
  <sheetViews>
    <sheetView zoomScale="75" zoomScaleNormal="75" workbookViewId="0" topLeftCell="B20">
      <selection activeCell="D17" sqref="D17"/>
    </sheetView>
  </sheetViews>
  <sheetFormatPr defaultColWidth="11.421875" defaultRowHeight="12.75"/>
  <cols>
    <col min="1" max="2" width="15.7109375" style="0" customWidth="1"/>
    <col min="3" max="3" width="4.8515625" style="0" customWidth="1"/>
    <col min="4" max="4" width="40.7109375" style="0" customWidth="1"/>
    <col min="5" max="6" width="8.7109375" style="0" customWidth="1"/>
    <col min="7" max="7" width="13.140625" style="0" hidden="1" customWidth="1"/>
    <col min="8" max="9" width="15.7109375" style="0" customWidth="1"/>
    <col min="10" max="12" width="9.7109375" style="0" customWidth="1"/>
    <col min="13" max="13" width="7.7109375" style="0" customWidth="1"/>
    <col min="14" max="14" width="12.28125" style="0" hidden="1" customWidth="1"/>
    <col min="15" max="15" width="17.7109375" style="0" hidden="1" customWidth="1"/>
    <col min="16" max="16" width="11.421875" style="0" hidden="1" customWidth="1"/>
    <col min="17" max="17" width="13.140625" style="0" hidden="1" customWidth="1"/>
    <col min="18" max="18" width="11.7109375" style="0" hidden="1" customWidth="1"/>
    <col min="19" max="19" width="11.421875" style="0" hidden="1" customWidth="1"/>
    <col min="20" max="20" width="15.8515625" style="0" hidden="1" customWidth="1"/>
    <col min="21" max="21" width="12.57421875" style="0" hidden="1" customWidth="1"/>
    <col min="22" max="22" width="16.00390625" style="0" hidden="1" customWidth="1"/>
    <col min="23" max="23" width="14.7109375" style="0" hidden="1" customWidth="1"/>
    <col min="24" max="24" width="9.7109375" style="0" customWidth="1"/>
    <col min="25" max="26" width="15.7109375" style="0" customWidth="1"/>
  </cols>
  <sheetData>
    <row r="1" spans="1:26" s="72" customFormat="1" ht="26.25">
      <c r="A1" s="82"/>
      <c r="B1" s="82"/>
      <c r="Z1" s="389"/>
    </row>
    <row r="2" spans="1:26" s="72" customFormat="1" ht="26.25">
      <c r="A2" s="82"/>
      <c r="B2" s="150" t="str">
        <f>'tot-0003'!B2</f>
        <v>ANEXO I A LA RESOLUCION ENRE N° 82/2001</v>
      </c>
      <c r="C2" s="75"/>
      <c r="D2" s="75"/>
      <c r="E2" s="151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152"/>
    </row>
    <row r="3" spans="1:26" s="9" customFormat="1" ht="12.75">
      <c r="A3" s="7"/>
      <c r="B3" s="7"/>
      <c r="Z3" s="7"/>
    </row>
    <row r="4" spans="1:26" s="79" customFormat="1" ht="11.25">
      <c r="A4" s="153" t="s">
        <v>37</v>
      </c>
      <c r="B4" s="154"/>
      <c r="Z4" s="80"/>
    </row>
    <row r="5" spans="1:26" s="79" customFormat="1" ht="11.25">
      <c r="A5" s="153" t="s">
        <v>38</v>
      </c>
      <c r="B5" s="154"/>
      <c r="Z5" s="80"/>
    </row>
    <row r="6" spans="1:26" s="9" customFormat="1" ht="17.25" customHeight="1" thickBot="1">
      <c r="A6" s="7"/>
      <c r="B6" s="7"/>
      <c r="Z6" s="7"/>
    </row>
    <row r="7" spans="1:26" s="9" customFormat="1" ht="13.5" thickTop="1">
      <c r="A7" s="7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8"/>
    </row>
    <row r="8" spans="1:26" s="83" customFormat="1" ht="20.25">
      <c r="A8" s="84"/>
      <c r="B8" s="139"/>
      <c r="C8" s="84"/>
      <c r="D8" s="33" t="s">
        <v>54</v>
      </c>
      <c r="E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140"/>
    </row>
    <row r="9" spans="1:26" s="9" customFormat="1" ht="12.75">
      <c r="A9" s="7"/>
      <c r="B9" s="105"/>
      <c r="C9" s="7"/>
      <c r="D9" s="136"/>
      <c r="E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10"/>
    </row>
    <row r="10" spans="1:26" s="83" customFormat="1" ht="20.25">
      <c r="A10" s="84"/>
      <c r="B10" s="139"/>
      <c r="C10" s="84"/>
      <c r="D10" s="33" t="s">
        <v>55</v>
      </c>
      <c r="E10" s="33"/>
      <c r="F10" s="84"/>
      <c r="G10" s="141"/>
      <c r="H10" s="141"/>
      <c r="I10" s="141"/>
      <c r="J10" s="141"/>
      <c r="K10" s="141"/>
      <c r="L10" s="141"/>
      <c r="M10" s="141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140"/>
    </row>
    <row r="11" spans="1:26" s="9" customFormat="1" ht="12.75">
      <c r="A11" s="7"/>
      <c r="B11" s="105"/>
      <c r="C11" s="7"/>
      <c r="D11" s="137"/>
      <c r="E11" s="135"/>
      <c r="F11" s="7"/>
      <c r="G11" s="129"/>
      <c r="H11" s="129"/>
      <c r="I11" s="129"/>
      <c r="J11" s="129"/>
      <c r="K11" s="129"/>
      <c r="L11" s="129"/>
      <c r="M11" s="129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10"/>
    </row>
    <row r="12" spans="1:26" s="90" customFormat="1" ht="18.75">
      <c r="A12" s="97"/>
      <c r="B12" s="91" t="str">
        <f>'tot-0003'!B14</f>
        <v>Desde el 01 al 31 de marzo de 2000</v>
      </c>
      <c r="C12" s="95"/>
      <c r="D12" s="95"/>
      <c r="E12" s="147"/>
      <c r="F12" s="148"/>
      <c r="G12" s="149"/>
      <c r="H12" s="149"/>
      <c r="I12" s="149"/>
      <c r="J12" s="149"/>
      <c r="K12" s="149"/>
      <c r="L12" s="149"/>
      <c r="M12" s="149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6"/>
    </row>
    <row r="13" spans="1:26" s="9" customFormat="1" ht="13.5" thickBot="1">
      <c r="A13" s="7"/>
      <c r="B13" s="105"/>
      <c r="C13" s="7"/>
      <c r="D13" s="7"/>
      <c r="E13" s="7"/>
      <c r="F13" s="138"/>
      <c r="G13" s="129"/>
      <c r="H13" s="129"/>
      <c r="I13" s="129"/>
      <c r="J13" s="129"/>
      <c r="K13" s="129"/>
      <c r="L13" s="129"/>
      <c r="M13" s="129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10"/>
    </row>
    <row r="14" spans="1:26" s="9" customFormat="1" ht="14.25" thickBot="1" thickTop="1">
      <c r="A14" s="7"/>
      <c r="B14" s="105"/>
      <c r="C14" s="7"/>
      <c r="D14" s="142" t="s">
        <v>56</v>
      </c>
      <c r="E14" s="386">
        <v>50.753</v>
      </c>
      <c r="F14" s="258"/>
      <c r="G14" s="7"/>
      <c r="H14"/>
      <c r="I14" s="143" t="s">
        <v>57</v>
      </c>
      <c r="J14" s="144">
        <f>30*'tot-0003'!B13</f>
        <v>30</v>
      </c>
      <c r="K14" s="240" t="str">
        <f>IF(J14=30," ",IF(J14=60,"Coeficiente duplicado por tasa de falla &gt;4 Sal. x año/100 km.","REVISAR COEFICIENTE"))</f>
        <v> 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10"/>
    </row>
    <row r="15" spans="1:26" s="9" customFormat="1" ht="14.25" thickBot="1" thickTop="1">
      <c r="A15" s="7"/>
      <c r="B15" s="105"/>
      <c r="C15" s="7"/>
      <c r="D15" s="142" t="s">
        <v>107</v>
      </c>
      <c r="E15" s="386">
        <v>0.99</v>
      </c>
      <c r="F15" s="258"/>
      <c r="G15" s="7"/>
      <c r="H15"/>
      <c r="I15" s="143"/>
      <c r="J15" s="144"/>
      <c r="K15" s="240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10"/>
    </row>
    <row r="16" spans="1:26" s="9" customFormat="1" ht="14.25" thickBot="1" thickTop="1">
      <c r="A16" s="7"/>
      <c r="B16" s="105"/>
      <c r="C16" s="7"/>
      <c r="D16" s="7"/>
      <c r="E16" s="7"/>
      <c r="F16" s="7"/>
      <c r="G16" s="7"/>
      <c r="H16" s="131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10"/>
    </row>
    <row r="17" spans="1:26" s="9" customFormat="1" ht="33.75" customHeight="1" thickBot="1" thickTop="1">
      <c r="A17" s="7"/>
      <c r="B17" s="105"/>
      <c r="C17" s="155" t="s">
        <v>58</v>
      </c>
      <c r="D17" s="156" t="s">
        <v>2</v>
      </c>
      <c r="E17" s="157" t="s">
        <v>59</v>
      </c>
      <c r="F17" s="158" t="s">
        <v>60</v>
      </c>
      <c r="G17" s="244" t="s">
        <v>61</v>
      </c>
      <c r="H17" s="156" t="s">
        <v>62</v>
      </c>
      <c r="I17" s="156" t="s">
        <v>63</v>
      </c>
      <c r="J17" s="157" t="s">
        <v>64</v>
      </c>
      <c r="K17" s="157" t="s">
        <v>65</v>
      </c>
      <c r="L17" s="159" t="s">
        <v>66</v>
      </c>
      <c r="M17" s="157" t="s">
        <v>67</v>
      </c>
      <c r="N17" s="260" t="s">
        <v>68</v>
      </c>
      <c r="O17" s="265" t="s">
        <v>69</v>
      </c>
      <c r="P17" s="270" t="s">
        <v>70</v>
      </c>
      <c r="Q17" s="271"/>
      <c r="R17" s="272"/>
      <c r="S17" s="283" t="s">
        <v>71</v>
      </c>
      <c r="T17" s="284"/>
      <c r="U17" s="285"/>
      <c r="V17" s="298" t="s">
        <v>72</v>
      </c>
      <c r="W17" s="303" t="s">
        <v>73</v>
      </c>
      <c r="X17" s="160" t="s">
        <v>74</v>
      </c>
      <c r="Y17" s="255" t="s">
        <v>75</v>
      </c>
      <c r="Z17" s="10"/>
    </row>
    <row r="18" spans="1:26" s="9" customFormat="1" ht="15.75" hidden="1" thickTop="1">
      <c r="A18" s="7"/>
      <c r="B18" s="105"/>
      <c r="C18" s="13"/>
      <c r="D18" s="17"/>
      <c r="E18" s="14"/>
      <c r="F18" s="15"/>
      <c r="G18" s="259"/>
      <c r="H18" s="16"/>
      <c r="I18" s="16"/>
      <c r="J18" s="11"/>
      <c r="K18" s="11"/>
      <c r="L18" s="17"/>
      <c r="M18" s="11"/>
      <c r="N18" s="261"/>
      <c r="O18" s="266"/>
      <c r="P18" s="273"/>
      <c r="Q18" s="279"/>
      <c r="R18" s="280"/>
      <c r="S18" s="286"/>
      <c r="T18" s="290"/>
      <c r="U18" s="294"/>
      <c r="V18" s="299"/>
      <c r="W18" s="304"/>
      <c r="X18" s="54"/>
      <c r="Y18" s="256"/>
      <c r="Z18" s="10"/>
    </row>
    <row r="19" spans="1:26" s="9" customFormat="1" ht="15.75" thickTop="1">
      <c r="A19" s="7"/>
      <c r="B19" s="105"/>
      <c r="C19" s="18"/>
      <c r="D19" s="19"/>
      <c r="E19" s="18"/>
      <c r="F19" s="18"/>
      <c r="G19" s="245"/>
      <c r="H19" s="18"/>
      <c r="I19" s="20"/>
      <c r="J19" s="20"/>
      <c r="K19" s="20"/>
      <c r="L19" s="19"/>
      <c r="M19" s="18"/>
      <c r="N19" s="262"/>
      <c r="O19" s="267"/>
      <c r="P19" s="273"/>
      <c r="Q19" s="279"/>
      <c r="R19" s="280"/>
      <c r="S19" s="287"/>
      <c r="T19" s="291"/>
      <c r="U19" s="295"/>
      <c r="V19" s="300"/>
      <c r="W19" s="305"/>
      <c r="X19" s="21"/>
      <c r="Y19" s="145"/>
      <c r="Z19" s="10"/>
    </row>
    <row r="20" spans="1:26" s="9" customFormat="1" ht="15">
      <c r="A20" s="7"/>
      <c r="B20" s="105"/>
      <c r="C20" s="11">
        <v>1</v>
      </c>
      <c r="D20" s="55" t="s">
        <v>183</v>
      </c>
      <c r="E20" s="8">
        <v>132</v>
      </c>
      <c r="F20" s="45">
        <v>220</v>
      </c>
      <c r="G20" s="246">
        <f aca="true" t="shared" si="0" ref="G20:G32">$E$14/100*IF(F20&gt;25,F20,25)*$E$15</f>
        <v>110.540034</v>
      </c>
      <c r="H20" s="22">
        <v>36590.350694444445</v>
      </c>
      <c r="I20" s="29">
        <v>36590.61319444444</v>
      </c>
      <c r="J20" s="23">
        <f aca="true" t="shared" si="1" ref="J20:J39">IF(D20="","",(I20-H20)*24)</f>
        <v>6.299999999930151</v>
      </c>
      <c r="K20" s="24">
        <f aca="true" t="shared" si="2" ref="K20:K39">IF(D20="","",ROUND((I20-H20)*24*60,0))</f>
        <v>378</v>
      </c>
      <c r="L20" s="25" t="s">
        <v>111</v>
      </c>
      <c r="M20" s="26" t="str">
        <f aca="true" t="shared" si="3" ref="M20:M39">IF(D20="","","--")</f>
        <v>--</v>
      </c>
      <c r="N20" s="263">
        <f aca="true" t="shared" si="4" ref="N20:N32">IF(L20="P",ROUND(K20/60,2)*G20*$J$14*0.01,"--")</f>
        <v>208.92066426000002</v>
      </c>
      <c r="O20" s="268" t="str">
        <f aca="true" t="shared" si="5" ref="O20:O39">IF(L20="RP",G20*M20*ROUND(J20/60,2)*0.01*K20/100,"--")</f>
        <v>--</v>
      </c>
      <c r="P20" s="273" t="str">
        <f aca="true" t="shared" si="6" ref="P20:P32">IF(L20="F",G20*$J$14,"--")</f>
        <v>--</v>
      </c>
      <c r="Q20" s="274" t="str">
        <f aca="true" t="shared" si="7" ref="Q20:Q32">IF(AND(K20&gt;10,L20="F"),G20*$J$14*IF(K20&gt;180,3,ROUND((K20)/60,2)),"--")</f>
        <v>--</v>
      </c>
      <c r="R20" s="275" t="str">
        <f aca="true" t="shared" si="8" ref="R20:R32">IF(AND(K20&gt;180,L20="F"),(ROUND(K20/60,2)-3)*G20*$J$14*0.1,"--")</f>
        <v>--</v>
      </c>
      <c r="S20" s="288" t="str">
        <f aca="true" t="shared" si="9" ref="S20:S32">IF(L20="R",G20*$J$14*M20/100,"--")</f>
        <v>--</v>
      </c>
      <c r="T20" s="292" t="str">
        <f aca="true" t="shared" si="10" ref="T20:T32">IF(AND(K20&gt;10,L20="R"),G20*$J$14*M20/100*IF(K20&gt;180,3,ROUND(K20/60,2)),"--")</f>
        <v>--</v>
      </c>
      <c r="U20" s="296" t="str">
        <f aca="true" t="shared" si="11" ref="U20:U32">IF(AND(K20&gt;180,L20="R"),(ROUND(K20/60,2)-3)*G20*$J$14*0.1*M20/100,"--")</f>
        <v>--</v>
      </c>
      <c r="V20" s="301" t="str">
        <f aca="true" t="shared" si="12" ref="V20:V32">IF(L20="RF",ROUND(K20/60,2)*G20*$J$14*0.1,"--")</f>
        <v>--</v>
      </c>
      <c r="W20" s="306" t="str">
        <f aca="true" t="shared" si="13" ref="W20:W32">IF(L20="RR",ROUND(K20/60,2)*G20*$J$14*0.1*M20/100,"--")</f>
        <v>--</v>
      </c>
      <c r="X20" s="56" t="str">
        <f aca="true" t="shared" si="14" ref="X20:X39">IF(D20="","","SI")</f>
        <v>SI</v>
      </c>
      <c r="Y20" s="57">
        <f aca="true" t="shared" si="15" ref="Y20:Y39">IF(D20="","",SUM(N20:W20)*IF(X20="SI",1,2))</f>
        <v>208.92066426000002</v>
      </c>
      <c r="Z20" s="384"/>
    </row>
    <row r="21" spans="1:26" s="9" customFormat="1" ht="15">
      <c r="A21" s="7"/>
      <c r="B21" s="105"/>
      <c r="C21" s="11">
        <v>2</v>
      </c>
      <c r="D21" s="55" t="s">
        <v>103</v>
      </c>
      <c r="E21" s="8">
        <v>132</v>
      </c>
      <c r="F21" s="45">
        <v>55</v>
      </c>
      <c r="G21" s="246">
        <f t="shared" si="0"/>
        <v>27.6350085</v>
      </c>
      <c r="H21" s="22">
        <v>36591.86041666667</v>
      </c>
      <c r="I21" s="29">
        <v>36591.86111111111</v>
      </c>
      <c r="J21" s="23">
        <f t="shared" si="1"/>
        <v>0.016666666546370834</v>
      </c>
      <c r="K21" s="24">
        <f t="shared" si="2"/>
        <v>1</v>
      </c>
      <c r="L21" s="25" t="s">
        <v>109</v>
      </c>
      <c r="M21" s="26" t="str">
        <f t="shared" si="3"/>
        <v>--</v>
      </c>
      <c r="N21" s="263" t="str">
        <f t="shared" si="4"/>
        <v>--</v>
      </c>
      <c r="O21" s="268" t="str">
        <f t="shared" si="5"/>
        <v>--</v>
      </c>
      <c r="P21" s="273">
        <f t="shared" si="6"/>
        <v>829.050255</v>
      </c>
      <c r="Q21" s="274" t="str">
        <f t="shared" si="7"/>
        <v>--</v>
      </c>
      <c r="R21" s="275" t="str">
        <f t="shared" si="8"/>
        <v>--</v>
      </c>
      <c r="S21" s="288" t="str">
        <f t="shared" si="9"/>
        <v>--</v>
      </c>
      <c r="T21" s="292" t="str">
        <f t="shared" si="10"/>
        <v>--</v>
      </c>
      <c r="U21" s="296" t="str">
        <f t="shared" si="11"/>
        <v>--</v>
      </c>
      <c r="V21" s="301" t="str">
        <f t="shared" si="12"/>
        <v>--</v>
      </c>
      <c r="W21" s="306" t="str">
        <f t="shared" si="13"/>
        <v>--</v>
      </c>
      <c r="X21" s="56" t="str">
        <f t="shared" si="14"/>
        <v>SI</v>
      </c>
      <c r="Y21" s="57">
        <f t="shared" si="15"/>
        <v>829.050255</v>
      </c>
      <c r="Z21" s="384"/>
    </row>
    <row r="22" spans="1:26" s="9" customFormat="1" ht="15">
      <c r="A22" s="7"/>
      <c r="B22" s="105"/>
      <c r="C22" s="11">
        <v>3</v>
      </c>
      <c r="D22" s="55" t="s">
        <v>103</v>
      </c>
      <c r="E22" s="8">
        <v>132</v>
      </c>
      <c r="F22" s="45">
        <v>55</v>
      </c>
      <c r="G22" s="246">
        <f t="shared" si="0"/>
        <v>27.6350085</v>
      </c>
      <c r="H22" s="22">
        <v>36592.07152777778</v>
      </c>
      <c r="I22" s="29">
        <v>36592.07430555556</v>
      </c>
      <c r="J22" s="23">
        <f t="shared" si="1"/>
        <v>0.06666666670935228</v>
      </c>
      <c r="K22" s="24">
        <f t="shared" si="2"/>
        <v>4</v>
      </c>
      <c r="L22" s="25" t="s">
        <v>109</v>
      </c>
      <c r="M22" s="26" t="str">
        <f t="shared" si="3"/>
        <v>--</v>
      </c>
      <c r="N22" s="263" t="str">
        <f t="shared" si="4"/>
        <v>--</v>
      </c>
      <c r="O22" s="268" t="str">
        <f t="shared" si="5"/>
        <v>--</v>
      </c>
      <c r="P22" s="273">
        <f t="shared" si="6"/>
        <v>829.050255</v>
      </c>
      <c r="Q22" s="274" t="str">
        <f t="shared" si="7"/>
        <v>--</v>
      </c>
      <c r="R22" s="275" t="str">
        <f t="shared" si="8"/>
        <v>--</v>
      </c>
      <c r="S22" s="288" t="str">
        <f t="shared" si="9"/>
        <v>--</v>
      </c>
      <c r="T22" s="292" t="str">
        <f t="shared" si="10"/>
        <v>--</v>
      </c>
      <c r="U22" s="296" t="str">
        <f t="shared" si="11"/>
        <v>--</v>
      </c>
      <c r="V22" s="301" t="str">
        <f t="shared" si="12"/>
        <v>--</v>
      </c>
      <c r="W22" s="306" t="str">
        <f t="shared" si="13"/>
        <v>--</v>
      </c>
      <c r="X22" s="56" t="str">
        <f t="shared" si="14"/>
        <v>SI</v>
      </c>
      <c r="Y22" s="57">
        <f t="shared" si="15"/>
        <v>829.050255</v>
      </c>
      <c r="Z22" s="384"/>
    </row>
    <row r="23" spans="1:26" s="9" customFormat="1" ht="15">
      <c r="A23" s="7"/>
      <c r="B23" s="105"/>
      <c r="C23" s="11">
        <v>4</v>
      </c>
      <c r="D23" s="55" t="s">
        <v>104</v>
      </c>
      <c r="E23" s="8">
        <v>132</v>
      </c>
      <c r="F23" s="45">
        <v>7</v>
      </c>
      <c r="G23" s="246">
        <f t="shared" si="0"/>
        <v>12.5613675</v>
      </c>
      <c r="H23" s="22">
        <v>36592.07152777778</v>
      </c>
      <c r="I23" s="29">
        <v>36592.07430555556</v>
      </c>
      <c r="J23" s="23">
        <f t="shared" si="1"/>
        <v>0.06666666670935228</v>
      </c>
      <c r="K23" s="24">
        <f t="shared" si="2"/>
        <v>4</v>
      </c>
      <c r="L23" s="25" t="s">
        <v>109</v>
      </c>
      <c r="M23" s="26" t="str">
        <f t="shared" si="3"/>
        <v>--</v>
      </c>
      <c r="N23" s="263" t="str">
        <f t="shared" si="4"/>
        <v>--</v>
      </c>
      <c r="O23" s="268" t="str">
        <f t="shared" si="5"/>
        <v>--</v>
      </c>
      <c r="P23" s="273">
        <f t="shared" si="6"/>
        <v>376.841025</v>
      </c>
      <c r="Q23" s="274" t="str">
        <f t="shared" si="7"/>
        <v>--</v>
      </c>
      <c r="R23" s="275" t="str">
        <f t="shared" si="8"/>
        <v>--</v>
      </c>
      <c r="S23" s="288" t="str">
        <f t="shared" si="9"/>
        <v>--</v>
      </c>
      <c r="T23" s="292" t="str">
        <f t="shared" si="10"/>
        <v>--</v>
      </c>
      <c r="U23" s="296" t="str">
        <f t="shared" si="11"/>
        <v>--</v>
      </c>
      <c r="V23" s="301" t="str">
        <f t="shared" si="12"/>
        <v>--</v>
      </c>
      <c r="W23" s="306" t="str">
        <f t="shared" si="13"/>
        <v>--</v>
      </c>
      <c r="X23" s="56" t="str">
        <f t="shared" si="14"/>
        <v>SI</v>
      </c>
      <c r="Y23" s="57">
        <f t="shared" si="15"/>
        <v>376.841025</v>
      </c>
      <c r="Z23" s="384"/>
    </row>
    <row r="24" spans="1:26" s="9" customFormat="1" ht="15">
      <c r="A24" s="7"/>
      <c r="B24" s="105"/>
      <c r="C24" s="11">
        <v>5</v>
      </c>
      <c r="D24" s="55" t="s">
        <v>13</v>
      </c>
      <c r="E24" s="8">
        <v>132</v>
      </c>
      <c r="F24" s="45">
        <v>10</v>
      </c>
      <c r="G24" s="246">
        <f t="shared" si="0"/>
        <v>12.5613675</v>
      </c>
      <c r="H24" s="22">
        <v>36592.07152777778</v>
      </c>
      <c r="I24" s="29">
        <v>36592.07361111111</v>
      </c>
      <c r="J24" s="23">
        <f t="shared" si="1"/>
        <v>0.04999999998835847</v>
      </c>
      <c r="K24" s="24">
        <f t="shared" si="2"/>
        <v>3</v>
      </c>
      <c r="L24" s="25" t="s">
        <v>109</v>
      </c>
      <c r="M24" s="26" t="str">
        <f t="shared" si="3"/>
        <v>--</v>
      </c>
      <c r="N24" s="263" t="str">
        <f t="shared" si="4"/>
        <v>--</v>
      </c>
      <c r="O24" s="268" t="str">
        <f t="shared" si="5"/>
        <v>--</v>
      </c>
      <c r="P24" s="273">
        <f t="shared" si="6"/>
        <v>376.841025</v>
      </c>
      <c r="Q24" s="274" t="str">
        <f t="shared" si="7"/>
        <v>--</v>
      </c>
      <c r="R24" s="275" t="str">
        <f t="shared" si="8"/>
        <v>--</v>
      </c>
      <c r="S24" s="288" t="str">
        <f t="shared" si="9"/>
        <v>--</v>
      </c>
      <c r="T24" s="292" t="str">
        <f t="shared" si="10"/>
        <v>--</v>
      </c>
      <c r="U24" s="296" t="str">
        <f t="shared" si="11"/>
        <v>--</v>
      </c>
      <c r="V24" s="301" t="str">
        <f t="shared" si="12"/>
        <v>--</v>
      </c>
      <c r="W24" s="306" t="str">
        <f t="shared" si="13"/>
        <v>--</v>
      </c>
      <c r="X24" s="56" t="str">
        <f t="shared" si="14"/>
        <v>SI</v>
      </c>
      <c r="Y24" s="57">
        <f t="shared" si="15"/>
        <v>376.841025</v>
      </c>
      <c r="Z24" s="384"/>
    </row>
    <row r="25" spans="1:26" s="9" customFormat="1" ht="15">
      <c r="A25" s="7"/>
      <c r="B25" s="105"/>
      <c r="C25" s="11">
        <v>6</v>
      </c>
      <c r="D25" s="55" t="s">
        <v>4</v>
      </c>
      <c r="E25" s="8">
        <v>132</v>
      </c>
      <c r="F25" s="45">
        <v>75.4</v>
      </c>
      <c r="G25" s="246">
        <f t="shared" si="0"/>
        <v>37.88508438</v>
      </c>
      <c r="H25" s="22">
        <v>36592.22222222222</v>
      </c>
      <c r="I25" s="29">
        <v>36592.50347222222</v>
      </c>
      <c r="J25" s="23">
        <f t="shared" si="1"/>
        <v>6.75</v>
      </c>
      <c r="K25" s="24">
        <f t="shared" si="2"/>
        <v>405</v>
      </c>
      <c r="L25" s="25" t="s">
        <v>109</v>
      </c>
      <c r="M25" s="26" t="str">
        <f t="shared" si="3"/>
        <v>--</v>
      </c>
      <c r="N25" s="263" t="str">
        <f t="shared" si="4"/>
        <v>--</v>
      </c>
      <c r="O25" s="268" t="str">
        <f t="shared" si="5"/>
        <v>--</v>
      </c>
      <c r="P25" s="273">
        <f t="shared" si="6"/>
        <v>1136.5525314000001</v>
      </c>
      <c r="Q25" s="274">
        <f t="shared" si="7"/>
        <v>3409.6575942000004</v>
      </c>
      <c r="R25" s="275">
        <f t="shared" si="8"/>
        <v>426.20719927500005</v>
      </c>
      <c r="S25" s="288" t="str">
        <f t="shared" si="9"/>
        <v>--</v>
      </c>
      <c r="T25" s="292" t="str">
        <f t="shared" si="10"/>
        <v>--</v>
      </c>
      <c r="U25" s="296" t="str">
        <f t="shared" si="11"/>
        <v>--</v>
      </c>
      <c r="V25" s="301" t="str">
        <f t="shared" si="12"/>
        <v>--</v>
      </c>
      <c r="W25" s="306" t="str">
        <f t="shared" si="13"/>
        <v>--</v>
      </c>
      <c r="X25" s="56" t="str">
        <f t="shared" si="14"/>
        <v>SI</v>
      </c>
      <c r="Y25" s="57">
        <f t="shared" si="15"/>
        <v>4972.417324875</v>
      </c>
      <c r="Z25" s="10"/>
    </row>
    <row r="26" spans="1:26" s="9" customFormat="1" ht="15">
      <c r="A26" s="7"/>
      <c r="B26" s="105"/>
      <c r="C26" s="11">
        <v>7</v>
      </c>
      <c r="D26" s="55" t="s">
        <v>8</v>
      </c>
      <c r="E26" s="8">
        <v>132</v>
      </c>
      <c r="F26" s="45">
        <v>10.91</v>
      </c>
      <c r="G26" s="246">
        <f t="shared" si="0"/>
        <v>12.5613675</v>
      </c>
      <c r="H26" s="22">
        <v>36592.2375</v>
      </c>
      <c r="I26" s="29">
        <v>36592.25555555556</v>
      </c>
      <c r="J26" s="23">
        <f t="shared" si="1"/>
        <v>0.4333333333488554</v>
      </c>
      <c r="K26" s="24">
        <f t="shared" si="2"/>
        <v>26</v>
      </c>
      <c r="L26" s="25" t="s">
        <v>109</v>
      </c>
      <c r="M26" s="26" t="str">
        <f t="shared" si="3"/>
        <v>--</v>
      </c>
      <c r="N26" s="263" t="str">
        <f t="shared" si="4"/>
        <v>--</v>
      </c>
      <c r="O26" s="268" t="str">
        <f t="shared" si="5"/>
        <v>--</v>
      </c>
      <c r="P26" s="273">
        <f t="shared" si="6"/>
        <v>376.841025</v>
      </c>
      <c r="Q26" s="274">
        <f t="shared" si="7"/>
        <v>162.04164075</v>
      </c>
      <c r="R26" s="275" t="str">
        <f t="shared" si="8"/>
        <v>--</v>
      </c>
      <c r="S26" s="288" t="str">
        <f t="shared" si="9"/>
        <v>--</v>
      </c>
      <c r="T26" s="292" t="str">
        <f t="shared" si="10"/>
        <v>--</v>
      </c>
      <c r="U26" s="296" t="str">
        <f t="shared" si="11"/>
        <v>--</v>
      </c>
      <c r="V26" s="301" t="str">
        <f t="shared" si="12"/>
        <v>--</v>
      </c>
      <c r="W26" s="306" t="str">
        <f t="shared" si="13"/>
        <v>--</v>
      </c>
      <c r="X26" s="56" t="str">
        <f t="shared" si="14"/>
        <v>SI</v>
      </c>
      <c r="Y26" s="57">
        <f t="shared" si="15"/>
        <v>538.88266575</v>
      </c>
      <c r="Z26" s="10"/>
    </row>
    <row r="27" spans="1:26" s="9" customFormat="1" ht="15">
      <c r="A27" s="7"/>
      <c r="B27" s="105"/>
      <c r="C27" s="11">
        <v>8</v>
      </c>
      <c r="D27" s="55" t="s">
        <v>3</v>
      </c>
      <c r="E27" s="8">
        <v>132</v>
      </c>
      <c r="F27" s="45">
        <v>76.5</v>
      </c>
      <c r="G27" s="246">
        <f t="shared" si="0"/>
        <v>38.43778455</v>
      </c>
      <c r="H27" s="22">
        <v>36592.2375</v>
      </c>
      <c r="I27" s="29">
        <v>36592.25555555556</v>
      </c>
      <c r="J27" s="23">
        <f t="shared" si="1"/>
        <v>0.4333333333488554</v>
      </c>
      <c r="K27" s="24">
        <f t="shared" si="2"/>
        <v>26</v>
      </c>
      <c r="L27" s="25" t="s">
        <v>109</v>
      </c>
      <c r="M27" s="26" t="str">
        <f t="shared" si="3"/>
        <v>--</v>
      </c>
      <c r="N27" s="263" t="str">
        <f t="shared" si="4"/>
        <v>--</v>
      </c>
      <c r="O27" s="268" t="str">
        <f t="shared" si="5"/>
        <v>--</v>
      </c>
      <c r="P27" s="273">
        <f t="shared" si="6"/>
        <v>1153.1335365</v>
      </c>
      <c r="Q27" s="274">
        <f t="shared" si="7"/>
        <v>495.847420695</v>
      </c>
      <c r="R27" s="275" t="str">
        <f t="shared" si="8"/>
        <v>--</v>
      </c>
      <c r="S27" s="288" t="str">
        <f t="shared" si="9"/>
        <v>--</v>
      </c>
      <c r="T27" s="292" t="str">
        <f t="shared" si="10"/>
        <v>--</v>
      </c>
      <c r="U27" s="296" t="str">
        <f t="shared" si="11"/>
        <v>--</v>
      </c>
      <c r="V27" s="301" t="str">
        <f t="shared" si="12"/>
        <v>--</v>
      </c>
      <c r="W27" s="306" t="str">
        <f t="shared" si="13"/>
        <v>--</v>
      </c>
      <c r="X27" s="56" t="str">
        <f t="shared" si="14"/>
        <v>SI</v>
      </c>
      <c r="Y27" s="57">
        <f t="shared" si="15"/>
        <v>1648.980957195</v>
      </c>
      <c r="Z27" s="10"/>
    </row>
    <row r="28" spans="1:26" s="9" customFormat="1" ht="15">
      <c r="A28" s="7"/>
      <c r="B28" s="105"/>
      <c r="C28" s="11">
        <v>9</v>
      </c>
      <c r="D28" s="55" t="s">
        <v>12</v>
      </c>
      <c r="E28" s="8">
        <v>132</v>
      </c>
      <c r="F28" s="45">
        <v>31.5</v>
      </c>
      <c r="G28" s="246">
        <f t="shared" si="0"/>
        <v>15.827323050000002</v>
      </c>
      <c r="H28" s="22">
        <v>36592.37708333333</v>
      </c>
      <c r="I28" s="29">
        <v>36592.62222222222</v>
      </c>
      <c r="J28" s="23">
        <f t="shared" si="1"/>
        <v>5.883333333302289</v>
      </c>
      <c r="K28" s="24">
        <f t="shared" si="2"/>
        <v>353</v>
      </c>
      <c r="L28" s="25" t="s">
        <v>111</v>
      </c>
      <c r="M28" s="26" t="str">
        <f t="shared" si="3"/>
        <v>--</v>
      </c>
      <c r="N28" s="263">
        <f t="shared" si="4"/>
        <v>27.919397860200007</v>
      </c>
      <c r="O28" s="268" t="str">
        <f t="shared" si="5"/>
        <v>--</v>
      </c>
      <c r="P28" s="273" t="str">
        <f t="shared" si="6"/>
        <v>--</v>
      </c>
      <c r="Q28" s="274" t="str">
        <f t="shared" si="7"/>
        <v>--</v>
      </c>
      <c r="R28" s="275" t="str">
        <f t="shared" si="8"/>
        <v>--</v>
      </c>
      <c r="S28" s="288" t="str">
        <f t="shared" si="9"/>
        <v>--</v>
      </c>
      <c r="T28" s="292" t="str">
        <f t="shared" si="10"/>
        <v>--</v>
      </c>
      <c r="U28" s="296" t="str">
        <f t="shared" si="11"/>
        <v>--</v>
      </c>
      <c r="V28" s="301" t="str">
        <f t="shared" si="12"/>
        <v>--</v>
      </c>
      <c r="W28" s="306" t="str">
        <f t="shared" si="13"/>
        <v>--</v>
      </c>
      <c r="X28" s="56" t="str">
        <f t="shared" si="14"/>
        <v>SI</v>
      </c>
      <c r="Y28" s="57">
        <f t="shared" si="15"/>
        <v>27.919397860200007</v>
      </c>
      <c r="Z28" s="10"/>
    </row>
    <row r="29" spans="1:26" s="9" customFormat="1" ht="15">
      <c r="A29" s="7"/>
      <c r="B29" s="105"/>
      <c r="C29" s="11">
        <v>10</v>
      </c>
      <c r="D29" s="55" t="s">
        <v>127</v>
      </c>
      <c r="E29" s="8">
        <v>132</v>
      </c>
      <c r="F29" s="45">
        <v>67.25</v>
      </c>
      <c r="G29" s="246">
        <f t="shared" si="0"/>
        <v>33.790078575</v>
      </c>
      <c r="H29" s="22">
        <v>36592.95208333333</v>
      </c>
      <c r="I29" s="29">
        <v>36593.10833333333</v>
      </c>
      <c r="J29" s="23">
        <f t="shared" si="1"/>
        <v>3.75</v>
      </c>
      <c r="K29" s="24">
        <f t="shared" si="2"/>
        <v>225</v>
      </c>
      <c r="L29" s="25" t="s">
        <v>109</v>
      </c>
      <c r="M29" s="26" t="str">
        <f t="shared" si="3"/>
        <v>--</v>
      </c>
      <c r="N29" s="263" t="str">
        <f t="shared" si="4"/>
        <v>--</v>
      </c>
      <c r="O29" s="268" t="str">
        <f t="shared" si="5"/>
        <v>--</v>
      </c>
      <c r="P29" s="273">
        <f t="shared" si="6"/>
        <v>1013.7023572500001</v>
      </c>
      <c r="Q29" s="274">
        <f t="shared" si="7"/>
        <v>3041.10707175</v>
      </c>
      <c r="R29" s="275">
        <f t="shared" si="8"/>
        <v>76.02767679375002</v>
      </c>
      <c r="S29" s="288" t="str">
        <f t="shared" si="9"/>
        <v>--</v>
      </c>
      <c r="T29" s="292" t="str">
        <f t="shared" si="10"/>
        <v>--</v>
      </c>
      <c r="U29" s="296" t="str">
        <f t="shared" si="11"/>
        <v>--</v>
      </c>
      <c r="V29" s="301" t="str">
        <f t="shared" si="12"/>
        <v>--</v>
      </c>
      <c r="W29" s="306" t="str">
        <f t="shared" si="13"/>
        <v>--</v>
      </c>
      <c r="X29" s="56" t="str">
        <f t="shared" si="14"/>
        <v>SI</v>
      </c>
      <c r="Y29" s="57">
        <f t="shared" si="15"/>
        <v>4130.83710579375</v>
      </c>
      <c r="Z29" s="10"/>
    </row>
    <row r="30" spans="1:26" s="9" customFormat="1" ht="15">
      <c r="A30" s="7"/>
      <c r="B30" s="105"/>
      <c r="C30" s="11">
        <v>11</v>
      </c>
      <c r="D30" s="55" t="s">
        <v>14</v>
      </c>
      <c r="E30" s="8">
        <v>132</v>
      </c>
      <c r="F30" s="45">
        <v>21.4</v>
      </c>
      <c r="G30" s="246">
        <f t="shared" si="0"/>
        <v>12.5613675</v>
      </c>
      <c r="H30" s="22">
        <v>36593.35</v>
      </c>
      <c r="I30" s="29">
        <v>36593.354166666664</v>
      </c>
      <c r="J30" s="23">
        <f t="shared" si="1"/>
        <v>0.09999999997671694</v>
      </c>
      <c r="K30" s="24">
        <f t="shared" si="2"/>
        <v>6</v>
      </c>
      <c r="L30" s="25" t="s">
        <v>109</v>
      </c>
      <c r="M30" s="26" t="str">
        <f t="shared" si="3"/>
        <v>--</v>
      </c>
      <c r="N30" s="263" t="str">
        <f t="shared" si="4"/>
        <v>--</v>
      </c>
      <c r="O30" s="268" t="str">
        <f t="shared" si="5"/>
        <v>--</v>
      </c>
      <c r="P30" s="273">
        <f t="shared" si="6"/>
        <v>376.841025</v>
      </c>
      <c r="Q30" s="274" t="str">
        <f t="shared" si="7"/>
        <v>--</v>
      </c>
      <c r="R30" s="275" t="str">
        <f t="shared" si="8"/>
        <v>--</v>
      </c>
      <c r="S30" s="288" t="str">
        <f t="shared" si="9"/>
        <v>--</v>
      </c>
      <c r="T30" s="292" t="str">
        <f t="shared" si="10"/>
        <v>--</v>
      </c>
      <c r="U30" s="296" t="str">
        <f t="shared" si="11"/>
        <v>--</v>
      </c>
      <c r="V30" s="301" t="str">
        <f t="shared" si="12"/>
        <v>--</v>
      </c>
      <c r="W30" s="306" t="str">
        <f t="shared" si="13"/>
        <v>--</v>
      </c>
      <c r="X30" s="56" t="str">
        <f t="shared" si="14"/>
        <v>SI</v>
      </c>
      <c r="Y30" s="57">
        <f t="shared" si="15"/>
        <v>376.841025</v>
      </c>
      <c r="Z30" s="10"/>
    </row>
    <row r="31" spans="1:26" s="9" customFormat="1" ht="15">
      <c r="A31" s="7"/>
      <c r="B31" s="105"/>
      <c r="C31" s="11">
        <v>12</v>
      </c>
      <c r="D31" s="55" t="s">
        <v>13</v>
      </c>
      <c r="E31" s="8">
        <v>132</v>
      </c>
      <c r="F31" s="45">
        <v>10</v>
      </c>
      <c r="G31" s="246">
        <f t="shared" si="0"/>
        <v>12.5613675</v>
      </c>
      <c r="H31" s="22">
        <v>36593.38958333333</v>
      </c>
      <c r="I31" s="29">
        <v>36593.39166666667</v>
      </c>
      <c r="J31" s="23">
        <f t="shared" si="1"/>
        <v>0.05000000016298145</v>
      </c>
      <c r="K31" s="24">
        <f t="shared" si="2"/>
        <v>3</v>
      </c>
      <c r="L31" s="25" t="s">
        <v>109</v>
      </c>
      <c r="M31" s="26" t="str">
        <f t="shared" si="3"/>
        <v>--</v>
      </c>
      <c r="N31" s="263" t="str">
        <f t="shared" si="4"/>
        <v>--</v>
      </c>
      <c r="O31" s="268" t="str">
        <f t="shared" si="5"/>
        <v>--</v>
      </c>
      <c r="P31" s="273">
        <f t="shared" si="6"/>
        <v>376.841025</v>
      </c>
      <c r="Q31" s="274" t="str">
        <f t="shared" si="7"/>
        <v>--</v>
      </c>
      <c r="R31" s="275" t="str">
        <f t="shared" si="8"/>
        <v>--</v>
      </c>
      <c r="S31" s="288" t="str">
        <f t="shared" si="9"/>
        <v>--</v>
      </c>
      <c r="T31" s="292" t="str">
        <f t="shared" si="10"/>
        <v>--</v>
      </c>
      <c r="U31" s="296" t="str">
        <f t="shared" si="11"/>
        <v>--</v>
      </c>
      <c r="V31" s="301" t="str">
        <f t="shared" si="12"/>
        <v>--</v>
      </c>
      <c r="W31" s="306" t="str">
        <f t="shared" si="13"/>
        <v>--</v>
      </c>
      <c r="X31" s="56" t="str">
        <f t="shared" si="14"/>
        <v>SI</v>
      </c>
      <c r="Y31" s="57">
        <f t="shared" si="15"/>
        <v>376.841025</v>
      </c>
      <c r="Z31" s="10"/>
    </row>
    <row r="32" spans="1:26" s="9" customFormat="1" ht="15">
      <c r="A32" s="7"/>
      <c r="B32" s="105"/>
      <c r="C32" s="11">
        <v>13</v>
      </c>
      <c r="D32" s="55" t="s">
        <v>13</v>
      </c>
      <c r="E32" s="8">
        <v>132</v>
      </c>
      <c r="F32" s="45">
        <v>10</v>
      </c>
      <c r="G32" s="246">
        <f t="shared" si="0"/>
        <v>12.5613675</v>
      </c>
      <c r="H32" s="22">
        <v>36593.49722222222</v>
      </c>
      <c r="I32" s="29">
        <v>36593.61388888889</v>
      </c>
      <c r="J32" s="23">
        <f t="shared" si="1"/>
        <v>2.800000000046566</v>
      </c>
      <c r="K32" s="24">
        <f t="shared" si="2"/>
        <v>168</v>
      </c>
      <c r="L32" s="25" t="s">
        <v>111</v>
      </c>
      <c r="M32" s="26" t="str">
        <f t="shared" si="3"/>
        <v>--</v>
      </c>
      <c r="N32" s="263">
        <f t="shared" si="4"/>
        <v>10.551548699999998</v>
      </c>
      <c r="O32" s="268" t="str">
        <f t="shared" si="5"/>
        <v>--</v>
      </c>
      <c r="P32" s="273" t="str">
        <f t="shared" si="6"/>
        <v>--</v>
      </c>
      <c r="Q32" s="274" t="str">
        <f t="shared" si="7"/>
        <v>--</v>
      </c>
      <c r="R32" s="275" t="str">
        <f t="shared" si="8"/>
        <v>--</v>
      </c>
      <c r="S32" s="288" t="str">
        <f t="shared" si="9"/>
        <v>--</v>
      </c>
      <c r="T32" s="292" t="str">
        <f t="shared" si="10"/>
        <v>--</v>
      </c>
      <c r="U32" s="296" t="str">
        <f t="shared" si="11"/>
        <v>--</v>
      </c>
      <c r="V32" s="301" t="str">
        <f t="shared" si="12"/>
        <v>--</v>
      </c>
      <c r="W32" s="306" t="str">
        <f t="shared" si="13"/>
        <v>--</v>
      </c>
      <c r="X32" s="56" t="str">
        <f t="shared" si="14"/>
        <v>SI</v>
      </c>
      <c r="Y32" s="57">
        <f t="shared" si="15"/>
        <v>10.551548699999998</v>
      </c>
      <c r="Z32" s="10"/>
    </row>
    <row r="33" spans="1:26" s="9" customFormat="1" ht="15">
      <c r="A33" s="7"/>
      <c r="B33" s="105"/>
      <c r="C33" s="11">
        <v>14</v>
      </c>
      <c r="D33" s="55" t="s">
        <v>103</v>
      </c>
      <c r="E33" s="8">
        <v>132</v>
      </c>
      <c r="F33" s="45">
        <v>55</v>
      </c>
      <c r="G33" s="246">
        <f>'LI-0003 (2)'!$E$14/100*IF(F33&gt;25,F33,25)*'LI-0003 (2)'!$E$15</f>
        <v>27.6350085</v>
      </c>
      <c r="H33" s="22">
        <v>36593.68819444445</v>
      </c>
      <c r="I33" s="29">
        <v>36593.69027777778</v>
      </c>
      <c r="J33" s="23">
        <f t="shared" si="1"/>
        <v>0.04999999998835847</v>
      </c>
      <c r="K33" s="24">
        <f t="shared" si="2"/>
        <v>3</v>
      </c>
      <c r="L33" s="25" t="s">
        <v>109</v>
      </c>
      <c r="M33" s="26" t="str">
        <f t="shared" si="3"/>
        <v>--</v>
      </c>
      <c r="N33" s="263" t="str">
        <f>IF(L33="P",ROUND(K33/60,2)*G33*'LI-0003 (2)'!$J$14*0.01,"--")</f>
        <v>--</v>
      </c>
      <c r="O33" s="268" t="str">
        <f t="shared" si="5"/>
        <v>--</v>
      </c>
      <c r="P33" s="273">
        <f>IF(L33="F",G33*'LI-0003 (2)'!$J$14,"--")</f>
        <v>829.050255</v>
      </c>
      <c r="Q33" s="274" t="str">
        <f>IF(AND(K33&gt;10,L33="F"),G33*'LI-0003 (2)'!$J$14*IF(K33&gt;180,3,ROUND((K33)/60,2)),"--")</f>
        <v>--</v>
      </c>
      <c r="R33" s="275" t="str">
        <f>IF(AND(K33&gt;180,L33="F"),(ROUND(K33/60,2)-3)*G33*'LI-0003 (2)'!$J$14*0.1,"--")</f>
        <v>--</v>
      </c>
      <c r="S33" s="288" t="str">
        <f>IF(L33="R",G33*'LI-0003 (2)'!$J$14*M33/100,"--")</f>
        <v>--</v>
      </c>
      <c r="T33" s="292" t="str">
        <f>IF(AND(K33&gt;10,L33="R"),G33*'LI-0003 (2)'!$J$14*M33/100*IF(K33&gt;180,3,ROUND(K33/60,2)),"--")</f>
        <v>--</v>
      </c>
      <c r="U33" s="296" t="str">
        <f>IF(AND(K33&gt;180,L33="R"),(ROUND(K33/60,2)-3)*G33*'LI-0003 (2)'!$J$14*0.1*M33/100,"--")</f>
        <v>--</v>
      </c>
      <c r="V33" s="301" t="str">
        <f>IF(L33="RF",ROUND(K33/60,2)*G33*'LI-0003 (2)'!$J$14*0.1,"--")</f>
        <v>--</v>
      </c>
      <c r="W33" s="306" t="str">
        <f>IF(L33="RR",ROUND(K33/60,2)*G33*'LI-0003 (2)'!$J$14*0.1*M33/100,"--")</f>
        <v>--</v>
      </c>
      <c r="X33" s="56" t="str">
        <f t="shared" si="14"/>
        <v>SI</v>
      </c>
      <c r="Y33" s="57">
        <f t="shared" si="15"/>
        <v>829.050255</v>
      </c>
      <c r="Z33" s="384"/>
    </row>
    <row r="34" spans="1:26" s="9" customFormat="1" ht="15">
      <c r="A34" s="7"/>
      <c r="B34" s="105"/>
      <c r="C34" s="11">
        <v>15</v>
      </c>
      <c r="D34" s="55" t="s">
        <v>11</v>
      </c>
      <c r="E34" s="8">
        <v>132</v>
      </c>
      <c r="F34" s="45">
        <v>49</v>
      </c>
      <c r="G34" s="246">
        <f>'LI-0003 (2)'!$E$14/100*IF(F34&gt;25,F34,25)*'LI-0003 (2)'!$E$15</f>
        <v>24.6202803</v>
      </c>
      <c r="H34" s="22">
        <v>36593.86666666667</v>
      </c>
      <c r="I34" s="29">
        <v>36593.870833333334</v>
      </c>
      <c r="J34" s="23">
        <f t="shared" si="1"/>
        <v>0.09999999997671694</v>
      </c>
      <c r="K34" s="24">
        <f t="shared" si="2"/>
        <v>6</v>
      </c>
      <c r="L34" s="25" t="s">
        <v>109</v>
      </c>
      <c r="M34" s="26" t="str">
        <f t="shared" si="3"/>
        <v>--</v>
      </c>
      <c r="N34" s="263" t="str">
        <f>IF(L34="P",ROUND(K34/60,2)*G34*'LI-0003 (2)'!$J$14*0.01,"--")</f>
        <v>--</v>
      </c>
      <c r="O34" s="268" t="str">
        <f t="shared" si="5"/>
        <v>--</v>
      </c>
      <c r="P34" s="273">
        <f>IF(L34="F",G34*'LI-0003 (2)'!$J$14,"--")</f>
        <v>738.608409</v>
      </c>
      <c r="Q34" s="274" t="str">
        <f>IF(AND(K34&gt;10,L34="F"),G34*'LI-0003 (2)'!$J$14*IF(K34&gt;180,3,ROUND((K34)/60,2)),"--")</f>
        <v>--</v>
      </c>
      <c r="R34" s="275" t="str">
        <f>IF(AND(K34&gt;180,L34="F"),(ROUND(K34/60,2)-3)*G34*'LI-0003 (2)'!$J$14*0.1,"--")</f>
        <v>--</v>
      </c>
      <c r="S34" s="288" t="str">
        <f>IF(L34="R",G34*'LI-0003 (2)'!$J$14*M34/100,"--")</f>
        <v>--</v>
      </c>
      <c r="T34" s="292" t="str">
        <f>IF(AND(K34&gt;10,L34="R"),G34*'LI-0003 (2)'!$J$14*M34/100*IF(K34&gt;180,3,ROUND(K34/60,2)),"--")</f>
        <v>--</v>
      </c>
      <c r="U34" s="296" t="str">
        <f>IF(AND(K34&gt;180,L34="R"),(ROUND(K34/60,2)-3)*G34*'LI-0003 (2)'!$J$14*0.1*M34/100,"--")</f>
        <v>--</v>
      </c>
      <c r="V34" s="301" t="str">
        <f>IF(L34="RF",ROUND(K34/60,2)*G34*'LI-0003 (2)'!$J$14*0.1,"--")</f>
        <v>--</v>
      </c>
      <c r="W34" s="306" t="str">
        <f>IF(L34="RR",ROUND(K34/60,2)*G34*'LI-0003 (2)'!$J$14*0.1*M34/100,"--")</f>
        <v>--</v>
      </c>
      <c r="X34" s="56" t="str">
        <f t="shared" si="14"/>
        <v>SI</v>
      </c>
      <c r="Y34" s="57">
        <f t="shared" si="15"/>
        <v>738.608409</v>
      </c>
      <c r="Z34" s="384"/>
    </row>
    <row r="35" spans="1:26" s="9" customFormat="1" ht="15">
      <c r="A35" s="7"/>
      <c r="B35" s="105"/>
      <c r="C35" s="11">
        <v>16</v>
      </c>
      <c r="D35" s="55" t="s">
        <v>10</v>
      </c>
      <c r="E35" s="8">
        <v>132</v>
      </c>
      <c r="F35" s="45">
        <v>105</v>
      </c>
      <c r="G35" s="246">
        <f>'LI-0003 (2)'!$E$14/100*IF(F35&gt;25,F35,25)*'LI-0003 (2)'!$E$15</f>
        <v>52.757743500000004</v>
      </c>
      <c r="H35" s="22">
        <v>36597.975694444445</v>
      </c>
      <c r="I35" s="29">
        <v>36597.97777777778</v>
      </c>
      <c r="J35" s="23">
        <f t="shared" si="1"/>
        <v>0.04999999998835847</v>
      </c>
      <c r="K35" s="24">
        <f t="shared" si="2"/>
        <v>3</v>
      </c>
      <c r="L35" s="25" t="s">
        <v>109</v>
      </c>
      <c r="M35" s="26" t="str">
        <f t="shared" si="3"/>
        <v>--</v>
      </c>
      <c r="N35" s="263" t="str">
        <f>IF(L35="P",ROUND(K35/60,2)*G35*'LI-0003 (2)'!$J$14*0.01,"--")</f>
        <v>--</v>
      </c>
      <c r="O35" s="268" t="str">
        <f t="shared" si="5"/>
        <v>--</v>
      </c>
      <c r="P35" s="273">
        <f>IF(L35="F",G35*'LI-0003 (2)'!$J$14,"--")</f>
        <v>1582.732305</v>
      </c>
      <c r="Q35" s="274" t="str">
        <f>IF(AND(K35&gt;10,L35="F"),G35*'LI-0003 (2)'!$J$14*IF(K35&gt;180,3,ROUND((K35)/60,2)),"--")</f>
        <v>--</v>
      </c>
      <c r="R35" s="275" t="str">
        <f>IF(AND(K35&gt;180,L35="F"),(ROUND(K35/60,2)-3)*G35*'LI-0003 (2)'!$J$14*0.1,"--")</f>
        <v>--</v>
      </c>
      <c r="S35" s="288" t="str">
        <f>IF(L35="R",G35*'LI-0003 (2)'!$J$14*M35/100,"--")</f>
        <v>--</v>
      </c>
      <c r="T35" s="292" t="str">
        <f>IF(AND(K35&gt;10,L35="R"),G35*'LI-0003 (2)'!$J$14*M35/100*IF(K35&gt;180,3,ROUND(K35/60,2)),"--")</f>
        <v>--</v>
      </c>
      <c r="U35" s="296" t="str">
        <f>IF(AND(K35&gt;180,L35="R"),(ROUND(K35/60,2)-3)*G35*'LI-0003 (2)'!$J$14*0.1*M35/100,"--")</f>
        <v>--</v>
      </c>
      <c r="V35" s="301" t="str">
        <f>IF(L35="RF",ROUND(K35/60,2)*G35*'LI-0003 (2)'!$J$14*0.1,"--")</f>
        <v>--</v>
      </c>
      <c r="W35" s="306" t="str">
        <f>IF(L35="RR",ROUND(K35/60,2)*G35*'LI-0003 (2)'!$J$14*0.1*M35/100,"--")</f>
        <v>--</v>
      </c>
      <c r="X35" s="56" t="str">
        <f t="shared" si="14"/>
        <v>SI</v>
      </c>
      <c r="Y35" s="57">
        <f t="shared" si="15"/>
        <v>1582.732305</v>
      </c>
      <c r="Z35" s="384"/>
    </row>
    <row r="36" spans="1:26" s="9" customFormat="1" ht="15">
      <c r="A36" s="7"/>
      <c r="B36" s="105"/>
      <c r="C36" s="11">
        <v>17</v>
      </c>
      <c r="D36" s="55" t="s">
        <v>105</v>
      </c>
      <c r="E36" s="8">
        <v>132</v>
      </c>
      <c r="F36" s="45">
        <v>102</v>
      </c>
      <c r="G36" s="246">
        <f>'LI-0003 (2)'!$E$14/100*IF(F36&gt;25,F36,25)*'LI-0003 (2)'!$E$15</f>
        <v>51.25037940000001</v>
      </c>
      <c r="H36" s="22">
        <v>36599.32986111111</v>
      </c>
      <c r="I36" s="29">
        <v>36599.663194444445</v>
      </c>
      <c r="J36" s="23">
        <f t="shared" si="1"/>
        <v>8.000000000058208</v>
      </c>
      <c r="K36" s="24">
        <f t="shared" si="2"/>
        <v>480</v>
      </c>
      <c r="L36" s="25" t="s">
        <v>109</v>
      </c>
      <c r="M36" s="26" t="str">
        <f t="shared" si="3"/>
        <v>--</v>
      </c>
      <c r="N36" s="263" t="str">
        <f>IF(L36="P",ROUND(K36/60,2)*G36*'LI-0003 (2)'!$J$14*0.01,"--")</f>
        <v>--</v>
      </c>
      <c r="O36" s="268" t="str">
        <f t="shared" si="5"/>
        <v>--</v>
      </c>
      <c r="P36" s="273">
        <f>IF(L36="F",G36*'LI-0003 (2)'!$J$14,"--")</f>
        <v>1537.5113820000001</v>
      </c>
      <c r="Q36" s="274">
        <f>IF(AND(K36&gt;10,L36="F"),G36*'LI-0003 (2)'!$J$14*IF(K36&gt;180,3,ROUND((K36)/60,2)),"--")</f>
        <v>4612.534146</v>
      </c>
      <c r="R36" s="275">
        <f>IF(AND(K36&gt;180,L36="F"),(ROUND(K36/60,2)-3)*G36*'LI-0003 (2)'!$J$14*0.1,"--")</f>
        <v>768.7556910000002</v>
      </c>
      <c r="S36" s="288" t="str">
        <f>IF(L36="R",G36*'LI-0003 (2)'!$J$14*M36/100,"--")</f>
        <v>--</v>
      </c>
      <c r="T36" s="292" t="str">
        <f>IF(AND(K36&gt;10,L36="R"),G36*'LI-0003 (2)'!$J$14*M36/100*IF(K36&gt;180,3,ROUND(K36/60,2)),"--")</f>
        <v>--</v>
      </c>
      <c r="U36" s="296" t="str">
        <f>IF(AND(K36&gt;180,L36="R"),(ROUND(K36/60,2)-3)*G36*'LI-0003 (2)'!$J$14*0.1*M36/100,"--")</f>
        <v>--</v>
      </c>
      <c r="V36" s="301" t="str">
        <f>IF(L36="RF",ROUND(K36/60,2)*G36*'LI-0003 (2)'!$J$14*0.1,"--")</f>
        <v>--</v>
      </c>
      <c r="W36" s="306" t="str">
        <f>IF(L36="RR",ROUND(K36/60,2)*G36*'LI-0003 (2)'!$J$14*0.1*M36/100,"--")</f>
        <v>--</v>
      </c>
      <c r="X36" s="56" t="str">
        <f t="shared" si="14"/>
        <v>SI</v>
      </c>
      <c r="Y36" s="57">
        <f t="shared" si="15"/>
        <v>6918.801219000001</v>
      </c>
      <c r="Z36" s="10"/>
    </row>
    <row r="37" spans="1:26" s="9" customFormat="1" ht="15">
      <c r="A37" s="7"/>
      <c r="B37" s="105"/>
      <c r="C37" s="11">
        <v>18</v>
      </c>
      <c r="D37" s="55" t="s">
        <v>9</v>
      </c>
      <c r="E37" s="8">
        <v>132</v>
      </c>
      <c r="F37" s="45">
        <v>155.6</v>
      </c>
      <c r="G37" s="246">
        <f>'LI-0003 (2)'!$E$14/100*IF(F37&gt;25,F37,25)*'LI-0003 (2)'!$E$15</f>
        <v>78.18195132000001</v>
      </c>
      <c r="H37" s="22">
        <v>36606.375</v>
      </c>
      <c r="I37" s="29">
        <v>36606.782638888886</v>
      </c>
      <c r="J37" s="23">
        <f t="shared" si="1"/>
        <v>9.783333333267365</v>
      </c>
      <c r="K37" s="24">
        <f t="shared" si="2"/>
        <v>587</v>
      </c>
      <c r="L37" s="25" t="s">
        <v>111</v>
      </c>
      <c r="M37" s="26" t="str">
        <f t="shared" si="3"/>
        <v>--</v>
      </c>
      <c r="N37" s="263">
        <f>IF(L37="P",ROUND(K37/60,2)*G37*'LI-0003 (2)'!$J$14*0.01,"--")</f>
        <v>229.38584517288</v>
      </c>
      <c r="O37" s="268" t="str">
        <f t="shared" si="5"/>
        <v>--</v>
      </c>
      <c r="P37" s="273" t="str">
        <f>IF(L37="F",G37*'LI-0003 (2)'!$J$14,"--")</f>
        <v>--</v>
      </c>
      <c r="Q37" s="274" t="str">
        <f>IF(AND(K37&gt;10,L37="F"),G37*'LI-0003 (2)'!$J$14*IF(K37&gt;180,3,ROUND((K37)/60,2)),"--")</f>
        <v>--</v>
      </c>
      <c r="R37" s="275" t="str">
        <f>IF(AND(K37&gt;180,L37="F"),(ROUND(K37/60,2)-3)*G37*'LI-0003 (2)'!$J$14*0.1,"--")</f>
        <v>--</v>
      </c>
      <c r="S37" s="288" t="str">
        <f>IF(L37="R",G37*'LI-0003 (2)'!$J$14*M37/100,"--")</f>
        <v>--</v>
      </c>
      <c r="T37" s="292" t="str">
        <f>IF(AND(K37&gt;10,L37="R"),G37*'LI-0003 (2)'!$J$14*M37/100*IF(K37&gt;180,3,ROUND(K37/60,2)),"--")</f>
        <v>--</v>
      </c>
      <c r="U37" s="296" t="str">
        <f>IF(AND(K37&gt;180,L37="R"),(ROUND(K37/60,2)-3)*G37*'LI-0003 (2)'!$J$14*0.1*M37/100,"--")</f>
        <v>--</v>
      </c>
      <c r="V37" s="301" t="str">
        <f>IF(L37="RF",ROUND(K37/60,2)*G37*'LI-0003 (2)'!$J$14*0.1,"--")</f>
        <v>--</v>
      </c>
      <c r="W37" s="306" t="str">
        <f>IF(L37="RR",ROUND(K37/60,2)*G37*'LI-0003 (2)'!$J$14*0.1*M37/100,"--")</f>
        <v>--</v>
      </c>
      <c r="X37" s="56" t="str">
        <f t="shared" si="14"/>
        <v>SI</v>
      </c>
      <c r="Y37" s="57">
        <f t="shared" si="15"/>
        <v>229.38584517288</v>
      </c>
      <c r="Z37" s="10"/>
    </row>
    <row r="38" spans="1:26" s="9" customFormat="1" ht="15">
      <c r="A38" s="7"/>
      <c r="B38" s="105"/>
      <c r="C38" s="11">
        <v>19</v>
      </c>
      <c r="D38" s="55" t="s">
        <v>7</v>
      </c>
      <c r="E38" s="8">
        <v>132</v>
      </c>
      <c r="F38" s="45">
        <v>97.13</v>
      </c>
      <c r="G38" s="246">
        <f>'LI-0003 (2)'!$E$14/100*IF(F38&gt;25,F38,25)*'LI-0003 (2)'!$E$15</f>
        <v>48.803425011</v>
      </c>
      <c r="H38" s="22">
        <v>36607.40138888889</v>
      </c>
      <c r="I38" s="29">
        <v>36607.83125</v>
      </c>
      <c r="J38" s="23">
        <f t="shared" si="1"/>
        <v>10.31666666676756</v>
      </c>
      <c r="K38" s="24">
        <f t="shared" si="2"/>
        <v>619</v>
      </c>
      <c r="L38" s="25" t="s">
        <v>111</v>
      </c>
      <c r="M38" s="26" t="str">
        <f t="shared" si="3"/>
        <v>--</v>
      </c>
      <c r="N38" s="263">
        <f>IF(L38="P",ROUND(K38/60,2)*G38*'LI-0003 (2)'!$J$14*0.01,"--")</f>
        <v>151.09540383405601</v>
      </c>
      <c r="O38" s="268" t="str">
        <f t="shared" si="5"/>
        <v>--</v>
      </c>
      <c r="P38" s="273" t="str">
        <f>IF(L38="F",G38*'LI-0003 (2)'!$J$14,"--")</f>
        <v>--</v>
      </c>
      <c r="Q38" s="274" t="str">
        <f>IF(AND(K38&gt;10,L38="F"),G38*'LI-0003 (2)'!$J$14*IF(K38&gt;180,3,ROUND((K38)/60,2)),"--")</f>
        <v>--</v>
      </c>
      <c r="R38" s="275" t="str">
        <f>IF(AND(K38&gt;180,L38="F"),(ROUND(K38/60,2)-3)*G38*'LI-0003 (2)'!$J$14*0.1,"--")</f>
        <v>--</v>
      </c>
      <c r="S38" s="288" t="str">
        <f>IF(L38="R",G38*'LI-0003 (2)'!$J$14*M38/100,"--")</f>
        <v>--</v>
      </c>
      <c r="T38" s="292" t="str">
        <f>IF(AND(K38&gt;10,L38="R"),G38*'LI-0003 (2)'!$J$14*M38/100*IF(K38&gt;180,3,ROUND(K38/60,2)),"--")</f>
        <v>--</v>
      </c>
      <c r="U38" s="296" t="str">
        <f>IF(AND(K38&gt;180,L38="R"),(ROUND(K38/60,2)-3)*G38*'LI-0003 (2)'!$J$14*0.1*M38/100,"--")</f>
        <v>--</v>
      </c>
      <c r="V38" s="301" t="str">
        <f>IF(L38="RF",ROUND(K38/60,2)*G38*'LI-0003 (2)'!$J$14*0.1,"--")</f>
        <v>--</v>
      </c>
      <c r="W38" s="306" t="str">
        <f>IF(L38="RR",ROUND(K38/60,2)*G38*'LI-0003 (2)'!$J$14*0.1*M38/100,"--")</f>
        <v>--</v>
      </c>
      <c r="X38" s="56" t="str">
        <f t="shared" si="14"/>
        <v>SI</v>
      </c>
      <c r="Y38" s="57">
        <f t="shared" si="15"/>
        <v>151.09540383405601</v>
      </c>
      <c r="Z38" s="10"/>
    </row>
    <row r="39" spans="1:26" s="9" customFormat="1" ht="15">
      <c r="A39" s="7"/>
      <c r="B39" s="105"/>
      <c r="C39" s="11">
        <v>20</v>
      </c>
      <c r="D39" s="55" t="s">
        <v>12</v>
      </c>
      <c r="E39" s="8">
        <v>132</v>
      </c>
      <c r="F39" s="45">
        <v>31.5</v>
      </c>
      <c r="G39" s="246">
        <f>'LI-0003 (2)'!$E$14/100*IF(F39&gt;25,F39,25)*'LI-0003 (2)'!$E$15</f>
        <v>15.827323050000002</v>
      </c>
      <c r="H39" s="22">
        <v>36608.35208333333</v>
      </c>
      <c r="I39" s="29">
        <v>36608.63958333333</v>
      </c>
      <c r="J39" s="23">
        <f t="shared" si="1"/>
        <v>6.899999999965075</v>
      </c>
      <c r="K39" s="24">
        <f t="shared" si="2"/>
        <v>414</v>
      </c>
      <c r="L39" s="25" t="s">
        <v>111</v>
      </c>
      <c r="M39" s="26" t="str">
        <f t="shared" si="3"/>
        <v>--</v>
      </c>
      <c r="N39" s="263">
        <f>IF(L39="P",ROUND(K39/60,2)*G39*'LI-0003 (2)'!$J$14*0.01,"--")</f>
        <v>32.762558713500006</v>
      </c>
      <c r="O39" s="268" t="str">
        <f t="shared" si="5"/>
        <v>--</v>
      </c>
      <c r="P39" s="273" t="str">
        <f>IF(L39="F",G39*'LI-0003 (2)'!$J$14,"--")</f>
        <v>--</v>
      </c>
      <c r="Q39" s="274" t="str">
        <f>IF(AND(K39&gt;10,L39="F"),G39*'LI-0003 (2)'!$J$14*IF(K39&gt;180,3,ROUND((K39)/60,2)),"--")</f>
        <v>--</v>
      </c>
      <c r="R39" s="275" t="str">
        <f>IF(AND(K39&gt;180,L39="F"),(ROUND(K39/60,2)-3)*G39*'LI-0003 (2)'!$J$14*0.1,"--")</f>
        <v>--</v>
      </c>
      <c r="S39" s="288" t="str">
        <f>IF(L39="R",G39*'LI-0003 (2)'!$J$14*M39/100,"--")</f>
        <v>--</v>
      </c>
      <c r="T39" s="292" t="str">
        <f>IF(AND(K39&gt;10,L39="R"),G39*'LI-0003 (2)'!$J$14*M39/100*IF(K39&gt;180,3,ROUND(K39/60,2)),"--")</f>
        <v>--</v>
      </c>
      <c r="U39" s="296" t="str">
        <f>IF(AND(K39&gt;180,L39="R"),(ROUND(K39/60,2)-3)*G39*'LI-0003 (2)'!$J$14*0.1*M39/100,"--")</f>
        <v>--</v>
      </c>
      <c r="V39" s="301" t="str">
        <f>IF(L39="RF",ROUND(K39/60,2)*G39*'LI-0003 (2)'!$J$14*0.1,"--")</f>
        <v>--</v>
      </c>
      <c r="W39" s="306" t="str">
        <f>IF(L39="RR",ROUND(K39/60,2)*G39*'LI-0003 (2)'!$J$14*0.1*M39/100,"--")</f>
        <v>--</v>
      </c>
      <c r="X39" s="56" t="str">
        <f t="shared" si="14"/>
        <v>SI</v>
      </c>
      <c r="Y39" s="57">
        <f t="shared" si="15"/>
        <v>32.762558713500006</v>
      </c>
      <c r="Z39" s="10"/>
    </row>
    <row r="40" spans="1:26" s="9" customFormat="1" ht="15.75" thickBot="1">
      <c r="A40" s="7"/>
      <c r="B40" s="105"/>
      <c r="C40" s="58"/>
      <c r="D40" s="59"/>
      <c r="E40" s="60"/>
      <c r="F40" s="61"/>
      <c r="G40" s="247"/>
      <c r="H40" s="27"/>
      <c r="I40" s="27"/>
      <c r="J40" s="27"/>
      <c r="K40" s="27"/>
      <c r="L40" s="27"/>
      <c r="M40" s="62"/>
      <c r="N40" s="264"/>
      <c r="O40" s="269"/>
      <c r="P40" s="276"/>
      <c r="Q40" s="277"/>
      <c r="R40" s="278"/>
      <c r="S40" s="289"/>
      <c r="T40" s="293"/>
      <c r="U40" s="297"/>
      <c r="V40" s="302"/>
      <c r="W40" s="307"/>
      <c r="X40" s="28"/>
      <c r="Y40" s="146"/>
      <c r="Z40" s="10"/>
    </row>
    <row r="41" spans="1:26" s="9" customFormat="1" ht="17.25" thickBot="1" thickTop="1">
      <c r="A41" s="7"/>
      <c r="B41" s="105"/>
      <c r="C41" s="232" t="s">
        <v>76</v>
      </c>
      <c r="D41" s="233" t="s">
        <v>77</v>
      </c>
      <c r="E41" s="7"/>
      <c r="F41" s="7"/>
      <c r="G41" s="7"/>
      <c r="H41" s="7"/>
      <c r="I41" s="7"/>
      <c r="J41" s="7"/>
      <c r="K41" s="7"/>
      <c r="L41" s="7"/>
      <c r="M41" s="7"/>
      <c r="N41" s="281">
        <f aca="true" t="shared" si="16" ref="N41:W41">SUM(N18:N40)</f>
        <v>660.635418540636</v>
      </c>
      <c r="O41" s="282">
        <f t="shared" si="16"/>
        <v>0</v>
      </c>
      <c r="P41" s="308">
        <f t="shared" si="16"/>
        <v>11533.59641115</v>
      </c>
      <c r="Q41" s="308">
        <f t="shared" si="16"/>
        <v>11721.187873395</v>
      </c>
      <c r="R41" s="308">
        <f t="shared" si="16"/>
        <v>1270.9905670687504</v>
      </c>
      <c r="S41" s="309">
        <f t="shared" si="16"/>
        <v>0</v>
      </c>
      <c r="T41" s="309">
        <f t="shared" si="16"/>
        <v>0</v>
      </c>
      <c r="U41" s="309">
        <f t="shared" si="16"/>
        <v>0</v>
      </c>
      <c r="V41" s="310">
        <f t="shared" si="16"/>
        <v>0</v>
      </c>
      <c r="W41" s="311">
        <f t="shared" si="16"/>
        <v>0</v>
      </c>
      <c r="X41" s="7"/>
      <c r="Y41" s="243">
        <f>ROUND(SUM(Y18:Y40),2)</f>
        <v>25186.41</v>
      </c>
      <c r="Z41" s="10"/>
    </row>
    <row r="42" spans="1:26" s="238" customFormat="1" ht="13.5" thickTop="1">
      <c r="A42" s="236"/>
      <c r="B42" s="237"/>
      <c r="C42" s="234"/>
      <c r="D42" s="235" t="s">
        <v>78</v>
      </c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9"/>
    </row>
    <row r="43" spans="1:26" s="9" customFormat="1" ht="13.5" thickBot="1">
      <c r="A43" s="7"/>
      <c r="B43" s="132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4"/>
    </row>
    <row r="44" spans="1:2" ht="13.5" thickTop="1">
      <c r="A44" s="1"/>
      <c r="B44" s="1"/>
    </row>
    <row r="53" ht="12.75">
      <c r="I53" t="s">
        <v>110</v>
      </c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70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2">
    <pageSetUpPr fitToPage="1"/>
  </sheetPr>
  <dimension ref="A1:Z40"/>
  <sheetViews>
    <sheetView zoomScale="75" zoomScaleNormal="75" workbookViewId="0" topLeftCell="A10">
      <selection activeCell="C25" sqref="C25"/>
    </sheetView>
  </sheetViews>
  <sheetFormatPr defaultColWidth="11.421875" defaultRowHeight="12.75"/>
  <cols>
    <col min="1" max="2" width="15.7109375" style="0" customWidth="1"/>
    <col min="3" max="3" width="4.8515625" style="0" customWidth="1"/>
    <col min="4" max="4" width="40.7109375" style="0" customWidth="1"/>
    <col min="5" max="6" width="8.7109375" style="0" customWidth="1"/>
    <col min="7" max="7" width="13.140625" style="0" hidden="1" customWidth="1"/>
    <col min="8" max="9" width="15.7109375" style="0" customWidth="1"/>
    <col min="10" max="12" width="9.7109375" style="0" customWidth="1"/>
    <col min="13" max="13" width="7.7109375" style="0" customWidth="1"/>
    <col min="14" max="14" width="12.28125" style="0" hidden="1" customWidth="1"/>
    <col min="15" max="15" width="17.7109375" style="0" hidden="1" customWidth="1"/>
    <col min="16" max="16" width="11.421875" style="0" hidden="1" customWidth="1"/>
    <col min="17" max="17" width="13.140625" style="0" hidden="1" customWidth="1"/>
    <col min="18" max="18" width="11.7109375" style="0" hidden="1" customWidth="1"/>
    <col min="19" max="19" width="11.421875" style="0" hidden="1" customWidth="1"/>
    <col min="20" max="20" width="15.8515625" style="0" hidden="1" customWidth="1"/>
    <col min="21" max="21" width="12.57421875" style="0" hidden="1" customWidth="1"/>
    <col min="22" max="22" width="16.00390625" style="0" hidden="1" customWidth="1"/>
    <col min="23" max="23" width="14.7109375" style="0" hidden="1" customWidth="1"/>
    <col min="24" max="24" width="9.7109375" style="0" customWidth="1"/>
    <col min="25" max="26" width="15.7109375" style="0" customWidth="1"/>
  </cols>
  <sheetData>
    <row r="1" spans="1:26" s="72" customFormat="1" ht="26.25">
      <c r="A1" s="82"/>
      <c r="B1" s="82"/>
      <c r="Z1" s="389"/>
    </row>
    <row r="2" spans="1:26" s="72" customFormat="1" ht="26.25">
      <c r="A2" s="82"/>
      <c r="B2" s="150" t="str">
        <f>'tot-0003'!B2</f>
        <v>ANEXO I A LA RESOLUCION ENRE N° 82/2001</v>
      </c>
      <c r="C2" s="75"/>
      <c r="D2" s="75"/>
      <c r="E2" s="151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152"/>
    </row>
    <row r="3" spans="1:26" s="9" customFormat="1" ht="12.75">
      <c r="A3" s="7"/>
      <c r="B3" s="7"/>
      <c r="Z3" s="7"/>
    </row>
    <row r="4" spans="1:26" s="79" customFormat="1" ht="11.25">
      <c r="A4" s="153" t="s">
        <v>37</v>
      </c>
      <c r="B4" s="154"/>
      <c r="Z4" s="80"/>
    </row>
    <row r="5" spans="1:26" s="79" customFormat="1" ht="11.25">
      <c r="A5" s="153" t="s">
        <v>38</v>
      </c>
      <c r="B5" s="154"/>
      <c r="Z5" s="80"/>
    </row>
    <row r="6" spans="1:26" s="9" customFormat="1" ht="17.25" customHeight="1" thickBot="1">
      <c r="A6" s="7"/>
      <c r="B6" s="7"/>
      <c r="Z6" s="7"/>
    </row>
    <row r="7" spans="1:26" s="9" customFormat="1" ht="13.5" thickTop="1">
      <c r="A7" s="7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8"/>
    </row>
    <row r="8" spans="1:26" s="83" customFormat="1" ht="20.25">
      <c r="A8" s="84"/>
      <c r="B8" s="139"/>
      <c r="C8" s="84"/>
      <c r="D8" s="33" t="s">
        <v>54</v>
      </c>
      <c r="E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140"/>
    </row>
    <row r="9" spans="1:26" s="9" customFormat="1" ht="12.75">
      <c r="A9" s="7"/>
      <c r="B9" s="105"/>
      <c r="C9" s="7"/>
      <c r="D9" s="136"/>
      <c r="E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10"/>
    </row>
    <row r="10" spans="1:26" s="83" customFormat="1" ht="20.25">
      <c r="A10" s="84"/>
      <c r="B10" s="139"/>
      <c r="C10" s="84"/>
      <c r="D10" s="33" t="s">
        <v>55</v>
      </c>
      <c r="E10" s="33"/>
      <c r="F10" s="84"/>
      <c r="G10" s="141"/>
      <c r="H10" s="141"/>
      <c r="I10" s="141"/>
      <c r="J10" s="141"/>
      <c r="K10" s="141"/>
      <c r="L10" s="141"/>
      <c r="M10" s="141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140"/>
    </row>
    <row r="11" spans="1:26" s="9" customFormat="1" ht="12.75">
      <c r="A11" s="7"/>
      <c r="B11" s="105"/>
      <c r="C11" s="7"/>
      <c r="D11" s="137"/>
      <c r="E11" s="135"/>
      <c r="F11" s="7"/>
      <c r="G11" s="129"/>
      <c r="H11" s="129"/>
      <c r="I11" s="129"/>
      <c r="J11" s="129"/>
      <c r="K11" s="129"/>
      <c r="L11" s="129"/>
      <c r="M11" s="129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10"/>
    </row>
    <row r="12" spans="1:26" s="90" customFormat="1" ht="18.75">
      <c r="A12" s="97"/>
      <c r="B12" s="91" t="str">
        <f>+'tot-0003'!B14</f>
        <v>Desde el 01 al 31 de marzo de 2000</v>
      </c>
      <c r="C12" s="95"/>
      <c r="D12" s="95"/>
      <c r="E12" s="147"/>
      <c r="F12" s="148"/>
      <c r="G12" s="149"/>
      <c r="H12" s="149"/>
      <c r="I12" s="149"/>
      <c r="J12" s="149"/>
      <c r="K12" s="149"/>
      <c r="L12" s="149"/>
      <c r="M12" s="149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6"/>
    </row>
    <row r="13" spans="1:26" s="9" customFormat="1" ht="13.5" thickBot="1">
      <c r="A13" s="7"/>
      <c r="B13" s="105"/>
      <c r="C13" s="7"/>
      <c r="D13" s="7"/>
      <c r="E13" s="7"/>
      <c r="F13" s="138"/>
      <c r="G13" s="129"/>
      <c r="H13" s="129"/>
      <c r="I13" s="129"/>
      <c r="J13" s="129"/>
      <c r="K13" s="129"/>
      <c r="L13" s="129"/>
      <c r="M13" s="129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10"/>
    </row>
    <row r="14" spans="1:26" s="9" customFormat="1" ht="14.25" thickBot="1" thickTop="1">
      <c r="A14" s="7"/>
      <c r="B14" s="105"/>
      <c r="C14" s="7"/>
      <c r="D14" s="142" t="s">
        <v>56</v>
      </c>
      <c r="E14" s="386">
        <v>50.753</v>
      </c>
      <c r="F14" s="258"/>
      <c r="G14" s="7"/>
      <c r="H14"/>
      <c r="I14" s="143" t="s">
        <v>57</v>
      </c>
      <c r="J14" s="144">
        <f>30*'tot-0003'!B13</f>
        <v>30</v>
      </c>
      <c r="K14" s="240" t="str">
        <f>IF(J14=30," ",IF(J14=60,"Coeficiente duplicado por tasa de falla &gt;4 Sal. x año/100 km.","REVISAR COEFICIENTE"))</f>
        <v> 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10"/>
    </row>
    <row r="15" spans="1:26" s="9" customFormat="1" ht="14.25" thickBot="1" thickTop="1">
      <c r="A15" s="7"/>
      <c r="B15" s="105"/>
      <c r="C15" s="7"/>
      <c r="D15" s="142" t="s">
        <v>107</v>
      </c>
      <c r="E15" s="386">
        <v>0.99</v>
      </c>
      <c r="F15" s="258"/>
      <c r="G15" s="7"/>
      <c r="H15"/>
      <c r="I15" s="143"/>
      <c r="J15" s="144"/>
      <c r="K15" s="240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10"/>
    </row>
    <row r="16" spans="1:26" s="9" customFormat="1" ht="14.25" thickBot="1" thickTop="1">
      <c r="A16" s="7"/>
      <c r="B16" s="105"/>
      <c r="C16" s="7"/>
      <c r="D16" s="7"/>
      <c r="E16" s="7"/>
      <c r="F16" s="7"/>
      <c r="G16" s="7"/>
      <c r="H16" s="131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10"/>
    </row>
    <row r="17" spans="1:26" s="9" customFormat="1" ht="33.75" customHeight="1" thickBot="1" thickTop="1">
      <c r="A17" s="7"/>
      <c r="B17" s="105"/>
      <c r="C17" s="155" t="s">
        <v>58</v>
      </c>
      <c r="D17" s="156" t="s">
        <v>2</v>
      </c>
      <c r="E17" s="157" t="s">
        <v>59</v>
      </c>
      <c r="F17" s="158" t="s">
        <v>60</v>
      </c>
      <c r="G17" s="244" t="s">
        <v>61</v>
      </c>
      <c r="H17" s="156" t="s">
        <v>62</v>
      </c>
      <c r="I17" s="156" t="s">
        <v>63</v>
      </c>
      <c r="J17" s="157" t="s">
        <v>64</v>
      </c>
      <c r="K17" s="157" t="s">
        <v>65</v>
      </c>
      <c r="L17" s="159" t="s">
        <v>66</v>
      </c>
      <c r="M17" s="157" t="s">
        <v>67</v>
      </c>
      <c r="N17" s="260" t="s">
        <v>68</v>
      </c>
      <c r="O17" s="265" t="s">
        <v>69</v>
      </c>
      <c r="P17" s="270" t="s">
        <v>70</v>
      </c>
      <c r="Q17" s="271"/>
      <c r="R17" s="272"/>
      <c r="S17" s="283" t="s">
        <v>71</v>
      </c>
      <c r="T17" s="284"/>
      <c r="U17" s="285"/>
      <c r="V17" s="298" t="s">
        <v>72</v>
      </c>
      <c r="W17" s="303" t="s">
        <v>73</v>
      </c>
      <c r="X17" s="160" t="s">
        <v>74</v>
      </c>
      <c r="Y17" s="255" t="s">
        <v>75</v>
      </c>
      <c r="Z17" s="10"/>
    </row>
    <row r="18" spans="1:26" s="9" customFormat="1" ht="15.75" thickTop="1">
      <c r="A18" s="7"/>
      <c r="B18" s="105"/>
      <c r="C18" s="13"/>
      <c r="D18" s="17" t="s">
        <v>108</v>
      </c>
      <c r="E18" s="14"/>
      <c r="F18" s="15"/>
      <c r="G18" s="259"/>
      <c r="H18" s="16"/>
      <c r="I18" s="16"/>
      <c r="J18" s="11"/>
      <c r="K18" s="11"/>
      <c r="L18" s="17"/>
      <c r="M18" s="11"/>
      <c r="N18" s="261"/>
      <c r="O18" s="266"/>
      <c r="P18" s="273"/>
      <c r="Q18" s="279"/>
      <c r="R18" s="280"/>
      <c r="S18" s="286"/>
      <c r="T18" s="290"/>
      <c r="U18" s="294"/>
      <c r="V18" s="299"/>
      <c r="W18" s="304"/>
      <c r="X18" s="54"/>
      <c r="Y18" s="256">
        <f>+'LI-0003'!Y41</f>
        <v>25186.41</v>
      </c>
      <c r="Z18" s="10"/>
    </row>
    <row r="19" spans="1:26" s="9" customFormat="1" ht="15">
      <c r="A19" s="7"/>
      <c r="B19" s="105"/>
      <c r="C19" s="18"/>
      <c r="D19" s="19"/>
      <c r="E19" s="18"/>
      <c r="F19" s="18"/>
      <c r="G19" s="245"/>
      <c r="H19" s="18"/>
      <c r="I19" s="20"/>
      <c r="J19" s="20"/>
      <c r="K19" s="20"/>
      <c r="L19" s="19"/>
      <c r="M19" s="18"/>
      <c r="N19" s="262"/>
      <c r="O19" s="267"/>
      <c r="P19" s="273"/>
      <c r="Q19" s="279"/>
      <c r="R19" s="280"/>
      <c r="S19" s="287"/>
      <c r="T19" s="291"/>
      <c r="U19" s="295"/>
      <c r="V19" s="300"/>
      <c r="W19" s="305"/>
      <c r="X19" s="21"/>
      <c r="Y19" s="145"/>
      <c r="Z19" s="10"/>
    </row>
    <row r="20" spans="1:26" s="9" customFormat="1" ht="15">
      <c r="A20" s="7"/>
      <c r="B20" s="105"/>
      <c r="C20" s="11">
        <v>21</v>
      </c>
      <c r="D20" s="55" t="s">
        <v>6</v>
      </c>
      <c r="E20" s="8">
        <v>132</v>
      </c>
      <c r="F20" s="45">
        <v>2.56</v>
      </c>
      <c r="G20" s="246">
        <f>'LI-0003 (2)'!$E$14/100*IF(F20&gt;25,F20,25)*'LI-0003 (2)'!$E$15</f>
        <v>12.5613675</v>
      </c>
      <c r="H20" s="22">
        <v>36609.038194444445</v>
      </c>
      <c r="I20" s="29">
        <v>36609.816666666666</v>
      </c>
      <c r="J20" s="23">
        <f>IF(D20="","",(I20-H20)*24)</f>
        <v>18.683333333290648</v>
      </c>
      <c r="K20" s="24">
        <f>IF(D20="","",ROUND((I20-H20)*24*60,0))</f>
        <v>1121</v>
      </c>
      <c r="L20" s="25" t="s">
        <v>109</v>
      </c>
      <c r="M20" s="26" t="str">
        <f>IF(D20="","","--")</f>
        <v>--</v>
      </c>
      <c r="N20" s="263" t="str">
        <f>IF(L20="P",ROUND(K20/60,2)*G20*'LI-0003 (2)'!$J$14*0.01,"--")</f>
        <v>--</v>
      </c>
      <c r="O20" s="268" t="str">
        <f>IF(L20="RP",G20*M20*ROUND(J20/60,2)*0.01*K20/100,"--")</f>
        <v>--</v>
      </c>
      <c r="P20" s="273">
        <f>IF(L20="F",G20*'LI-0003 (2)'!$J$14,"--")</f>
        <v>376.841025</v>
      </c>
      <c r="Q20" s="274">
        <f>IF(AND(K20&gt;10,L20="F"),G20*'LI-0003 (2)'!$J$14*IF(K20&gt;180,3,ROUND((K20)/60,2)),"--")</f>
        <v>1130.523075</v>
      </c>
      <c r="R20" s="275">
        <f>IF(AND(K20&gt;180,L20="F"),(ROUND(K20/60,2)-3)*G20*'LI-0003 (2)'!$J$14*0.1,"--")</f>
        <v>590.8867272</v>
      </c>
      <c r="S20" s="288" t="str">
        <f>IF(L20="R",G20*'LI-0003 (2)'!$J$14*M20/100,"--")</f>
        <v>--</v>
      </c>
      <c r="T20" s="292" t="str">
        <f>IF(AND(K20&gt;10,L20="R"),G20*'LI-0003 (2)'!$J$14*M20/100*IF(K20&gt;180,3,ROUND(K20/60,2)),"--")</f>
        <v>--</v>
      </c>
      <c r="U20" s="296" t="str">
        <f>IF(AND(K20&gt;180,L20="R"),(ROUND(K20/60,2)-3)*G20*'LI-0003 (2)'!$J$14*0.1*M20/100,"--")</f>
        <v>--</v>
      </c>
      <c r="V20" s="301" t="str">
        <f>IF(L20="RF",ROUND(K20/60,2)*G20*'LI-0003 (2)'!$J$14*0.1,"--")</f>
        <v>--</v>
      </c>
      <c r="W20" s="306" t="str">
        <f>IF(L20="RR",ROUND(K20/60,2)*G20*'LI-0003 (2)'!$J$14*0.1*M20/100,"--")</f>
        <v>--</v>
      </c>
      <c r="X20" s="56" t="str">
        <f>IF(D20="","","SI")</f>
        <v>SI</v>
      </c>
      <c r="Y20" s="57">
        <f>IF(D20="","",SUM(N20:W20)*IF(X20="SI",1,2))</f>
        <v>2098.2508272</v>
      </c>
      <c r="Z20" s="10"/>
    </row>
    <row r="21" spans="1:26" s="9" customFormat="1" ht="15">
      <c r="A21" s="7"/>
      <c r="B21" s="105"/>
      <c r="C21" s="11">
        <v>22</v>
      </c>
      <c r="D21" s="55" t="s">
        <v>101</v>
      </c>
      <c r="E21" s="8">
        <v>132</v>
      </c>
      <c r="F21" s="45">
        <v>291</v>
      </c>
      <c r="G21" s="246">
        <f aca="true" t="shared" si="0" ref="G21:G27">$E$14/100*IF(F21&gt;25,F21,25)*$E$15</f>
        <v>146.2143177</v>
      </c>
      <c r="H21" s="22">
        <v>36609.36666666667</v>
      </c>
      <c r="I21" s="29">
        <v>36609.67222222222</v>
      </c>
      <c r="J21" s="23">
        <f aca="true" t="shared" si="1" ref="J21:J35">IF(D21="","",(I21-H21)*24)</f>
        <v>7.333333333313931</v>
      </c>
      <c r="K21" s="24">
        <f aca="true" t="shared" si="2" ref="K21:K35">IF(D21="","",ROUND((I21-H21)*24*60,0))</f>
        <v>440</v>
      </c>
      <c r="L21" s="25" t="s">
        <v>111</v>
      </c>
      <c r="M21" s="26" t="str">
        <f aca="true" t="shared" si="3" ref="M21:M35">IF(D21="","","--")</f>
        <v>--</v>
      </c>
      <c r="N21" s="263">
        <f aca="true" t="shared" si="4" ref="N21:N34">IF(L21="P",ROUND(K21/60,2)*G21*$J$14*0.01,"--")</f>
        <v>321.5252846223</v>
      </c>
      <c r="O21" s="268" t="str">
        <f aca="true" t="shared" si="5" ref="O21:O35">IF(L21="RP",G21*M21*ROUND(J21/60,2)*0.01*K21/100,"--")</f>
        <v>--</v>
      </c>
      <c r="P21" s="273" t="str">
        <f aca="true" t="shared" si="6" ref="P21:P26">IF(L21="F",G21*$J$14,"--")</f>
        <v>--</v>
      </c>
      <c r="Q21" s="274" t="str">
        <f aca="true" t="shared" si="7" ref="Q21:Q26">IF(AND(K21&gt;10,L21="F"),G21*$J$14*IF(K21&gt;180,3,ROUND((K21)/60,2)),"--")</f>
        <v>--</v>
      </c>
      <c r="R21" s="275" t="str">
        <f aca="true" t="shared" si="8" ref="R21:R26">IF(AND(K21&gt;180,L21="F"),(ROUND(K21/60,2)-3)*G21*$J$14*0.1,"--")</f>
        <v>--</v>
      </c>
      <c r="S21" s="288" t="str">
        <f aca="true" t="shared" si="9" ref="S21:S26">IF(L21="R",G21*$J$14*M21/100,"--")</f>
        <v>--</v>
      </c>
      <c r="T21" s="292" t="str">
        <f aca="true" t="shared" si="10" ref="T21:T26">IF(AND(K21&gt;10,L21="R"),G21*$J$14*M21/100*IF(K21&gt;180,3,ROUND(K21/60,2)),"--")</f>
        <v>--</v>
      </c>
      <c r="U21" s="296" t="str">
        <f aca="true" t="shared" si="11" ref="U21:U26">IF(AND(K21&gt;180,L21="R"),(ROUND(K21/60,2)-3)*G21*$J$14*0.1*M21/100,"--")</f>
        <v>--</v>
      </c>
      <c r="V21" s="301" t="str">
        <f aca="true" t="shared" si="12" ref="V21:V26">IF(L21="RF",ROUND(K21/60,2)*G21*$J$14*0.1,"--")</f>
        <v>--</v>
      </c>
      <c r="W21" s="306" t="str">
        <f aca="true" t="shared" si="13" ref="W21:W26">IF(L21="RR",ROUND(K21/60,2)*G21*$J$14*0.1*M21/100,"--")</f>
        <v>--</v>
      </c>
      <c r="X21" s="56" t="str">
        <f aca="true" t="shared" si="14" ref="X21:X35">IF(D21="","","SI")</f>
        <v>SI</v>
      </c>
      <c r="Y21" s="57">
        <f>IF(D21="","",SUM(N21:W21)*IF(X21="SI",1,2))</f>
        <v>321.5252846223</v>
      </c>
      <c r="Z21" s="10"/>
    </row>
    <row r="22" spans="1:26" s="9" customFormat="1" ht="15">
      <c r="A22" s="7"/>
      <c r="B22" s="105"/>
      <c r="C22" s="11">
        <v>23</v>
      </c>
      <c r="D22" s="55" t="s">
        <v>106</v>
      </c>
      <c r="E22" s="8">
        <v>132</v>
      </c>
      <c r="F22" s="45">
        <v>80.3</v>
      </c>
      <c r="G22" s="246">
        <f t="shared" si="0"/>
        <v>40.34711241</v>
      </c>
      <c r="H22" s="22">
        <v>36611.354166666664</v>
      </c>
      <c r="I22" s="29">
        <v>36611.50902777778</v>
      </c>
      <c r="J22" s="23">
        <f t="shared" si="1"/>
        <v>3.7166666667326353</v>
      </c>
      <c r="K22" s="24">
        <f t="shared" si="2"/>
        <v>223</v>
      </c>
      <c r="L22" s="25" t="s">
        <v>111</v>
      </c>
      <c r="M22" s="26" t="str">
        <f t="shared" si="3"/>
        <v>--</v>
      </c>
      <c r="N22" s="263">
        <f t="shared" si="4"/>
        <v>45.02737744956</v>
      </c>
      <c r="O22" s="268" t="str">
        <f t="shared" si="5"/>
        <v>--</v>
      </c>
      <c r="P22" s="273" t="str">
        <f t="shared" si="6"/>
        <v>--</v>
      </c>
      <c r="Q22" s="274" t="str">
        <f t="shared" si="7"/>
        <v>--</v>
      </c>
      <c r="R22" s="275" t="str">
        <f t="shared" si="8"/>
        <v>--</v>
      </c>
      <c r="S22" s="288" t="str">
        <f t="shared" si="9"/>
        <v>--</v>
      </c>
      <c r="T22" s="292" t="str">
        <f t="shared" si="10"/>
        <v>--</v>
      </c>
      <c r="U22" s="296" t="str">
        <f t="shared" si="11"/>
        <v>--</v>
      </c>
      <c r="V22" s="301" t="str">
        <f t="shared" si="12"/>
        <v>--</v>
      </c>
      <c r="W22" s="306" t="str">
        <f t="shared" si="13"/>
        <v>--</v>
      </c>
      <c r="X22" s="56" t="str">
        <f t="shared" si="14"/>
        <v>SI</v>
      </c>
      <c r="Y22" s="57">
        <f aca="true" t="shared" si="15" ref="Y22:Y27">IF(D22="","",SUM(N22:W22)*IF(X22="SI",1,2))</f>
        <v>45.02737744956</v>
      </c>
      <c r="Z22" s="10"/>
    </row>
    <row r="23" spans="1:26" s="9" customFormat="1" ht="15">
      <c r="A23" s="7"/>
      <c r="B23" s="105"/>
      <c r="C23" s="11">
        <v>25</v>
      </c>
      <c r="D23" s="55" t="s">
        <v>101</v>
      </c>
      <c r="E23" s="8">
        <v>132</v>
      </c>
      <c r="F23" s="45">
        <v>291</v>
      </c>
      <c r="G23" s="246">
        <f t="shared" si="0"/>
        <v>146.2143177</v>
      </c>
      <c r="H23" s="22">
        <v>36613.33541666667</v>
      </c>
      <c r="I23" s="29">
        <v>36613.75763888889</v>
      </c>
      <c r="J23" s="23">
        <f t="shared" si="1"/>
        <v>10.133333333360497</v>
      </c>
      <c r="K23" s="24">
        <f t="shared" si="2"/>
        <v>608</v>
      </c>
      <c r="L23" s="25" t="s">
        <v>111</v>
      </c>
      <c r="M23" s="26" t="str">
        <f t="shared" si="3"/>
        <v>--</v>
      </c>
      <c r="N23" s="263">
        <f t="shared" si="4"/>
        <v>444.3453114903001</v>
      </c>
      <c r="O23" s="268" t="str">
        <f t="shared" si="5"/>
        <v>--</v>
      </c>
      <c r="P23" s="273" t="str">
        <f t="shared" si="6"/>
        <v>--</v>
      </c>
      <c r="Q23" s="274" t="str">
        <f t="shared" si="7"/>
        <v>--</v>
      </c>
      <c r="R23" s="275" t="str">
        <f t="shared" si="8"/>
        <v>--</v>
      </c>
      <c r="S23" s="288" t="str">
        <f t="shared" si="9"/>
        <v>--</v>
      </c>
      <c r="T23" s="292" t="str">
        <f t="shared" si="10"/>
        <v>--</v>
      </c>
      <c r="U23" s="296" t="str">
        <f t="shared" si="11"/>
        <v>--</v>
      </c>
      <c r="V23" s="301" t="str">
        <f t="shared" si="12"/>
        <v>--</v>
      </c>
      <c r="W23" s="306" t="str">
        <f t="shared" si="13"/>
        <v>--</v>
      </c>
      <c r="X23" s="56" t="str">
        <f t="shared" si="14"/>
        <v>SI</v>
      </c>
      <c r="Y23" s="57">
        <f t="shared" si="15"/>
        <v>444.3453114903001</v>
      </c>
      <c r="Z23" s="10"/>
    </row>
    <row r="24" spans="1:26" s="9" customFormat="1" ht="15">
      <c r="A24" s="7"/>
      <c r="B24" s="105"/>
      <c r="C24" s="11">
        <v>26</v>
      </c>
      <c r="D24" s="55" t="s">
        <v>101</v>
      </c>
      <c r="E24" s="8">
        <v>132</v>
      </c>
      <c r="F24" s="45">
        <v>291</v>
      </c>
      <c r="G24" s="246">
        <f t="shared" si="0"/>
        <v>146.2143177</v>
      </c>
      <c r="H24" s="22">
        <v>36614.35486111111</v>
      </c>
      <c r="I24" s="29">
        <v>36614.722916666666</v>
      </c>
      <c r="J24" s="23">
        <f t="shared" si="1"/>
        <v>8.83333333331393</v>
      </c>
      <c r="K24" s="24">
        <f t="shared" si="2"/>
        <v>530</v>
      </c>
      <c r="L24" s="25" t="s">
        <v>111</v>
      </c>
      <c r="M24" s="26" t="str">
        <f t="shared" si="3"/>
        <v>--</v>
      </c>
      <c r="N24" s="263">
        <f t="shared" si="4"/>
        <v>387.3217275873001</v>
      </c>
      <c r="O24" s="268" t="str">
        <f t="shared" si="5"/>
        <v>--</v>
      </c>
      <c r="P24" s="273" t="str">
        <f t="shared" si="6"/>
        <v>--</v>
      </c>
      <c r="Q24" s="274" t="str">
        <f t="shared" si="7"/>
        <v>--</v>
      </c>
      <c r="R24" s="275" t="str">
        <f t="shared" si="8"/>
        <v>--</v>
      </c>
      <c r="S24" s="288" t="str">
        <f t="shared" si="9"/>
        <v>--</v>
      </c>
      <c r="T24" s="292" t="str">
        <f t="shared" si="10"/>
        <v>--</v>
      </c>
      <c r="U24" s="296" t="str">
        <f t="shared" si="11"/>
        <v>--</v>
      </c>
      <c r="V24" s="301" t="str">
        <f t="shared" si="12"/>
        <v>--</v>
      </c>
      <c r="W24" s="306" t="str">
        <f t="shared" si="13"/>
        <v>--</v>
      </c>
      <c r="X24" s="56" t="str">
        <f t="shared" si="14"/>
        <v>SI</v>
      </c>
      <c r="Y24" s="57">
        <f t="shared" si="15"/>
        <v>387.3217275873001</v>
      </c>
      <c r="Z24" s="10"/>
    </row>
    <row r="25" spans="1:26" s="9" customFormat="1" ht="15">
      <c r="A25" s="7"/>
      <c r="B25" s="105"/>
      <c r="C25" s="11">
        <v>27</v>
      </c>
      <c r="D25" s="55" t="s">
        <v>12</v>
      </c>
      <c r="E25" s="8">
        <v>132</v>
      </c>
      <c r="F25" s="45">
        <v>31.5</v>
      </c>
      <c r="G25" s="246">
        <f t="shared" si="0"/>
        <v>15.827323050000002</v>
      </c>
      <c r="H25" s="22">
        <v>36615.32986111111</v>
      </c>
      <c r="I25" s="29">
        <v>36615.396527777775</v>
      </c>
      <c r="J25" s="23">
        <f t="shared" si="1"/>
        <v>1.599999999976717</v>
      </c>
      <c r="K25" s="24">
        <f t="shared" si="2"/>
        <v>96</v>
      </c>
      <c r="L25" s="25" t="s">
        <v>111</v>
      </c>
      <c r="M25" s="26" t="str">
        <f t="shared" si="3"/>
        <v>--</v>
      </c>
      <c r="N25" s="263">
        <f t="shared" si="4"/>
        <v>7.597115064000002</v>
      </c>
      <c r="O25" s="268" t="str">
        <f t="shared" si="5"/>
        <v>--</v>
      </c>
      <c r="P25" s="273" t="str">
        <f t="shared" si="6"/>
        <v>--</v>
      </c>
      <c r="Q25" s="274" t="str">
        <f t="shared" si="7"/>
        <v>--</v>
      </c>
      <c r="R25" s="275" t="str">
        <f t="shared" si="8"/>
        <v>--</v>
      </c>
      <c r="S25" s="288" t="str">
        <f t="shared" si="9"/>
        <v>--</v>
      </c>
      <c r="T25" s="292" t="str">
        <f t="shared" si="10"/>
        <v>--</v>
      </c>
      <c r="U25" s="296" t="str">
        <f t="shared" si="11"/>
        <v>--</v>
      </c>
      <c r="V25" s="301" t="str">
        <f t="shared" si="12"/>
        <v>--</v>
      </c>
      <c r="W25" s="306" t="str">
        <f t="shared" si="13"/>
        <v>--</v>
      </c>
      <c r="X25" s="56" t="str">
        <f t="shared" si="14"/>
        <v>SI</v>
      </c>
      <c r="Y25" s="57">
        <f t="shared" si="15"/>
        <v>7.597115064000002</v>
      </c>
      <c r="Z25" s="10"/>
    </row>
    <row r="26" spans="1:26" s="9" customFormat="1" ht="15">
      <c r="A26" s="7"/>
      <c r="B26" s="105"/>
      <c r="C26" s="11">
        <v>28</v>
      </c>
      <c r="D26" s="55" t="s">
        <v>5</v>
      </c>
      <c r="E26" s="8">
        <v>132</v>
      </c>
      <c r="F26" s="45">
        <v>14.5</v>
      </c>
      <c r="G26" s="246">
        <f t="shared" si="0"/>
        <v>12.5613675</v>
      </c>
      <c r="H26" s="22">
        <v>36615.402083333334</v>
      </c>
      <c r="I26" s="29">
        <v>36615.69236111111</v>
      </c>
      <c r="J26" s="23">
        <f t="shared" si="1"/>
        <v>6.966666666674428</v>
      </c>
      <c r="K26" s="24">
        <f t="shared" si="2"/>
        <v>418</v>
      </c>
      <c r="L26" s="25" t="s">
        <v>111</v>
      </c>
      <c r="M26" s="26" t="str">
        <f t="shared" si="3"/>
        <v>--</v>
      </c>
      <c r="N26" s="263">
        <f t="shared" si="4"/>
        <v>26.265819442499996</v>
      </c>
      <c r="O26" s="268" t="str">
        <f t="shared" si="5"/>
        <v>--</v>
      </c>
      <c r="P26" s="273" t="str">
        <f t="shared" si="6"/>
        <v>--</v>
      </c>
      <c r="Q26" s="274" t="str">
        <f t="shared" si="7"/>
        <v>--</v>
      </c>
      <c r="R26" s="275" t="str">
        <f t="shared" si="8"/>
        <v>--</v>
      </c>
      <c r="S26" s="288" t="str">
        <f t="shared" si="9"/>
        <v>--</v>
      </c>
      <c r="T26" s="292" t="str">
        <f t="shared" si="10"/>
        <v>--</v>
      </c>
      <c r="U26" s="296" t="str">
        <f t="shared" si="11"/>
        <v>--</v>
      </c>
      <c r="V26" s="301" t="str">
        <f t="shared" si="12"/>
        <v>--</v>
      </c>
      <c r="W26" s="306" t="str">
        <f t="shared" si="13"/>
        <v>--</v>
      </c>
      <c r="X26" s="56" t="str">
        <f t="shared" si="14"/>
        <v>SI</v>
      </c>
      <c r="Y26" s="57">
        <f t="shared" si="15"/>
        <v>26.265819442499996</v>
      </c>
      <c r="Z26" s="10"/>
    </row>
    <row r="27" spans="1:26" s="9" customFormat="1" ht="15">
      <c r="A27" s="7"/>
      <c r="B27" s="105"/>
      <c r="C27" s="11">
        <v>29</v>
      </c>
      <c r="D27" s="55" t="s">
        <v>5</v>
      </c>
      <c r="E27" s="8">
        <v>132</v>
      </c>
      <c r="F27" s="45">
        <v>14.5</v>
      </c>
      <c r="G27" s="246">
        <f t="shared" si="0"/>
        <v>12.5613675</v>
      </c>
      <c r="H27" s="22">
        <v>36616.336805555555</v>
      </c>
      <c r="I27" s="29">
        <v>36616.62430555555</v>
      </c>
      <c r="J27" s="23">
        <f t="shared" si="1"/>
        <v>6.899999999965075</v>
      </c>
      <c r="K27" s="24">
        <f t="shared" si="2"/>
        <v>414</v>
      </c>
      <c r="L27" s="25" t="s">
        <v>111</v>
      </c>
      <c r="M27" s="26" t="str">
        <f t="shared" si="3"/>
        <v>--</v>
      </c>
      <c r="N27" s="263">
        <f t="shared" si="4"/>
        <v>26.002030725</v>
      </c>
      <c r="O27" s="268" t="str">
        <f t="shared" si="5"/>
        <v>--</v>
      </c>
      <c r="P27" s="273" t="str">
        <f>IF(L27="F",G27*#REF!,"--")</f>
        <v>--</v>
      </c>
      <c r="Q27" s="274" t="str">
        <f>IF(AND(K27&gt;10,L27="F"),G27*#REF!*IF(K27&gt;180,3,ROUND((K27)/60,2)),"--")</f>
        <v>--</v>
      </c>
      <c r="R27" s="275" t="str">
        <f>IF(AND(K27&gt;180,L27="F"),(ROUND(K27/60,2)-3)*G27*#REF!*0.1,"--")</f>
        <v>--</v>
      </c>
      <c r="S27" s="288" t="str">
        <f>IF(L27="R",G27*#REF!*M27/100,"--")</f>
        <v>--</v>
      </c>
      <c r="T27" s="292" t="str">
        <f>IF(AND(K27&gt;10,L27="R"),G27*#REF!*M27/100*IF(K27&gt;180,3,ROUND(K27/60,2)),"--")</f>
        <v>--</v>
      </c>
      <c r="U27" s="296" t="str">
        <f>IF(AND(K27&gt;180,L27="R"),(ROUND(K27/60,2)-3)*G27*#REF!*0.1*M27/100,"--")</f>
        <v>--</v>
      </c>
      <c r="V27" s="301" t="str">
        <f>IF(L27="RF",ROUND(K27/60,2)*G27*#REF!*0.1,"--")</f>
        <v>--</v>
      </c>
      <c r="W27" s="306" t="str">
        <f>IF(L27="RR",ROUND(K27/60,2)*G27*#REF!*0.1*M27/100,"--")</f>
        <v>--</v>
      </c>
      <c r="X27" s="56" t="str">
        <f t="shared" si="14"/>
        <v>SI</v>
      </c>
      <c r="Y27" s="57">
        <f t="shared" si="15"/>
        <v>26.002030725</v>
      </c>
      <c r="Z27" s="384"/>
    </row>
    <row r="28" spans="1:26" s="9" customFormat="1" ht="15">
      <c r="A28" s="7"/>
      <c r="B28" s="105"/>
      <c r="C28" s="11"/>
      <c r="D28" s="55"/>
      <c r="E28" s="8"/>
      <c r="F28" s="45"/>
      <c r="G28" s="246"/>
      <c r="H28" s="22"/>
      <c r="I28" s="29"/>
      <c r="J28" s="23">
        <f t="shared" si="1"/>
      </c>
      <c r="K28" s="24">
        <f t="shared" si="2"/>
      </c>
      <c r="L28" s="25"/>
      <c r="M28" s="26">
        <f t="shared" si="3"/>
      </c>
      <c r="N28" s="263" t="str">
        <f t="shared" si="4"/>
        <v>--</v>
      </c>
      <c r="O28" s="268" t="str">
        <f t="shared" si="5"/>
        <v>--</v>
      </c>
      <c r="P28" s="273" t="str">
        <f aca="true" t="shared" si="16" ref="P28:P34">IF(L28="F",G28*$J$14,"--")</f>
        <v>--</v>
      </c>
      <c r="Q28" s="274" t="str">
        <f aca="true" t="shared" si="17" ref="Q28:Q34">IF(AND(K28&gt;10,L28="F"),G28*$J$14*IF(K28&gt;180,3,ROUND((K28)/60,2)),"--")</f>
        <v>--</v>
      </c>
      <c r="R28" s="275" t="str">
        <f aca="true" t="shared" si="18" ref="R28:R34">IF(AND(K28&gt;180,L28="F"),(ROUND(K28/60,2)-3)*G28*$J$14*0.1,"--")</f>
        <v>--</v>
      </c>
      <c r="S28" s="288" t="str">
        <f aca="true" t="shared" si="19" ref="S28:S34">IF(L28="R",G28*$J$14*M28/100,"--")</f>
        <v>--</v>
      </c>
      <c r="T28" s="292" t="str">
        <f aca="true" t="shared" si="20" ref="T28:T34">IF(AND(K28&gt;10,L28="R"),G28*$J$14*M28/100*IF(K28&gt;180,3,ROUND(K28/60,2)),"--")</f>
        <v>--</v>
      </c>
      <c r="U28" s="296" t="str">
        <f aca="true" t="shared" si="21" ref="U28:U34">IF(AND(K28&gt;180,L28="R"),(ROUND(K28/60,2)-3)*G28*$J$14*0.1*M28/100,"--")</f>
        <v>--</v>
      </c>
      <c r="V28" s="301" t="str">
        <f aca="true" t="shared" si="22" ref="V28:V34">IF(L28="RF",ROUND(K28/60,2)*G28*$J$14*0.1,"--")</f>
        <v>--</v>
      </c>
      <c r="W28" s="306" t="str">
        <f aca="true" t="shared" si="23" ref="W28:W34">IF(L28="RR",ROUND(K28/60,2)*G28*$J$14*0.1*M28/100,"--")</f>
        <v>--</v>
      </c>
      <c r="X28" s="56">
        <f t="shared" si="14"/>
      </c>
      <c r="Y28" s="57">
        <f aca="true" t="shared" si="24" ref="Y28:Y35">IF(D28="","",SUM(N28:W28)*IF(X28="SI",1,2))</f>
      </c>
      <c r="Z28" s="10"/>
    </row>
    <row r="29" spans="1:26" s="9" customFormat="1" ht="15">
      <c r="A29" s="7"/>
      <c r="B29" s="105"/>
      <c r="C29" s="11"/>
      <c r="D29" s="55"/>
      <c r="E29" s="8"/>
      <c r="F29" s="45"/>
      <c r="G29" s="246"/>
      <c r="H29" s="22"/>
      <c r="I29" s="29"/>
      <c r="J29" s="23">
        <f t="shared" si="1"/>
      </c>
      <c r="K29" s="24">
        <f t="shared" si="2"/>
      </c>
      <c r="L29" s="25"/>
      <c r="M29" s="26">
        <f t="shared" si="3"/>
      </c>
      <c r="N29" s="263" t="str">
        <f t="shared" si="4"/>
        <v>--</v>
      </c>
      <c r="O29" s="268" t="str">
        <f t="shared" si="5"/>
        <v>--</v>
      </c>
      <c r="P29" s="273" t="str">
        <f t="shared" si="16"/>
        <v>--</v>
      </c>
      <c r="Q29" s="274" t="str">
        <f t="shared" si="17"/>
        <v>--</v>
      </c>
      <c r="R29" s="275" t="str">
        <f t="shared" si="18"/>
        <v>--</v>
      </c>
      <c r="S29" s="288" t="str">
        <f t="shared" si="19"/>
        <v>--</v>
      </c>
      <c r="T29" s="292" t="str">
        <f t="shared" si="20"/>
        <v>--</v>
      </c>
      <c r="U29" s="296" t="str">
        <f t="shared" si="21"/>
        <v>--</v>
      </c>
      <c r="V29" s="301" t="str">
        <f t="shared" si="22"/>
        <v>--</v>
      </c>
      <c r="W29" s="306" t="str">
        <f t="shared" si="23"/>
        <v>--</v>
      </c>
      <c r="X29" s="56">
        <f t="shared" si="14"/>
      </c>
      <c r="Y29" s="57">
        <f t="shared" si="24"/>
      </c>
      <c r="Z29" s="10"/>
    </row>
    <row r="30" spans="1:26" s="9" customFormat="1" ht="15">
      <c r="A30" s="7"/>
      <c r="B30" s="105"/>
      <c r="C30" s="11"/>
      <c r="D30" s="55"/>
      <c r="E30" s="8"/>
      <c r="F30" s="45"/>
      <c r="G30" s="246"/>
      <c r="H30" s="22"/>
      <c r="I30" s="29"/>
      <c r="J30" s="23">
        <f t="shared" si="1"/>
      </c>
      <c r="K30" s="24">
        <f t="shared" si="2"/>
      </c>
      <c r="L30" s="25"/>
      <c r="M30" s="26">
        <f t="shared" si="3"/>
      </c>
      <c r="N30" s="263" t="str">
        <f t="shared" si="4"/>
        <v>--</v>
      </c>
      <c r="O30" s="268" t="str">
        <f t="shared" si="5"/>
        <v>--</v>
      </c>
      <c r="P30" s="273" t="str">
        <f t="shared" si="16"/>
        <v>--</v>
      </c>
      <c r="Q30" s="274" t="str">
        <f t="shared" si="17"/>
        <v>--</v>
      </c>
      <c r="R30" s="275" t="str">
        <f t="shared" si="18"/>
        <v>--</v>
      </c>
      <c r="S30" s="288" t="str">
        <f t="shared" si="19"/>
        <v>--</v>
      </c>
      <c r="T30" s="292" t="str">
        <f t="shared" si="20"/>
        <v>--</v>
      </c>
      <c r="U30" s="296" t="str">
        <f t="shared" si="21"/>
        <v>--</v>
      </c>
      <c r="V30" s="301" t="str">
        <f t="shared" si="22"/>
        <v>--</v>
      </c>
      <c r="W30" s="306" t="str">
        <f t="shared" si="23"/>
        <v>--</v>
      </c>
      <c r="X30" s="56">
        <f t="shared" si="14"/>
      </c>
      <c r="Y30" s="57">
        <f t="shared" si="24"/>
      </c>
      <c r="Z30" s="10"/>
    </row>
    <row r="31" spans="1:26" s="9" customFormat="1" ht="15">
      <c r="A31" s="7"/>
      <c r="B31" s="105"/>
      <c r="C31" s="11"/>
      <c r="D31" s="55"/>
      <c r="E31" s="8"/>
      <c r="F31" s="45"/>
      <c r="G31" s="246"/>
      <c r="H31" s="22"/>
      <c r="I31" s="29"/>
      <c r="J31" s="23">
        <f t="shared" si="1"/>
      </c>
      <c r="K31" s="24">
        <f t="shared" si="2"/>
      </c>
      <c r="L31" s="25"/>
      <c r="M31" s="26">
        <f t="shared" si="3"/>
      </c>
      <c r="N31" s="263" t="str">
        <f t="shared" si="4"/>
        <v>--</v>
      </c>
      <c r="O31" s="268" t="str">
        <f t="shared" si="5"/>
        <v>--</v>
      </c>
      <c r="P31" s="273" t="str">
        <f t="shared" si="16"/>
        <v>--</v>
      </c>
      <c r="Q31" s="274" t="str">
        <f t="shared" si="17"/>
        <v>--</v>
      </c>
      <c r="R31" s="275" t="str">
        <f t="shared" si="18"/>
        <v>--</v>
      </c>
      <c r="S31" s="288" t="str">
        <f t="shared" si="19"/>
        <v>--</v>
      </c>
      <c r="T31" s="292" t="str">
        <f t="shared" si="20"/>
        <v>--</v>
      </c>
      <c r="U31" s="296" t="str">
        <f t="shared" si="21"/>
        <v>--</v>
      </c>
      <c r="V31" s="301" t="str">
        <f t="shared" si="22"/>
        <v>--</v>
      </c>
      <c r="W31" s="306" t="str">
        <f t="shared" si="23"/>
        <v>--</v>
      </c>
      <c r="X31" s="56">
        <f t="shared" si="14"/>
      </c>
      <c r="Y31" s="57">
        <f t="shared" si="24"/>
      </c>
      <c r="Z31" s="10"/>
    </row>
    <row r="32" spans="1:26" s="9" customFormat="1" ht="15">
      <c r="A32" s="7"/>
      <c r="B32" s="105"/>
      <c r="C32" s="11"/>
      <c r="D32" s="55"/>
      <c r="E32" s="8"/>
      <c r="F32" s="45"/>
      <c r="G32" s="246"/>
      <c r="H32" s="22"/>
      <c r="I32" s="29"/>
      <c r="J32" s="23">
        <f t="shared" si="1"/>
      </c>
      <c r="K32" s="24">
        <f t="shared" si="2"/>
      </c>
      <c r="L32" s="25"/>
      <c r="M32" s="26">
        <f t="shared" si="3"/>
      </c>
      <c r="N32" s="263" t="str">
        <f t="shared" si="4"/>
        <v>--</v>
      </c>
      <c r="O32" s="268" t="str">
        <f t="shared" si="5"/>
        <v>--</v>
      </c>
      <c r="P32" s="273" t="str">
        <f t="shared" si="16"/>
        <v>--</v>
      </c>
      <c r="Q32" s="274" t="str">
        <f t="shared" si="17"/>
        <v>--</v>
      </c>
      <c r="R32" s="275" t="str">
        <f t="shared" si="18"/>
        <v>--</v>
      </c>
      <c r="S32" s="288" t="str">
        <f t="shared" si="19"/>
        <v>--</v>
      </c>
      <c r="T32" s="292" t="str">
        <f t="shared" si="20"/>
        <v>--</v>
      </c>
      <c r="U32" s="296" t="str">
        <f t="shared" si="21"/>
        <v>--</v>
      </c>
      <c r="V32" s="301" t="str">
        <f t="shared" si="22"/>
        <v>--</v>
      </c>
      <c r="W32" s="306" t="str">
        <f t="shared" si="23"/>
        <v>--</v>
      </c>
      <c r="X32" s="56">
        <f t="shared" si="14"/>
      </c>
      <c r="Y32" s="57">
        <f t="shared" si="24"/>
      </c>
      <c r="Z32" s="10"/>
    </row>
    <row r="33" spans="1:26" s="9" customFormat="1" ht="15">
      <c r="A33" s="7"/>
      <c r="B33" s="105"/>
      <c r="C33" s="11"/>
      <c r="D33" s="55"/>
      <c r="E33" s="8"/>
      <c r="F33" s="45"/>
      <c r="G33" s="246"/>
      <c r="H33" s="22"/>
      <c r="I33" s="29"/>
      <c r="J33" s="23">
        <f t="shared" si="1"/>
      </c>
      <c r="K33" s="24">
        <f t="shared" si="2"/>
      </c>
      <c r="L33" s="25"/>
      <c r="M33" s="26">
        <f t="shared" si="3"/>
      </c>
      <c r="N33" s="263" t="str">
        <f t="shared" si="4"/>
        <v>--</v>
      </c>
      <c r="O33" s="268" t="str">
        <f t="shared" si="5"/>
        <v>--</v>
      </c>
      <c r="P33" s="273" t="str">
        <f t="shared" si="16"/>
        <v>--</v>
      </c>
      <c r="Q33" s="274" t="str">
        <f t="shared" si="17"/>
        <v>--</v>
      </c>
      <c r="R33" s="275" t="str">
        <f t="shared" si="18"/>
        <v>--</v>
      </c>
      <c r="S33" s="288" t="str">
        <f t="shared" si="19"/>
        <v>--</v>
      </c>
      <c r="T33" s="292" t="str">
        <f t="shared" si="20"/>
        <v>--</v>
      </c>
      <c r="U33" s="296" t="str">
        <f t="shared" si="21"/>
        <v>--</v>
      </c>
      <c r="V33" s="301" t="str">
        <f t="shared" si="22"/>
        <v>--</v>
      </c>
      <c r="W33" s="306" t="str">
        <f t="shared" si="23"/>
        <v>--</v>
      </c>
      <c r="X33" s="56">
        <f t="shared" si="14"/>
      </c>
      <c r="Y33" s="57">
        <f t="shared" si="24"/>
      </c>
      <c r="Z33" s="10"/>
    </row>
    <row r="34" spans="1:26" s="9" customFormat="1" ht="15">
      <c r="A34" s="7"/>
      <c r="B34" s="105"/>
      <c r="C34" s="11"/>
      <c r="D34" s="55"/>
      <c r="E34" s="8"/>
      <c r="F34" s="45"/>
      <c r="G34" s="246"/>
      <c r="H34" s="22"/>
      <c r="I34" s="29"/>
      <c r="J34" s="23">
        <f t="shared" si="1"/>
      </c>
      <c r="K34" s="24">
        <f t="shared" si="2"/>
      </c>
      <c r="L34" s="25"/>
      <c r="M34" s="26">
        <f t="shared" si="3"/>
      </c>
      <c r="N34" s="263" t="str">
        <f t="shared" si="4"/>
        <v>--</v>
      </c>
      <c r="O34" s="268" t="str">
        <f t="shared" si="5"/>
        <v>--</v>
      </c>
      <c r="P34" s="273" t="str">
        <f t="shared" si="16"/>
        <v>--</v>
      </c>
      <c r="Q34" s="274" t="str">
        <f t="shared" si="17"/>
        <v>--</v>
      </c>
      <c r="R34" s="275" t="str">
        <f t="shared" si="18"/>
        <v>--</v>
      </c>
      <c r="S34" s="288" t="str">
        <f t="shared" si="19"/>
        <v>--</v>
      </c>
      <c r="T34" s="292" t="str">
        <f t="shared" si="20"/>
        <v>--</v>
      </c>
      <c r="U34" s="296" t="str">
        <f t="shared" si="21"/>
        <v>--</v>
      </c>
      <c r="V34" s="301" t="str">
        <f t="shared" si="22"/>
        <v>--</v>
      </c>
      <c r="W34" s="306" t="str">
        <f t="shared" si="23"/>
        <v>--</v>
      </c>
      <c r="X34" s="56">
        <f t="shared" si="14"/>
      </c>
      <c r="Y34" s="57">
        <f t="shared" si="24"/>
      </c>
      <c r="Z34" s="10"/>
    </row>
    <row r="35" spans="1:26" s="9" customFormat="1" ht="15">
      <c r="A35" s="7"/>
      <c r="B35" s="105"/>
      <c r="C35" s="11"/>
      <c r="D35" s="55"/>
      <c r="E35" s="8"/>
      <c r="F35" s="45"/>
      <c r="G35" s="246"/>
      <c r="H35" s="22"/>
      <c r="I35" s="29"/>
      <c r="J35" s="23">
        <f t="shared" si="1"/>
      </c>
      <c r="K35" s="24">
        <f t="shared" si="2"/>
      </c>
      <c r="L35" s="25"/>
      <c r="M35" s="26">
        <f t="shared" si="3"/>
      </c>
      <c r="N35" s="263" t="str">
        <f>IF(L35="P",ROUND(K35/60,2)*G35*#REF!*0.01,"--")</f>
        <v>--</v>
      </c>
      <c r="O35" s="268" t="str">
        <f t="shared" si="5"/>
        <v>--</v>
      </c>
      <c r="P35" s="273" t="str">
        <f>IF(L35="F",G35*#REF!,"--")</f>
        <v>--</v>
      </c>
      <c r="Q35" s="274" t="str">
        <f>IF(AND(K35&gt;10,L35="F"),G35*#REF!*IF(K35&gt;180,3,ROUND((K35)/60,2)),"--")</f>
        <v>--</v>
      </c>
      <c r="R35" s="275" t="str">
        <f>IF(AND(K35&gt;180,L35="F"),(ROUND(K35/60,2)-3)*G35*#REF!*0.1,"--")</f>
        <v>--</v>
      </c>
      <c r="S35" s="288" t="str">
        <f>IF(L35="R",G35*#REF!*M35/100,"--")</f>
        <v>--</v>
      </c>
      <c r="T35" s="292" t="str">
        <f>IF(AND(K35&gt;10,L35="R"),G35*#REF!*M35/100*IF(K35&gt;180,3,ROUND(K35/60,2)),"--")</f>
        <v>--</v>
      </c>
      <c r="U35" s="296" t="str">
        <f>IF(AND(K35&gt;180,L35="R"),(ROUND(K35/60,2)-3)*G35*#REF!*0.1*M35/100,"--")</f>
        <v>--</v>
      </c>
      <c r="V35" s="301" t="str">
        <f>IF(L35="RF",ROUND(K35/60,2)*G35*#REF!*0.1,"--")</f>
        <v>--</v>
      </c>
      <c r="W35" s="306" t="str">
        <f>IF(L35="RR",ROUND(K35/60,2)*G35*#REF!*0.1*M35/100,"--")</f>
        <v>--</v>
      </c>
      <c r="X35" s="56">
        <f t="shared" si="14"/>
      </c>
      <c r="Y35" s="57">
        <f t="shared" si="24"/>
      </c>
      <c r="Z35" s="384"/>
    </row>
    <row r="36" spans="1:26" s="9" customFormat="1" ht="15.75" thickBot="1">
      <c r="A36" s="7"/>
      <c r="B36" s="105"/>
      <c r="C36" s="58"/>
      <c r="D36" s="59"/>
      <c r="E36" s="60"/>
      <c r="F36" s="61"/>
      <c r="G36" s="247"/>
      <c r="H36" s="27"/>
      <c r="I36" s="27"/>
      <c r="J36" s="27"/>
      <c r="K36" s="27"/>
      <c r="L36" s="27"/>
      <c r="M36" s="62"/>
      <c r="N36" s="264"/>
      <c r="O36" s="269"/>
      <c r="P36" s="276"/>
      <c r="Q36" s="277"/>
      <c r="R36" s="278"/>
      <c r="S36" s="289"/>
      <c r="T36" s="293"/>
      <c r="U36" s="297"/>
      <c r="V36" s="302"/>
      <c r="W36" s="307"/>
      <c r="X36" s="28"/>
      <c r="Y36" s="634"/>
      <c r="Z36" s="10"/>
    </row>
    <row r="37" spans="1:26" s="9" customFormat="1" ht="17.25" thickBot="1" thickTop="1">
      <c r="A37" s="7"/>
      <c r="B37" s="105"/>
      <c r="C37" s="232" t="s">
        <v>76</v>
      </c>
      <c r="D37" s="233" t="s">
        <v>77</v>
      </c>
      <c r="E37" s="7"/>
      <c r="F37" s="7"/>
      <c r="G37" s="7"/>
      <c r="H37" s="7"/>
      <c r="I37" s="7"/>
      <c r="J37" s="7"/>
      <c r="K37" s="7"/>
      <c r="L37" s="7"/>
      <c r="M37" s="7"/>
      <c r="N37" s="281">
        <f aca="true" t="shared" si="25" ref="N37:W37">SUM(N18:N36)</f>
        <v>1258.0846663809602</v>
      </c>
      <c r="O37" s="282">
        <f t="shared" si="25"/>
        <v>0</v>
      </c>
      <c r="P37" s="308">
        <f t="shared" si="25"/>
        <v>376.841025</v>
      </c>
      <c r="Q37" s="308">
        <f t="shared" si="25"/>
        <v>1130.523075</v>
      </c>
      <c r="R37" s="308">
        <f t="shared" si="25"/>
        <v>590.8867272</v>
      </c>
      <c r="S37" s="309">
        <f t="shared" si="25"/>
        <v>0</v>
      </c>
      <c r="T37" s="309">
        <f t="shared" si="25"/>
        <v>0</v>
      </c>
      <c r="U37" s="309">
        <f t="shared" si="25"/>
        <v>0</v>
      </c>
      <c r="V37" s="310">
        <f t="shared" si="25"/>
        <v>0</v>
      </c>
      <c r="W37" s="311">
        <f t="shared" si="25"/>
        <v>0</v>
      </c>
      <c r="X37" s="7"/>
      <c r="Y37" s="398">
        <f>ROUND(SUM(Y18:Y36),2)</f>
        <v>28542.75</v>
      </c>
      <c r="Z37" s="10"/>
    </row>
    <row r="38" spans="1:26" s="238" customFormat="1" ht="13.5" thickTop="1">
      <c r="A38" s="236"/>
      <c r="B38" s="237"/>
      <c r="C38" s="234"/>
      <c r="D38" s="235" t="s">
        <v>78</v>
      </c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9"/>
    </row>
    <row r="39" spans="1:26" s="9" customFormat="1" ht="13.5" thickBot="1">
      <c r="A39" s="7"/>
      <c r="B39" s="132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4"/>
    </row>
    <row r="40" spans="1:2" ht="13.5" thickTop="1">
      <c r="A40" s="1"/>
      <c r="B40" s="1"/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70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AB49"/>
  <sheetViews>
    <sheetView zoomScale="75" zoomScaleNormal="75" workbookViewId="0" topLeftCell="F1">
      <selection activeCell="A9" sqref="A9"/>
    </sheetView>
  </sheetViews>
  <sheetFormatPr defaultColWidth="11.421875" defaultRowHeight="12.75"/>
  <cols>
    <col min="1" max="2" width="15.7109375" style="0" customWidth="1"/>
    <col min="3" max="3" width="5.421875" style="0" bestFit="1" customWidth="1"/>
    <col min="4" max="4" width="25.7109375" style="0" customWidth="1"/>
    <col min="5" max="5" width="15.7109375" style="0" customWidth="1"/>
    <col min="6" max="6" width="7.28125" style="0" customWidth="1"/>
    <col min="7" max="7" width="12.7109375" style="0" customWidth="1"/>
    <col min="8" max="8" width="13.28125" style="0" hidden="1" customWidth="1"/>
    <col min="9" max="10" width="15.7109375" style="0" customWidth="1"/>
    <col min="11" max="13" width="9.7109375" style="0" customWidth="1"/>
    <col min="14" max="14" width="5.8515625" style="0" customWidth="1"/>
    <col min="15" max="15" width="6.421875" style="0" customWidth="1"/>
    <col min="16" max="16" width="6.57421875" style="0" customWidth="1"/>
    <col min="17" max="17" width="12.140625" style="0" hidden="1" customWidth="1"/>
    <col min="18" max="18" width="15.140625" style="0" hidden="1" customWidth="1"/>
    <col min="19" max="19" width="16.28125" style="0" hidden="1" customWidth="1"/>
    <col min="20" max="20" width="16.8515625" style="0" hidden="1" customWidth="1"/>
    <col min="21" max="25" width="15.421875" style="0" hidden="1" customWidth="1"/>
    <col min="26" max="26" width="9.7109375" style="0" customWidth="1"/>
    <col min="27" max="28" width="15.7109375" style="0" customWidth="1"/>
  </cols>
  <sheetData>
    <row r="1" spans="1:28" s="72" customFormat="1" ht="26.25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390"/>
    </row>
    <row r="2" spans="1:28" s="72" customFormat="1" ht="26.25">
      <c r="A2" s="162"/>
      <c r="B2" s="198" t="str">
        <f>+'tot-0003'!B2</f>
        <v>ANEXO I A LA RESOLUCION ENRE N° 82/2001</v>
      </c>
      <c r="C2" s="199"/>
      <c r="D2" s="199"/>
      <c r="E2" s="151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</row>
    <row r="3" spans="1:28" s="9" customFormat="1" ht="12.75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</row>
    <row r="4" spans="1:28" s="79" customFormat="1" ht="11.25">
      <c r="A4" s="77" t="s">
        <v>37</v>
      </c>
      <c r="B4" s="201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</row>
    <row r="5" spans="1:28" s="79" customFormat="1" ht="11.25">
      <c r="A5" s="77" t="s">
        <v>38</v>
      </c>
      <c r="B5" s="201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</row>
    <row r="6" spans="1:28" s="9" customFormat="1" ht="13.5" thickBot="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</row>
    <row r="7" spans="1:28" s="9" customFormat="1" ht="13.5" thickTop="1">
      <c r="A7" s="161"/>
      <c r="B7" s="163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5"/>
    </row>
    <row r="8" spans="1:28" s="83" customFormat="1" ht="20.25">
      <c r="A8" s="181"/>
      <c r="B8" s="182"/>
      <c r="C8" s="167"/>
      <c r="D8" s="34" t="s">
        <v>54</v>
      </c>
      <c r="E8" s="34"/>
      <c r="F8" s="167"/>
      <c r="G8" s="181"/>
      <c r="H8" s="181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83"/>
    </row>
    <row r="9" spans="1:28" s="83" customFormat="1" ht="20.25">
      <c r="A9" s="181"/>
      <c r="B9" s="182"/>
      <c r="C9" s="167"/>
      <c r="D9" s="34"/>
      <c r="E9" s="34"/>
      <c r="F9" s="167"/>
      <c r="G9" s="181"/>
      <c r="H9" s="181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83"/>
    </row>
    <row r="10" spans="1:28" s="83" customFormat="1" ht="20.25">
      <c r="A10" s="181"/>
      <c r="B10" s="182"/>
      <c r="C10" s="167"/>
      <c r="D10" s="34" t="s">
        <v>79</v>
      </c>
      <c r="E10" s="34"/>
      <c r="F10" s="167"/>
      <c r="G10" s="181"/>
      <c r="H10" s="181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83"/>
    </row>
    <row r="11" spans="1:28" s="9" customFormat="1" ht="12.75">
      <c r="A11" s="161"/>
      <c r="B11" s="166"/>
      <c r="C11" s="47"/>
      <c r="D11" s="47"/>
      <c r="E11" s="47"/>
      <c r="F11" s="47"/>
      <c r="G11" s="161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63"/>
    </row>
    <row r="12" spans="1:28" s="83" customFormat="1" ht="20.25">
      <c r="A12" s="181"/>
      <c r="B12" s="182"/>
      <c r="C12" s="167"/>
      <c r="D12" s="200" t="s">
        <v>80</v>
      </c>
      <c r="E12" s="34"/>
      <c r="F12" s="181"/>
      <c r="G12" s="181"/>
      <c r="H12" s="184"/>
      <c r="I12" s="167"/>
      <c r="J12" s="181"/>
      <c r="K12" s="181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83"/>
    </row>
    <row r="13" spans="1:28" s="9" customFormat="1" ht="12.75">
      <c r="A13" s="161"/>
      <c r="B13" s="166"/>
      <c r="C13" s="47"/>
      <c r="D13" s="47"/>
      <c r="E13" s="47"/>
      <c r="F13" s="47"/>
      <c r="G13" s="161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63"/>
    </row>
    <row r="14" spans="1:28" s="83" customFormat="1" ht="20.25">
      <c r="A14" s="181"/>
      <c r="B14" s="182"/>
      <c r="C14" s="167"/>
      <c r="D14" s="200" t="s">
        <v>81</v>
      </c>
      <c r="E14" s="34"/>
      <c r="F14" s="181"/>
      <c r="G14" s="181"/>
      <c r="H14" s="184"/>
      <c r="I14" s="167"/>
      <c r="J14" s="181"/>
      <c r="K14" s="181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83"/>
    </row>
    <row r="15" spans="1:28" s="9" customFormat="1" ht="12.75">
      <c r="A15" s="161"/>
      <c r="B15" s="166"/>
      <c r="C15" s="47"/>
      <c r="D15" s="169"/>
      <c r="E15" s="169"/>
      <c r="F15" s="169"/>
      <c r="G15" s="170"/>
      <c r="H15" s="168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63"/>
    </row>
    <row r="16" spans="1:28" s="90" customFormat="1" ht="18.75">
      <c r="A16" s="185"/>
      <c r="B16" s="193" t="str">
        <f>+'tot-0003'!B14</f>
        <v>Desde el 01 al 31 de marzo de 2000</v>
      </c>
      <c r="C16" s="194"/>
      <c r="D16" s="194"/>
      <c r="E16" s="194"/>
      <c r="F16" s="194"/>
      <c r="G16" s="194"/>
      <c r="H16" s="194"/>
      <c r="I16" s="195"/>
      <c r="J16" s="196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7"/>
    </row>
    <row r="17" spans="1:28" s="9" customFormat="1" ht="13.5" thickBot="1">
      <c r="A17" s="161"/>
      <c r="B17" s="166"/>
      <c r="C17" s="47"/>
      <c r="D17" s="47"/>
      <c r="E17" s="47"/>
      <c r="F17" s="47"/>
      <c r="G17" s="171"/>
      <c r="H17" s="47"/>
      <c r="I17" s="178"/>
      <c r="J17" s="179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63"/>
    </row>
    <row r="18" spans="1:28" s="9" customFormat="1" ht="14.25" thickBot="1" thickTop="1">
      <c r="A18" s="161"/>
      <c r="B18" s="166"/>
      <c r="C18" s="47"/>
      <c r="D18" s="186" t="s">
        <v>82</v>
      </c>
      <c r="E18" s="187"/>
      <c r="F18" s="188"/>
      <c r="G18" s="189">
        <v>0.177</v>
      </c>
      <c r="H18" s="161"/>
      <c r="I18" s="47"/>
      <c r="J18" s="392" t="s">
        <v>107</v>
      </c>
      <c r="K18" s="391">
        <v>0.99</v>
      </c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63"/>
    </row>
    <row r="19" spans="1:28" s="9" customFormat="1" ht="14.25" thickBot="1" thickTop="1">
      <c r="A19" s="161"/>
      <c r="B19" s="166"/>
      <c r="C19" s="47"/>
      <c r="D19" s="190" t="s">
        <v>83</v>
      </c>
      <c r="E19" s="191"/>
      <c r="F19" s="191"/>
      <c r="G19" s="192">
        <f>30*'tot-0003'!B13</f>
        <v>30</v>
      </c>
      <c r="H19" s="47"/>
      <c r="I19" s="240" t="str">
        <f>IF(G19=30," ",IF(G19=60,"  Coeficiente duplicado por tasa de falla &gt;4 Sal. x año/100 km.","REVISAR COEFICIENTE"))</f>
        <v> </v>
      </c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172"/>
      <c r="V19" s="172"/>
      <c r="W19" s="172"/>
      <c r="X19" s="172"/>
      <c r="Y19" s="172"/>
      <c r="Z19" s="172"/>
      <c r="AA19" s="172"/>
      <c r="AB19" s="63"/>
    </row>
    <row r="20" spans="1:28" s="9" customFormat="1" ht="14.25" thickBot="1" thickTop="1">
      <c r="A20" s="161"/>
      <c r="B20" s="166"/>
      <c r="C20" s="47"/>
      <c r="D20" s="47"/>
      <c r="E20" s="47"/>
      <c r="F20" s="47"/>
      <c r="G20" s="173"/>
      <c r="H20" s="47"/>
      <c r="I20" s="174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63"/>
    </row>
    <row r="21" spans="1:28" s="9" customFormat="1" ht="33.75" customHeight="1" thickBot="1" thickTop="1">
      <c r="A21" s="161"/>
      <c r="B21" s="166"/>
      <c r="C21" s="219" t="s">
        <v>58</v>
      </c>
      <c r="D21" s="218" t="s">
        <v>84</v>
      </c>
      <c r="E21" s="217" t="s">
        <v>85</v>
      </c>
      <c r="F21" s="220" t="s">
        <v>86</v>
      </c>
      <c r="G21" s="221" t="s">
        <v>59</v>
      </c>
      <c r="H21" s="244" t="s">
        <v>61</v>
      </c>
      <c r="I21" s="217" t="s">
        <v>62</v>
      </c>
      <c r="J21" s="217" t="s">
        <v>63</v>
      </c>
      <c r="K21" s="218" t="s">
        <v>87</v>
      </c>
      <c r="L21" s="218" t="s">
        <v>88</v>
      </c>
      <c r="M21" s="157" t="s">
        <v>66</v>
      </c>
      <c r="N21" s="217" t="s">
        <v>89</v>
      </c>
      <c r="O21" s="218" t="s">
        <v>67</v>
      </c>
      <c r="P21" s="217" t="s">
        <v>90</v>
      </c>
      <c r="Q21" s="313" t="s">
        <v>91</v>
      </c>
      <c r="R21" s="318" t="s">
        <v>68</v>
      </c>
      <c r="S21" s="324" t="s">
        <v>69</v>
      </c>
      <c r="T21" s="270" t="s">
        <v>92</v>
      </c>
      <c r="U21" s="272"/>
      <c r="V21" s="338" t="s">
        <v>93</v>
      </c>
      <c r="W21" s="339"/>
      <c r="X21" s="349" t="s">
        <v>72</v>
      </c>
      <c r="Y21" s="355" t="s">
        <v>73</v>
      </c>
      <c r="Z21" s="221" t="s">
        <v>74</v>
      </c>
      <c r="AA21" s="221" t="s">
        <v>75</v>
      </c>
      <c r="AB21" s="63"/>
    </row>
    <row r="22" spans="1:28" s="9" customFormat="1" ht="15.75" hidden="1" thickTop="1">
      <c r="A22" s="161"/>
      <c r="B22" s="166"/>
      <c r="C22" s="30"/>
      <c r="D22" s="70"/>
      <c r="E22" s="35"/>
      <c r="F22" s="35"/>
      <c r="G22" s="35"/>
      <c r="H22" s="248"/>
      <c r="I22" s="36"/>
      <c r="J22" s="35"/>
      <c r="K22" s="36"/>
      <c r="L22" s="36"/>
      <c r="M22" s="35"/>
      <c r="N22" s="35"/>
      <c r="O22" s="35"/>
      <c r="P22" s="35"/>
      <c r="Q22" s="314"/>
      <c r="R22" s="319"/>
      <c r="S22" s="325"/>
      <c r="T22" s="336"/>
      <c r="U22" s="330"/>
      <c r="V22" s="340"/>
      <c r="W22" s="341"/>
      <c r="X22" s="350"/>
      <c r="Y22" s="356"/>
      <c r="Z22" s="35"/>
      <c r="AA22" s="71"/>
      <c r="AB22" s="63"/>
    </row>
    <row r="23" spans="1:28" s="9" customFormat="1" ht="15.75" thickTop="1">
      <c r="A23" s="161"/>
      <c r="B23" s="166"/>
      <c r="C23" s="30"/>
      <c r="D23" s="32"/>
      <c r="E23" s="31"/>
      <c r="F23" s="31"/>
      <c r="G23" s="31"/>
      <c r="H23" s="249"/>
      <c r="I23" s="32"/>
      <c r="J23" s="31"/>
      <c r="K23" s="32"/>
      <c r="L23" s="32"/>
      <c r="M23" s="31"/>
      <c r="N23" s="31"/>
      <c r="O23" s="31"/>
      <c r="P23" s="31"/>
      <c r="Q23" s="315"/>
      <c r="R23" s="320"/>
      <c r="S23" s="326"/>
      <c r="T23" s="337"/>
      <c r="U23" s="334"/>
      <c r="V23" s="342"/>
      <c r="W23" s="343"/>
      <c r="X23" s="351"/>
      <c r="Y23" s="357"/>
      <c r="Z23" s="31"/>
      <c r="AA23" s="52"/>
      <c r="AB23" s="63"/>
    </row>
    <row r="24" spans="2:28" s="161" customFormat="1" ht="15">
      <c r="B24" s="638" t="s">
        <v>184</v>
      </c>
      <c r="C24" s="30">
        <v>30</v>
      </c>
      <c r="D24" s="635" t="s">
        <v>28</v>
      </c>
      <c r="E24" s="32" t="s">
        <v>20</v>
      </c>
      <c r="F24" s="636">
        <v>28</v>
      </c>
      <c r="G24" s="637" t="s">
        <v>16</v>
      </c>
      <c r="H24" s="39">
        <f aca="true" t="shared" si="0" ref="H24:H42">F24*$G$18*$K$18</f>
        <v>4.90644</v>
      </c>
      <c r="I24" s="40">
        <v>36586</v>
      </c>
      <c r="J24" s="41">
        <v>36603.38055555556</v>
      </c>
      <c r="K24" s="42">
        <f aca="true" t="shared" si="1" ref="K24:K42">IF(D24="","",(J24-I24)*24)</f>
        <v>417.1333333334187</v>
      </c>
      <c r="L24" s="43">
        <f aca="true" t="shared" si="2" ref="L24:L42">IF(D24="","",ROUND((J24-I24)*24*60,0))</f>
        <v>25028</v>
      </c>
      <c r="M24" s="39" t="s">
        <v>188</v>
      </c>
      <c r="N24" s="39" t="str">
        <f aca="true" t="shared" si="3" ref="N24:N42">IF(D24="","",IF(OR(M24="P",M24="RP"),"--","NO"))</f>
        <v>NO</v>
      </c>
      <c r="O24" s="39">
        <v>46</v>
      </c>
      <c r="P24" s="39" t="s">
        <v>113</v>
      </c>
      <c r="Q24" s="639">
        <f>$G$19*IF(P24="SI",1,0.1)*IF(OR(M24="P",M24="RP"),0.1,1)</f>
        <v>3</v>
      </c>
      <c r="R24" s="640" t="str">
        <f>IF(M24="P",H24*Q24*ROUND(L24/60,2),"--")</f>
        <v>--</v>
      </c>
      <c r="S24" s="640" t="str">
        <f>IF(M24="RP",H24*Q24*O24/100*ROUND(L24/60,2),"--")</f>
        <v>--</v>
      </c>
      <c r="T24" s="641" t="str">
        <f>IF(AND(M24="F",N24="NO"),H24*Q24,"--")</f>
        <v>--</v>
      </c>
      <c r="U24" s="642" t="str">
        <f>IF(M24="F",H24*Q24*ROUND(L24/60,2),"--")</f>
        <v>--</v>
      </c>
      <c r="V24" s="643" t="str">
        <f>IF(AND(M24="R",N24="NO"),H24*Q24*O24/100,"--")</f>
        <v>--</v>
      </c>
      <c r="W24" s="644" t="str">
        <f>IF(M24="R",H24*Q24*ROUND(L24/60,2)*O24/100,"--")</f>
        <v>--</v>
      </c>
      <c r="X24" s="645" t="str">
        <f>IF(M24="RF",H24*Q24*ROUND(L24/60,2),"--")</f>
        <v>--</v>
      </c>
      <c r="Y24" s="646">
        <f aca="true" t="shared" si="4" ref="Y24:Y42">IF(M24="RR",H24*Q24*ROUND(L24/60,2)*O24/100,"--")</f>
        <v>2824.340177736</v>
      </c>
      <c r="Z24" s="39" t="s">
        <v>114</v>
      </c>
      <c r="AA24" s="52">
        <f aca="true" t="shared" si="5" ref="AA24:AA42">IF(D24="","",SUM(R24:Y24)*IF(Z24="SI",1,2))</f>
        <v>2824.340177736</v>
      </c>
      <c r="AB24" s="385"/>
    </row>
    <row r="25" spans="2:28" s="161" customFormat="1" ht="15">
      <c r="B25" s="638"/>
      <c r="C25" s="30">
        <v>31</v>
      </c>
      <c r="D25" s="635" t="s">
        <v>22</v>
      </c>
      <c r="E25" s="32" t="s">
        <v>17</v>
      </c>
      <c r="F25" s="636">
        <v>3.3</v>
      </c>
      <c r="G25" s="637" t="s">
        <v>23</v>
      </c>
      <c r="H25" s="39">
        <f t="shared" si="0"/>
        <v>0.578259</v>
      </c>
      <c r="I25" s="40">
        <v>36591.71666666667</v>
      </c>
      <c r="J25" s="41">
        <v>36610.777083333334</v>
      </c>
      <c r="K25" s="42">
        <f t="shared" si="1"/>
        <v>457.45000000001164</v>
      </c>
      <c r="L25" s="43">
        <f t="shared" si="2"/>
        <v>27447</v>
      </c>
      <c r="M25" s="39" t="s">
        <v>111</v>
      </c>
      <c r="N25" s="39" t="str">
        <f t="shared" si="3"/>
        <v>--</v>
      </c>
      <c r="O25" s="316" t="str">
        <f aca="true" t="shared" si="6" ref="O25:O37">IF(D25="","","--")</f>
        <v>--</v>
      </c>
      <c r="P25" s="39" t="s">
        <v>113</v>
      </c>
      <c r="Q25" s="639">
        <f aca="true" t="shared" si="7" ref="Q25:Q42">$G$19*IF(P25="SI",1,0.1)*IF(OR(M25="P",M25="RP"),0.1,1)</f>
        <v>0.30000000000000004</v>
      </c>
      <c r="R25" s="640">
        <f aca="true" t="shared" si="8" ref="R25:R42">IF(M25="P",H25*Q25*ROUND(L25/60,2),"--")</f>
        <v>79.357373865</v>
      </c>
      <c r="S25" s="640" t="str">
        <f aca="true" t="shared" si="9" ref="S25:S42">IF(M25="RP",H25*Q25*O25/100*ROUND(L25/60,2),"--")</f>
        <v>--</v>
      </c>
      <c r="T25" s="641" t="str">
        <f aca="true" t="shared" si="10" ref="T25:T42">IF(AND(M25="F",N25="NO"),H25*Q25,"--")</f>
        <v>--</v>
      </c>
      <c r="U25" s="642" t="str">
        <f aca="true" t="shared" si="11" ref="U25:U42">IF(M25="F",H25*Q25*ROUND(L25/60,2),"--")</f>
        <v>--</v>
      </c>
      <c r="V25" s="643" t="str">
        <f aca="true" t="shared" si="12" ref="V25:V42">IF(AND(M25="R",N25="NO"),H25*Q25*O25/100,"--")</f>
        <v>--</v>
      </c>
      <c r="W25" s="644" t="str">
        <f aca="true" t="shared" si="13" ref="W25:W42">IF(M25="R",H25*Q25*ROUND(L25/60,2)*O25/100,"--")</f>
        <v>--</v>
      </c>
      <c r="X25" s="645" t="str">
        <f aca="true" t="shared" si="14" ref="X25:X42">IF(M25="RF",H25*Q25*ROUND(L25/60,2),"--")</f>
        <v>--</v>
      </c>
      <c r="Y25" s="646" t="str">
        <f t="shared" si="4"/>
        <v>--</v>
      </c>
      <c r="Z25" s="39" t="str">
        <f aca="true" t="shared" si="15" ref="Z25:Z42">IF(D25="","","SI")</f>
        <v>SI</v>
      </c>
      <c r="AA25" s="52">
        <f t="shared" si="5"/>
        <v>79.357373865</v>
      </c>
      <c r="AB25" s="385"/>
    </row>
    <row r="26" spans="2:28" s="161" customFormat="1" ht="15">
      <c r="B26" s="638"/>
      <c r="C26" s="30">
        <v>32</v>
      </c>
      <c r="D26" s="635" t="s">
        <v>25</v>
      </c>
      <c r="E26" s="32" t="s">
        <v>15</v>
      </c>
      <c r="F26" s="636">
        <v>30</v>
      </c>
      <c r="G26" s="637" t="s">
        <v>16</v>
      </c>
      <c r="H26" s="39">
        <f t="shared" si="0"/>
        <v>5.2569</v>
      </c>
      <c r="I26" s="40">
        <v>36592.2375</v>
      </c>
      <c r="J26" s="41">
        <v>36592.44305555556</v>
      </c>
      <c r="K26" s="42">
        <f t="shared" si="1"/>
        <v>4.933333333348855</v>
      </c>
      <c r="L26" s="43">
        <f t="shared" si="2"/>
        <v>296</v>
      </c>
      <c r="M26" s="39" t="s">
        <v>109</v>
      </c>
      <c r="N26" s="39" t="str">
        <f t="shared" si="3"/>
        <v>NO</v>
      </c>
      <c r="O26" s="316" t="str">
        <f t="shared" si="6"/>
        <v>--</v>
      </c>
      <c r="P26" s="39" t="s">
        <v>114</v>
      </c>
      <c r="Q26" s="639">
        <f t="shared" si="7"/>
        <v>30</v>
      </c>
      <c r="R26" s="640" t="str">
        <f t="shared" si="8"/>
        <v>--</v>
      </c>
      <c r="S26" s="640" t="str">
        <f t="shared" si="9"/>
        <v>--</v>
      </c>
      <c r="T26" s="641">
        <f t="shared" si="10"/>
        <v>157.707</v>
      </c>
      <c r="U26" s="642">
        <f t="shared" si="11"/>
        <v>777.49551</v>
      </c>
      <c r="V26" s="643" t="str">
        <f t="shared" si="12"/>
        <v>--</v>
      </c>
      <c r="W26" s="644" t="str">
        <f t="shared" si="13"/>
        <v>--</v>
      </c>
      <c r="X26" s="645" t="str">
        <f t="shared" si="14"/>
        <v>--</v>
      </c>
      <c r="Y26" s="646" t="str">
        <f t="shared" si="4"/>
        <v>--</v>
      </c>
      <c r="Z26" s="39" t="str">
        <f t="shared" si="15"/>
        <v>SI</v>
      </c>
      <c r="AA26" s="52">
        <f t="shared" si="5"/>
        <v>935.20251</v>
      </c>
      <c r="AB26" s="385"/>
    </row>
    <row r="27" spans="2:28" s="161" customFormat="1" ht="15">
      <c r="B27" s="638"/>
      <c r="C27" s="30">
        <v>33</v>
      </c>
      <c r="D27" s="635" t="s">
        <v>29</v>
      </c>
      <c r="E27" s="32" t="s">
        <v>15</v>
      </c>
      <c r="F27" s="636">
        <v>30</v>
      </c>
      <c r="G27" s="637" t="s">
        <v>16</v>
      </c>
      <c r="H27" s="39">
        <f t="shared" si="0"/>
        <v>5.2569</v>
      </c>
      <c r="I27" s="40">
        <v>36599.97152777778</v>
      </c>
      <c r="J27" s="41">
        <v>36599.972916666666</v>
      </c>
      <c r="K27" s="42">
        <f t="shared" si="1"/>
        <v>0.03333333326736465</v>
      </c>
      <c r="L27" s="43">
        <f t="shared" si="2"/>
        <v>2</v>
      </c>
      <c r="M27" s="39" t="s">
        <v>112</v>
      </c>
      <c r="N27" s="39" t="str">
        <f t="shared" si="3"/>
        <v>NO</v>
      </c>
      <c r="O27" s="316">
        <v>40</v>
      </c>
      <c r="P27" s="39" t="s">
        <v>114</v>
      </c>
      <c r="Q27" s="639">
        <f t="shared" si="7"/>
        <v>30</v>
      </c>
      <c r="R27" s="640" t="str">
        <f t="shared" si="8"/>
        <v>--</v>
      </c>
      <c r="S27" s="640" t="str">
        <f t="shared" si="9"/>
        <v>--</v>
      </c>
      <c r="T27" s="641" t="str">
        <f t="shared" si="10"/>
        <v>--</v>
      </c>
      <c r="U27" s="642" t="str">
        <f t="shared" si="11"/>
        <v>--</v>
      </c>
      <c r="V27" s="643">
        <f t="shared" si="12"/>
        <v>63.0828</v>
      </c>
      <c r="W27" s="644">
        <f t="shared" si="13"/>
        <v>1.892484</v>
      </c>
      <c r="X27" s="645" t="str">
        <f t="shared" si="14"/>
        <v>--</v>
      </c>
      <c r="Y27" s="646" t="str">
        <f t="shared" si="4"/>
        <v>--</v>
      </c>
      <c r="Z27" s="39" t="str">
        <f t="shared" si="15"/>
        <v>SI</v>
      </c>
      <c r="AA27" s="52">
        <f t="shared" si="5"/>
        <v>64.975284</v>
      </c>
      <c r="AB27" s="385"/>
    </row>
    <row r="28" spans="2:28" s="161" customFormat="1" ht="15">
      <c r="B28" s="638"/>
      <c r="C28" s="30">
        <v>34</v>
      </c>
      <c r="D28" s="635" t="s">
        <v>25</v>
      </c>
      <c r="E28" s="32" t="s">
        <v>17</v>
      </c>
      <c r="F28" s="636">
        <v>30</v>
      </c>
      <c r="G28" s="637" t="s">
        <v>16</v>
      </c>
      <c r="H28" s="39">
        <f t="shared" si="0"/>
        <v>5.2569</v>
      </c>
      <c r="I28" s="40">
        <v>36601.294444444444</v>
      </c>
      <c r="J28" s="41">
        <v>36601.470138888886</v>
      </c>
      <c r="K28" s="42">
        <f t="shared" si="1"/>
        <v>4.21666666661622</v>
      </c>
      <c r="L28" s="43">
        <f t="shared" si="2"/>
        <v>253</v>
      </c>
      <c r="M28" s="39" t="s">
        <v>111</v>
      </c>
      <c r="N28" s="39" t="str">
        <f t="shared" si="3"/>
        <v>--</v>
      </c>
      <c r="O28" s="316" t="str">
        <f t="shared" si="6"/>
        <v>--</v>
      </c>
      <c r="P28" s="39" t="s">
        <v>113</v>
      </c>
      <c r="Q28" s="639">
        <f t="shared" si="7"/>
        <v>0.30000000000000004</v>
      </c>
      <c r="R28" s="640">
        <f t="shared" si="8"/>
        <v>6.6552354000000005</v>
      </c>
      <c r="S28" s="640" t="str">
        <f t="shared" si="9"/>
        <v>--</v>
      </c>
      <c r="T28" s="641" t="str">
        <f t="shared" si="10"/>
        <v>--</v>
      </c>
      <c r="U28" s="642" t="str">
        <f t="shared" si="11"/>
        <v>--</v>
      </c>
      <c r="V28" s="643" t="str">
        <f t="shared" si="12"/>
        <v>--</v>
      </c>
      <c r="W28" s="644" t="str">
        <f t="shared" si="13"/>
        <v>--</v>
      </c>
      <c r="X28" s="645" t="str">
        <f t="shared" si="14"/>
        <v>--</v>
      </c>
      <c r="Y28" s="646" t="str">
        <f t="shared" si="4"/>
        <v>--</v>
      </c>
      <c r="Z28" s="39" t="str">
        <f t="shared" si="15"/>
        <v>SI</v>
      </c>
      <c r="AA28" s="52">
        <f t="shared" si="5"/>
        <v>6.6552354000000005</v>
      </c>
      <c r="AB28" s="385"/>
    </row>
    <row r="29" spans="2:28" s="161" customFormat="1" ht="15">
      <c r="B29" s="638"/>
      <c r="C29" s="30">
        <v>35</v>
      </c>
      <c r="D29" s="635" t="s">
        <v>26</v>
      </c>
      <c r="E29" s="32" t="s">
        <v>15</v>
      </c>
      <c r="F29" s="636">
        <v>30</v>
      </c>
      <c r="G29" s="637" t="s">
        <v>16</v>
      </c>
      <c r="H29" s="39">
        <f t="shared" si="0"/>
        <v>5.2569</v>
      </c>
      <c r="I29" s="40">
        <v>36601.41875</v>
      </c>
      <c r="J29" s="41">
        <v>36601.43541666667</v>
      </c>
      <c r="K29" s="42">
        <f t="shared" si="1"/>
        <v>0.4000000000814907</v>
      </c>
      <c r="L29" s="43">
        <f t="shared" si="2"/>
        <v>24</v>
      </c>
      <c r="M29" s="39" t="s">
        <v>109</v>
      </c>
      <c r="N29" s="39" t="str">
        <f t="shared" si="3"/>
        <v>NO</v>
      </c>
      <c r="O29" s="316"/>
      <c r="P29" s="39" t="s">
        <v>114</v>
      </c>
      <c r="Q29" s="639">
        <f t="shared" si="7"/>
        <v>30</v>
      </c>
      <c r="R29" s="640" t="str">
        <f t="shared" si="8"/>
        <v>--</v>
      </c>
      <c r="S29" s="640" t="str">
        <f t="shared" si="9"/>
        <v>--</v>
      </c>
      <c r="T29" s="641">
        <f t="shared" si="10"/>
        <v>157.707</v>
      </c>
      <c r="U29" s="642">
        <f t="shared" si="11"/>
        <v>63.0828</v>
      </c>
      <c r="V29" s="643" t="str">
        <f t="shared" si="12"/>
        <v>--</v>
      </c>
      <c r="W29" s="644" t="str">
        <f t="shared" si="13"/>
        <v>--</v>
      </c>
      <c r="X29" s="645" t="str">
        <f t="shared" si="14"/>
        <v>--</v>
      </c>
      <c r="Y29" s="646" t="str">
        <f t="shared" si="4"/>
        <v>--</v>
      </c>
      <c r="Z29" s="39" t="str">
        <f t="shared" si="15"/>
        <v>SI</v>
      </c>
      <c r="AA29" s="52">
        <f t="shared" si="5"/>
        <v>220.78979999999999</v>
      </c>
      <c r="AB29" s="385"/>
    </row>
    <row r="30" spans="2:28" s="161" customFormat="1" ht="15">
      <c r="B30" s="638"/>
      <c r="C30" s="30">
        <v>36</v>
      </c>
      <c r="D30" s="635" t="s">
        <v>26</v>
      </c>
      <c r="E30" s="32" t="s">
        <v>15</v>
      </c>
      <c r="F30" s="636">
        <v>30</v>
      </c>
      <c r="G30" s="637" t="s">
        <v>16</v>
      </c>
      <c r="H30" s="39">
        <f t="shared" si="0"/>
        <v>5.2569</v>
      </c>
      <c r="I30" s="40">
        <v>36601.43541666667</v>
      </c>
      <c r="J30" s="41">
        <v>36606.791666666664</v>
      </c>
      <c r="K30" s="42">
        <f t="shared" si="1"/>
        <v>128.54999999993015</v>
      </c>
      <c r="L30" s="43">
        <f t="shared" si="2"/>
        <v>7713</v>
      </c>
      <c r="M30" s="39" t="s">
        <v>112</v>
      </c>
      <c r="N30" s="39" t="str">
        <f t="shared" si="3"/>
        <v>NO</v>
      </c>
      <c r="O30" s="316">
        <v>40</v>
      </c>
      <c r="P30" s="39" t="s">
        <v>113</v>
      </c>
      <c r="Q30" s="639">
        <f t="shared" si="7"/>
        <v>3</v>
      </c>
      <c r="R30" s="640" t="str">
        <f t="shared" si="8"/>
        <v>--</v>
      </c>
      <c r="S30" s="640" t="str">
        <f t="shared" si="9"/>
        <v>--</v>
      </c>
      <c r="T30" s="641" t="str">
        <f t="shared" si="10"/>
        <v>--</v>
      </c>
      <c r="U30" s="642" t="str">
        <f t="shared" si="11"/>
        <v>--</v>
      </c>
      <c r="V30" s="643">
        <f t="shared" si="12"/>
        <v>6.30828</v>
      </c>
      <c r="W30" s="644">
        <f t="shared" si="13"/>
        <v>810.929394</v>
      </c>
      <c r="X30" s="645" t="str">
        <f t="shared" si="14"/>
        <v>--</v>
      </c>
      <c r="Y30" s="646" t="str">
        <f t="shared" si="4"/>
        <v>--</v>
      </c>
      <c r="Z30" s="39" t="str">
        <f t="shared" si="15"/>
        <v>SI</v>
      </c>
      <c r="AA30" s="52">
        <f t="shared" si="5"/>
        <v>817.237674</v>
      </c>
      <c r="AB30" s="385"/>
    </row>
    <row r="31" spans="2:28" s="161" customFormat="1" ht="15">
      <c r="B31" s="638" t="s">
        <v>185</v>
      </c>
      <c r="C31" s="30" t="s">
        <v>189</v>
      </c>
      <c r="D31" s="635" t="s">
        <v>28</v>
      </c>
      <c r="E31" s="32" t="s">
        <v>20</v>
      </c>
      <c r="F31" s="636">
        <v>28</v>
      </c>
      <c r="G31" s="637" t="s">
        <v>16</v>
      </c>
      <c r="H31" s="39">
        <f t="shared" si="0"/>
        <v>4.90644</v>
      </c>
      <c r="I31" s="40">
        <v>36603.38055555556</v>
      </c>
      <c r="J31" s="41">
        <v>36603.384722222225</v>
      </c>
      <c r="K31" s="42">
        <f>IF(D31="","",(J31-I31)*24)</f>
        <v>0.09999999997671694</v>
      </c>
      <c r="L31" s="43">
        <f>IF(D31="","",ROUND((J31-I31)*24*60,0))</f>
        <v>6</v>
      </c>
      <c r="M31" s="39" t="s">
        <v>112</v>
      </c>
      <c r="N31" s="39" t="str">
        <f>IF(D31="","",IF(OR(M31="P",M31="RP"),"--","NO"))</f>
        <v>NO</v>
      </c>
      <c r="O31" s="316">
        <v>67.6</v>
      </c>
      <c r="P31" s="39" t="s">
        <v>113</v>
      </c>
      <c r="Q31" s="639">
        <f t="shared" si="7"/>
        <v>3</v>
      </c>
      <c r="R31" s="640" t="str">
        <f t="shared" si="8"/>
        <v>--</v>
      </c>
      <c r="S31" s="640" t="str">
        <f t="shared" si="9"/>
        <v>--</v>
      </c>
      <c r="T31" s="641" t="str">
        <f t="shared" si="10"/>
        <v>--</v>
      </c>
      <c r="U31" s="642" t="str">
        <f t="shared" si="11"/>
        <v>--</v>
      </c>
      <c r="V31" s="643">
        <f t="shared" si="12"/>
        <v>9.950260319999998</v>
      </c>
      <c r="W31" s="644">
        <f t="shared" si="13"/>
        <v>0.995026032</v>
      </c>
      <c r="X31" s="645" t="str">
        <f t="shared" si="14"/>
        <v>--</v>
      </c>
      <c r="Y31" s="646" t="str">
        <f t="shared" si="4"/>
        <v>--</v>
      </c>
      <c r="Z31" s="39" t="str">
        <f>IF(D31="","","SI")</f>
        <v>SI</v>
      </c>
      <c r="AA31" s="52">
        <f>IF(D31="","",SUM(R31:Y31)*IF(Z31="SI",1,2))</f>
        <v>10.945286351999998</v>
      </c>
      <c r="AB31" s="63"/>
    </row>
    <row r="32" spans="2:28" s="161" customFormat="1" ht="15">
      <c r="B32" s="638" t="s">
        <v>185</v>
      </c>
      <c r="C32" s="30" t="s">
        <v>190</v>
      </c>
      <c r="D32" s="635" t="s">
        <v>28</v>
      </c>
      <c r="E32" s="32" t="s">
        <v>20</v>
      </c>
      <c r="F32" s="636">
        <v>28</v>
      </c>
      <c r="G32" s="637" t="s">
        <v>16</v>
      </c>
      <c r="H32" s="39">
        <f t="shared" si="0"/>
        <v>4.90644</v>
      </c>
      <c r="I32" s="40">
        <v>36603.384722222225</v>
      </c>
      <c r="J32" s="41">
        <v>36614.96597222222</v>
      </c>
      <c r="K32" s="42">
        <f>IF(D32="","",(J32-I32)*24)</f>
        <v>277.9499999998952</v>
      </c>
      <c r="L32" s="43">
        <f>IF(D32="","",ROUND((J32-I32)*24*60,0))</f>
        <v>16677</v>
      </c>
      <c r="M32" s="39" t="s">
        <v>112</v>
      </c>
      <c r="N32" s="39" t="str">
        <f>IF(D32="","",IF(OR(M32="P",M32="RP"),"--","NO"))</f>
        <v>NO</v>
      </c>
      <c r="O32" s="316">
        <v>46</v>
      </c>
      <c r="P32" s="39" t="s">
        <v>113</v>
      </c>
      <c r="Q32" s="639">
        <f t="shared" si="7"/>
        <v>3</v>
      </c>
      <c r="R32" s="640" t="str">
        <f t="shared" si="8"/>
        <v>--</v>
      </c>
      <c r="S32" s="640" t="str">
        <f t="shared" si="9"/>
        <v>--</v>
      </c>
      <c r="T32" s="641" t="str">
        <f t="shared" si="10"/>
        <v>--</v>
      </c>
      <c r="U32" s="642" t="str">
        <f t="shared" si="11"/>
        <v>--</v>
      </c>
      <c r="V32" s="643">
        <f t="shared" si="12"/>
        <v>6.7708872</v>
      </c>
      <c r="W32" s="644">
        <f t="shared" si="13"/>
        <v>1881.96809724</v>
      </c>
      <c r="X32" s="645" t="str">
        <f t="shared" si="14"/>
        <v>--</v>
      </c>
      <c r="Y32" s="646" t="str">
        <f t="shared" si="4"/>
        <v>--</v>
      </c>
      <c r="Z32" s="39" t="str">
        <f>IF(D32="","","SI")</f>
        <v>SI</v>
      </c>
      <c r="AA32" s="52">
        <f>IF(D32="","",SUM(R32:Y32)*IF(Z32="SI",1,2))</f>
        <v>1888.73898444</v>
      </c>
      <c r="AB32" s="63"/>
    </row>
    <row r="33" spans="2:28" s="161" customFormat="1" ht="15">
      <c r="B33" s="638"/>
      <c r="C33" s="30">
        <v>37</v>
      </c>
      <c r="D33" s="635" t="s">
        <v>18</v>
      </c>
      <c r="E33" s="32" t="s">
        <v>17</v>
      </c>
      <c r="F33" s="636">
        <v>15</v>
      </c>
      <c r="G33" s="637" t="s">
        <v>16</v>
      </c>
      <c r="H33" s="39">
        <f t="shared" si="0"/>
        <v>2.62845</v>
      </c>
      <c r="I33" s="40">
        <v>36607.56458333333</v>
      </c>
      <c r="J33" s="41">
        <v>36607.586805555555</v>
      </c>
      <c r="K33" s="42">
        <f t="shared" si="1"/>
        <v>0.5333333333255723</v>
      </c>
      <c r="L33" s="43">
        <f t="shared" si="2"/>
        <v>32</v>
      </c>
      <c r="M33" s="39" t="s">
        <v>115</v>
      </c>
      <c r="N33" s="39" t="str">
        <f t="shared" si="3"/>
        <v>--</v>
      </c>
      <c r="O33" s="316">
        <v>60</v>
      </c>
      <c r="P33" s="39" t="s">
        <v>114</v>
      </c>
      <c r="Q33" s="639">
        <f t="shared" si="7"/>
        <v>3</v>
      </c>
      <c r="R33" s="640" t="str">
        <f t="shared" si="8"/>
        <v>--</v>
      </c>
      <c r="S33" s="640">
        <f t="shared" si="9"/>
        <v>2.5075413</v>
      </c>
      <c r="T33" s="641" t="str">
        <f t="shared" si="10"/>
        <v>--</v>
      </c>
      <c r="U33" s="642" t="str">
        <f t="shared" si="11"/>
        <v>--</v>
      </c>
      <c r="V33" s="643" t="str">
        <f t="shared" si="12"/>
        <v>--</v>
      </c>
      <c r="W33" s="644" t="str">
        <f t="shared" si="13"/>
        <v>--</v>
      </c>
      <c r="X33" s="645" t="str">
        <f t="shared" si="14"/>
        <v>--</v>
      </c>
      <c r="Y33" s="646" t="str">
        <f t="shared" si="4"/>
        <v>--</v>
      </c>
      <c r="Z33" s="39" t="str">
        <f t="shared" si="15"/>
        <v>SI</v>
      </c>
      <c r="AA33" s="52">
        <f t="shared" si="5"/>
        <v>2.5075413</v>
      </c>
      <c r="AB33" s="385"/>
    </row>
    <row r="34" spans="2:28" s="161" customFormat="1" ht="15">
      <c r="B34" s="638"/>
      <c r="C34" s="30">
        <v>38</v>
      </c>
      <c r="D34" s="635" t="s">
        <v>18</v>
      </c>
      <c r="E34" s="32" t="s">
        <v>15</v>
      </c>
      <c r="F34" s="636">
        <v>30</v>
      </c>
      <c r="G34" s="637" t="s">
        <v>16</v>
      </c>
      <c r="H34" s="39">
        <f t="shared" si="0"/>
        <v>5.2569</v>
      </c>
      <c r="I34" s="40">
        <v>36607.56458333333</v>
      </c>
      <c r="J34" s="41">
        <v>36607.586805555555</v>
      </c>
      <c r="K34" s="42">
        <f t="shared" si="1"/>
        <v>0.5333333333255723</v>
      </c>
      <c r="L34" s="43">
        <f t="shared" si="2"/>
        <v>32</v>
      </c>
      <c r="M34" s="39" t="s">
        <v>115</v>
      </c>
      <c r="N34" s="39" t="str">
        <f t="shared" si="3"/>
        <v>--</v>
      </c>
      <c r="O34" s="316">
        <v>40</v>
      </c>
      <c r="P34" s="39" t="s">
        <v>114</v>
      </c>
      <c r="Q34" s="639">
        <f t="shared" si="7"/>
        <v>3</v>
      </c>
      <c r="R34" s="640" t="str">
        <f t="shared" si="8"/>
        <v>--</v>
      </c>
      <c r="S34" s="640">
        <f t="shared" si="9"/>
        <v>3.3433884000000003</v>
      </c>
      <c r="T34" s="641" t="str">
        <f t="shared" si="10"/>
        <v>--</v>
      </c>
      <c r="U34" s="642" t="str">
        <f t="shared" si="11"/>
        <v>--</v>
      </c>
      <c r="V34" s="643" t="str">
        <f t="shared" si="12"/>
        <v>--</v>
      </c>
      <c r="W34" s="644" t="str">
        <f t="shared" si="13"/>
        <v>--</v>
      </c>
      <c r="X34" s="645" t="str">
        <f t="shared" si="14"/>
        <v>--</v>
      </c>
      <c r="Y34" s="646" t="str">
        <f t="shared" si="4"/>
        <v>--</v>
      </c>
      <c r="Z34" s="39" t="str">
        <f t="shared" si="15"/>
        <v>SI</v>
      </c>
      <c r="AA34" s="52">
        <f t="shared" si="5"/>
        <v>3.3433884000000003</v>
      </c>
      <c r="AB34" s="385"/>
    </row>
    <row r="35" spans="2:28" s="161" customFormat="1" ht="15">
      <c r="B35" s="638"/>
      <c r="C35" s="30">
        <v>39</v>
      </c>
      <c r="D35" s="635" t="s">
        <v>24</v>
      </c>
      <c r="E35" s="32" t="s">
        <v>19</v>
      </c>
      <c r="F35" s="636">
        <v>24</v>
      </c>
      <c r="G35" s="637" t="s">
        <v>21</v>
      </c>
      <c r="H35" s="39">
        <f t="shared" si="0"/>
        <v>4.205519999999999</v>
      </c>
      <c r="I35" s="40">
        <v>36610.55069444444</v>
      </c>
      <c r="J35" s="41">
        <v>36610.58541666667</v>
      </c>
      <c r="K35" s="42">
        <f t="shared" si="1"/>
        <v>0.8333333334303461</v>
      </c>
      <c r="L35" s="43">
        <f t="shared" si="2"/>
        <v>50</v>
      </c>
      <c r="M35" s="39" t="s">
        <v>111</v>
      </c>
      <c r="N35" s="39" t="str">
        <f t="shared" si="3"/>
        <v>--</v>
      </c>
      <c r="O35" s="316" t="str">
        <f t="shared" si="6"/>
        <v>--</v>
      </c>
      <c r="P35" s="39" t="s">
        <v>113</v>
      </c>
      <c r="Q35" s="639">
        <f t="shared" si="7"/>
        <v>0.30000000000000004</v>
      </c>
      <c r="R35" s="640">
        <f t="shared" si="8"/>
        <v>1.0471744799999998</v>
      </c>
      <c r="S35" s="640" t="str">
        <f t="shared" si="9"/>
        <v>--</v>
      </c>
      <c r="T35" s="641" t="str">
        <f t="shared" si="10"/>
        <v>--</v>
      </c>
      <c r="U35" s="642" t="str">
        <f t="shared" si="11"/>
        <v>--</v>
      </c>
      <c r="V35" s="643" t="str">
        <f t="shared" si="12"/>
        <v>--</v>
      </c>
      <c r="W35" s="644" t="str">
        <f t="shared" si="13"/>
        <v>--</v>
      </c>
      <c r="X35" s="645" t="str">
        <f t="shared" si="14"/>
        <v>--</v>
      </c>
      <c r="Y35" s="646" t="str">
        <f t="shared" si="4"/>
        <v>--</v>
      </c>
      <c r="Z35" s="39" t="str">
        <f t="shared" si="15"/>
        <v>SI</v>
      </c>
      <c r="AA35" s="52">
        <f t="shared" si="5"/>
        <v>1.0471744799999998</v>
      </c>
      <c r="AB35" s="385"/>
    </row>
    <row r="36" spans="2:28" s="161" customFormat="1" ht="15">
      <c r="B36" s="638"/>
      <c r="C36" s="30">
        <v>40</v>
      </c>
      <c r="D36" s="635" t="s">
        <v>27</v>
      </c>
      <c r="E36" s="32" t="s">
        <v>17</v>
      </c>
      <c r="F36" s="636">
        <v>15</v>
      </c>
      <c r="G36" s="637" t="s">
        <v>16</v>
      </c>
      <c r="H36" s="39">
        <f t="shared" si="0"/>
        <v>2.62845</v>
      </c>
      <c r="I36" s="40">
        <v>36611.35208333333</v>
      </c>
      <c r="J36" s="41">
        <v>36611.58611111111</v>
      </c>
      <c r="K36" s="42">
        <f t="shared" si="1"/>
        <v>5.616666666639503</v>
      </c>
      <c r="L36" s="43">
        <f t="shared" si="2"/>
        <v>337</v>
      </c>
      <c r="M36" s="39" t="s">
        <v>111</v>
      </c>
      <c r="N36" s="39" t="str">
        <f t="shared" si="3"/>
        <v>--</v>
      </c>
      <c r="O36" s="316" t="str">
        <f t="shared" si="6"/>
        <v>--</v>
      </c>
      <c r="P36" s="39" t="s">
        <v>113</v>
      </c>
      <c r="Q36" s="639">
        <f t="shared" si="7"/>
        <v>0.30000000000000004</v>
      </c>
      <c r="R36" s="640">
        <f t="shared" si="8"/>
        <v>4.4315667</v>
      </c>
      <c r="S36" s="640" t="str">
        <f t="shared" si="9"/>
        <v>--</v>
      </c>
      <c r="T36" s="641" t="str">
        <f t="shared" si="10"/>
        <v>--</v>
      </c>
      <c r="U36" s="642" t="str">
        <f t="shared" si="11"/>
        <v>--</v>
      </c>
      <c r="V36" s="643" t="str">
        <f t="shared" si="12"/>
        <v>--</v>
      </c>
      <c r="W36" s="644" t="str">
        <f t="shared" si="13"/>
        <v>--</v>
      </c>
      <c r="X36" s="645" t="str">
        <f t="shared" si="14"/>
        <v>--</v>
      </c>
      <c r="Y36" s="646" t="str">
        <f t="shared" si="4"/>
        <v>--</v>
      </c>
      <c r="Z36" s="39" t="str">
        <f t="shared" si="15"/>
        <v>SI</v>
      </c>
      <c r="AA36" s="52">
        <f t="shared" si="5"/>
        <v>4.4315667</v>
      </c>
      <c r="AB36" s="385"/>
    </row>
    <row r="37" spans="2:28" s="161" customFormat="1" ht="15">
      <c r="B37" s="638"/>
      <c r="C37" s="30">
        <v>41</v>
      </c>
      <c r="D37" s="635" t="s">
        <v>25</v>
      </c>
      <c r="E37" s="32" t="s">
        <v>17</v>
      </c>
      <c r="F37" s="636">
        <v>30</v>
      </c>
      <c r="G37" s="637" t="s">
        <v>16</v>
      </c>
      <c r="H37" s="39">
        <f t="shared" si="0"/>
        <v>5.2569</v>
      </c>
      <c r="I37" s="41">
        <v>36614.334027777775</v>
      </c>
      <c r="J37" s="41">
        <v>36614.364583333336</v>
      </c>
      <c r="K37" s="42">
        <f t="shared" si="1"/>
        <v>0.7333333334536292</v>
      </c>
      <c r="L37" s="43">
        <f t="shared" si="2"/>
        <v>44</v>
      </c>
      <c r="M37" s="39" t="s">
        <v>111</v>
      </c>
      <c r="N37" s="39" t="str">
        <f t="shared" si="3"/>
        <v>--</v>
      </c>
      <c r="O37" s="316" t="str">
        <f t="shared" si="6"/>
        <v>--</v>
      </c>
      <c r="P37" s="39" t="s">
        <v>113</v>
      </c>
      <c r="Q37" s="639">
        <f t="shared" si="7"/>
        <v>0.30000000000000004</v>
      </c>
      <c r="R37" s="640">
        <f t="shared" si="8"/>
        <v>1.1512611000000001</v>
      </c>
      <c r="S37" s="640" t="str">
        <f t="shared" si="9"/>
        <v>--</v>
      </c>
      <c r="T37" s="641" t="str">
        <f t="shared" si="10"/>
        <v>--</v>
      </c>
      <c r="U37" s="642" t="str">
        <f t="shared" si="11"/>
        <v>--</v>
      </c>
      <c r="V37" s="643" t="str">
        <f t="shared" si="12"/>
        <v>--</v>
      </c>
      <c r="W37" s="644" t="str">
        <f t="shared" si="13"/>
        <v>--</v>
      </c>
      <c r="X37" s="645" t="str">
        <f t="shared" si="14"/>
        <v>--</v>
      </c>
      <c r="Y37" s="646" t="str">
        <f t="shared" si="4"/>
        <v>--</v>
      </c>
      <c r="Z37" s="39" t="str">
        <f t="shared" si="15"/>
        <v>SI</v>
      </c>
      <c r="AA37" s="52">
        <f t="shared" si="5"/>
        <v>1.1512611000000001</v>
      </c>
      <c r="AB37" s="63"/>
    </row>
    <row r="38" spans="2:28" s="161" customFormat="1" ht="15">
      <c r="B38" s="638" t="s">
        <v>184</v>
      </c>
      <c r="C38" s="30">
        <v>42</v>
      </c>
      <c r="D38" s="635" t="s">
        <v>28</v>
      </c>
      <c r="E38" s="32" t="s">
        <v>20</v>
      </c>
      <c r="F38" s="636">
        <v>28</v>
      </c>
      <c r="G38" s="637" t="s">
        <v>16</v>
      </c>
      <c r="H38" s="39">
        <f t="shared" si="0"/>
        <v>4.90644</v>
      </c>
      <c r="I38" s="40">
        <v>36614.96597222222</v>
      </c>
      <c r="J38" s="41">
        <v>36614.967361111114</v>
      </c>
      <c r="K38" s="42">
        <f t="shared" si="1"/>
        <v>0.033333333441987634</v>
      </c>
      <c r="L38" s="43">
        <f t="shared" si="2"/>
        <v>2</v>
      </c>
      <c r="M38" s="39" t="s">
        <v>112</v>
      </c>
      <c r="N38" s="39" t="str">
        <f t="shared" si="3"/>
        <v>NO</v>
      </c>
      <c r="O38" s="316">
        <v>67.6</v>
      </c>
      <c r="P38" s="39" t="s">
        <v>113</v>
      </c>
      <c r="Q38" s="639">
        <f t="shared" si="7"/>
        <v>3</v>
      </c>
      <c r="R38" s="640" t="str">
        <f t="shared" si="8"/>
        <v>--</v>
      </c>
      <c r="S38" s="640" t="str">
        <f t="shared" si="9"/>
        <v>--</v>
      </c>
      <c r="T38" s="641" t="str">
        <f t="shared" si="10"/>
        <v>--</v>
      </c>
      <c r="U38" s="642" t="str">
        <f t="shared" si="11"/>
        <v>--</v>
      </c>
      <c r="V38" s="643">
        <f t="shared" si="12"/>
        <v>9.950260319999998</v>
      </c>
      <c r="W38" s="644">
        <f t="shared" si="13"/>
        <v>0.29850780959999995</v>
      </c>
      <c r="X38" s="645" t="str">
        <f t="shared" si="14"/>
        <v>--</v>
      </c>
      <c r="Y38" s="646" t="str">
        <f t="shared" si="4"/>
        <v>--</v>
      </c>
      <c r="Z38" s="39" t="str">
        <f t="shared" si="15"/>
        <v>SI</v>
      </c>
      <c r="AA38" s="52">
        <f t="shared" si="5"/>
        <v>10.248768129599998</v>
      </c>
      <c r="AB38" s="63"/>
    </row>
    <row r="39" spans="2:28" s="161" customFormat="1" ht="15">
      <c r="B39" s="638" t="s">
        <v>185</v>
      </c>
      <c r="C39" s="30" t="s">
        <v>191</v>
      </c>
      <c r="D39" s="635" t="s">
        <v>28</v>
      </c>
      <c r="E39" s="32" t="s">
        <v>20</v>
      </c>
      <c r="F39" s="636">
        <v>28</v>
      </c>
      <c r="G39" s="637" t="s">
        <v>16</v>
      </c>
      <c r="H39" s="39">
        <f t="shared" si="0"/>
        <v>4.90644</v>
      </c>
      <c r="I39" s="40">
        <v>36614.967361111114</v>
      </c>
      <c r="J39" s="41">
        <v>36615.006944444445</v>
      </c>
      <c r="K39" s="42">
        <f>IF(D39="","",(J39-I39)*24)</f>
        <v>0.9499999999534339</v>
      </c>
      <c r="L39" s="43">
        <f>IF(D39="","",ROUND((J39-I39)*24*60,0))</f>
        <v>57</v>
      </c>
      <c r="M39" s="39" t="s">
        <v>188</v>
      </c>
      <c r="N39" s="39" t="str">
        <f>IF(D39="","",IF(OR(M39="P",M39="RP"),"--","NO"))</f>
        <v>NO</v>
      </c>
      <c r="O39" s="316">
        <v>46</v>
      </c>
      <c r="P39" s="39" t="s">
        <v>113</v>
      </c>
      <c r="Q39" s="639">
        <f t="shared" si="7"/>
        <v>3</v>
      </c>
      <c r="R39" s="640" t="str">
        <f t="shared" si="8"/>
        <v>--</v>
      </c>
      <c r="S39" s="640" t="str">
        <f t="shared" si="9"/>
        <v>--</v>
      </c>
      <c r="T39" s="641" t="str">
        <f t="shared" si="10"/>
        <v>--</v>
      </c>
      <c r="U39" s="642" t="str">
        <f t="shared" si="11"/>
        <v>--</v>
      </c>
      <c r="V39" s="643" t="str">
        <f t="shared" si="12"/>
        <v>--</v>
      </c>
      <c r="W39" s="644" t="str">
        <f t="shared" si="13"/>
        <v>--</v>
      </c>
      <c r="X39" s="645" t="str">
        <f t="shared" si="14"/>
        <v>--</v>
      </c>
      <c r="Y39" s="646">
        <f t="shared" si="4"/>
        <v>6.432342839999999</v>
      </c>
      <c r="Z39" s="39" t="str">
        <f>IF(D39="","","SI")</f>
        <v>SI</v>
      </c>
      <c r="AA39" s="52">
        <f>IF(D39="","",SUM(R39:Y39)*IF(Z39="SI",1,2))</f>
        <v>6.432342839999999</v>
      </c>
      <c r="AB39" s="63"/>
    </row>
    <row r="40" spans="2:28" s="161" customFormat="1" ht="15">
      <c r="B40" s="638" t="s">
        <v>184</v>
      </c>
      <c r="C40" s="30">
        <v>43</v>
      </c>
      <c r="D40" s="635" t="s">
        <v>28</v>
      </c>
      <c r="E40" s="32" t="s">
        <v>20</v>
      </c>
      <c r="F40" s="636">
        <v>28</v>
      </c>
      <c r="G40" s="637" t="s">
        <v>16</v>
      </c>
      <c r="H40" s="39">
        <f t="shared" si="0"/>
        <v>4.90644</v>
      </c>
      <c r="I40" s="40">
        <v>36615.006944444445</v>
      </c>
      <c r="J40" s="41">
        <v>36615.00833333333</v>
      </c>
      <c r="K40" s="42">
        <f t="shared" si="1"/>
        <v>0.03333333326736465</v>
      </c>
      <c r="L40" s="43">
        <f t="shared" si="2"/>
        <v>2</v>
      </c>
      <c r="M40" s="39" t="s">
        <v>112</v>
      </c>
      <c r="N40" s="39" t="str">
        <f t="shared" si="3"/>
        <v>NO</v>
      </c>
      <c r="O40" s="316">
        <v>67.6</v>
      </c>
      <c r="P40" s="39" t="s">
        <v>113</v>
      </c>
      <c r="Q40" s="639">
        <f t="shared" si="7"/>
        <v>3</v>
      </c>
      <c r="R40" s="640" t="str">
        <f t="shared" si="8"/>
        <v>--</v>
      </c>
      <c r="S40" s="640" t="str">
        <f t="shared" si="9"/>
        <v>--</v>
      </c>
      <c r="T40" s="641" t="str">
        <f t="shared" si="10"/>
        <v>--</v>
      </c>
      <c r="U40" s="642" t="str">
        <f t="shared" si="11"/>
        <v>--</v>
      </c>
      <c r="V40" s="643">
        <f t="shared" si="12"/>
        <v>9.950260319999998</v>
      </c>
      <c r="W40" s="644">
        <f t="shared" si="13"/>
        <v>0.29850780959999995</v>
      </c>
      <c r="X40" s="645" t="str">
        <f t="shared" si="14"/>
        <v>--</v>
      </c>
      <c r="Y40" s="646" t="str">
        <f t="shared" si="4"/>
        <v>--</v>
      </c>
      <c r="Z40" s="39" t="str">
        <f t="shared" si="15"/>
        <v>SI</v>
      </c>
      <c r="AA40" s="52">
        <f t="shared" si="5"/>
        <v>10.248768129599998</v>
      </c>
      <c r="AB40" s="63"/>
    </row>
    <row r="41" spans="2:28" s="161" customFormat="1" ht="15">
      <c r="B41" s="638" t="s">
        <v>185</v>
      </c>
      <c r="C41" s="30" t="s">
        <v>192</v>
      </c>
      <c r="D41" s="635" t="s">
        <v>28</v>
      </c>
      <c r="E41" s="32" t="s">
        <v>20</v>
      </c>
      <c r="F41" s="636">
        <v>28</v>
      </c>
      <c r="G41" s="637" t="s">
        <v>16</v>
      </c>
      <c r="H41" s="39">
        <f t="shared" si="0"/>
        <v>4.90644</v>
      </c>
      <c r="I41" s="41">
        <v>36615.00833333333</v>
      </c>
      <c r="J41" s="41">
        <v>36616.99998842592</v>
      </c>
      <c r="K41" s="42">
        <f>IF(D41="","",(J41-I41)*24)</f>
        <v>47.799722222203854</v>
      </c>
      <c r="L41" s="43">
        <f>IF(D41="","",ROUND((J41-I41)*24*60,0))</f>
        <v>2868</v>
      </c>
      <c r="M41" s="39" t="s">
        <v>188</v>
      </c>
      <c r="N41" s="39" t="str">
        <f>IF(D41="","",IF(OR(M41="P",M41="RP"),"--","NO"))</f>
        <v>NO</v>
      </c>
      <c r="O41" s="316">
        <v>46</v>
      </c>
      <c r="P41" s="39" t="s">
        <v>113</v>
      </c>
      <c r="Q41" s="639">
        <f t="shared" si="7"/>
        <v>3</v>
      </c>
      <c r="R41" s="640" t="str">
        <f t="shared" si="8"/>
        <v>--</v>
      </c>
      <c r="S41" s="640" t="str">
        <f t="shared" si="9"/>
        <v>--</v>
      </c>
      <c r="T41" s="641" t="str">
        <f t="shared" si="10"/>
        <v>--</v>
      </c>
      <c r="U41" s="642" t="str">
        <f t="shared" si="11"/>
        <v>--</v>
      </c>
      <c r="V41" s="643" t="str">
        <f t="shared" si="12"/>
        <v>--</v>
      </c>
      <c r="W41" s="644" t="str">
        <f t="shared" si="13"/>
        <v>--</v>
      </c>
      <c r="X41" s="645" t="str">
        <f t="shared" si="14"/>
        <v>--</v>
      </c>
      <c r="Y41" s="646">
        <f t="shared" si="4"/>
        <v>323.64840816</v>
      </c>
      <c r="Z41" s="39" t="str">
        <f>IF(D41="","","SI")</f>
        <v>SI</v>
      </c>
      <c r="AA41" s="52">
        <f>IF(D41="","",SUM(R41:Y41)*IF(Z41="SI",1,2))</f>
        <v>323.64840816</v>
      </c>
      <c r="AB41" s="63"/>
    </row>
    <row r="42" spans="2:28" s="161" customFormat="1" ht="15">
      <c r="B42" s="166"/>
      <c r="C42" s="30">
        <v>44</v>
      </c>
      <c r="D42" s="635" t="s">
        <v>25</v>
      </c>
      <c r="E42" s="32" t="s">
        <v>15</v>
      </c>
      <c r="F42" s="636">
        <v>30</v>
      </c>
      <c r="G42" s="637" t="s">
        <v>16</v>
      </c>
      <c r="H42" s="39">
        <f t="shared" si="0"/>
        <v>5.2569</v>
      </c>
      <c r="I42" s="40">
        <v>36616.20625</v>
      </c>
      <c r="J42" s="41">
        <v>36616.231944444444</v>
      </c>
      <c r="K42" s="42">
        <f t="shared" si="1"/>
        <v>0.6166666665812954</v>
      </c>
      <c r="L42" s="43">
        <f t="shared" si="2"/>
        <v>37</v>
      </c>
      <c r="M42" s="39" t="s">
        <v>115</v>
      </c>
      <c r="N42" s="39" t="str">
        <f t="shared" si="3"/>
        <v>--</v>
      </c>
      <c r="O42" s="316">
        <v>60</v>
      </c>
      <c r="P42" s="39" t="s">
        <v>113</v>
      </c>
      <c r="Q42" s="639">
        <f t="shared" si="7"/>
        <v>0.30000000000000004</v>
      </c>
      <c r="R42" s="640" t="str">
        <f t="shared" si="8"/>
        <v>--</v>
      </c>
      <c r="S42" s="640">
        <f t="shared" si="9"/>
        <v>0.5866700400000001</v>
      </c>
      <c r="T42" s="641" t="str">
        <f t="shared" si="10"/>
        <v>--</v>
      </c>
      <c r="U42" s="642" t="str">
        <f t="shared" si="11"/>
        <v>--</v>
      </c>
      <c r="V42" s="643" t="str">
        <f t="shared" si="12"/>
        <v>--</v>
      </c>
      <c r="W42" s="644" t="str">
        <f t="shared" si="13"/>
        <v>--</v>
      </c>
      <c r="X42" s="645" t="str">
        <f t="shared" si="14"/>
        <v>--</v>
      </c>
      <c r="Y42" s="646" t="str">
        <f t="shared" si="4"/>
        <v>--</v>
      </c>
      <c r="Z42" s="39" t="str">
        <f t="shared" si="15"/>
        <v>SI</v>
      </c>
      <c r="AA42" s="52">
        <f t="shared" si="5"/>
        <v>0.5866700400000001</v>
      </c>
      <c r="AB42" s="63"/>
    </row>
    <row r="43" spans="2:28" s="161" customFormat="1" ht="15">
      <c r="B43" s="166"/>
      <c r="C43" s="30"/>
      <c r="D43" s="635"/>
      <c r="E43" s="32"/>
      <c r="F43" s="636"/>
      <c r="G43" s="637"/>
      <c r="H43" s="39">
        <f>F43*$G$18*$K$18</f>
        <v>0</v>
      </c>
      <c r="I43" s="40"/>
      <c r="J43" s="41"/>
      <c r="K43" s="42">
        <f>IF(D43="","",(J43-I43)*24)</f>
      </c>
      <c r="L43" s="43">
        <f>IF(D43="","",ROUND((J43-I43)*24*60,0))</f>
      </c>
      <c r="M43" s="39"/>
      <c r="N43" s="39">
        <f>IF(D43="","",IF(OR(M43="P",M43="RP"),"--","NO"))</f>
      </c>
      <c r="O43" s="316"/>
      <c r="P43" s="39"/>
      <c r="Q43" s="639">
        <f>$G$19*IF(P43="SI",1,0.1)*IF(OR(M43="P",M43="RP"),0.1,1)</f>
        <v>3</v>
      </c>
      <c r="R43" s="640" t="str">
        <f>IF(M43="P",H43*Q43*ROUND(L43/60,2),"--")</f>
        <v>--</v>
      </c>
      <c r="S43" s="640" t="str">
        <f>IF(M43="RP",H43*Q43*O43/100*ROUND(L43/60,2),"--")</f>
        <v>--</v>
      </c>
      <c r="T43" s="641" t="str">
        <f>IF(AND(M43="F",N43="NO"),H43*Q43,"--")</f>
        <v>--</v>
      </c>
      <c r="U43" s="642" t="str">
        <f>IF(M43="F",H43*Q43*ROUND(L43/60,2),"--")</f>
        <v>--</v>
      </c>
      <c r="V43" s="643" t="str">
        <f>IF(AND(M43="R",N43="NO"),H43*Q43*O43/100,"--")</f>
        <v>--</v>
      </c>
      <c r="W43" s="644" t="str">
        <f>IF(M43="R",H43*Q43*ROUND(L43/60,2)*O43/100,"--")</f>
        <v>--</v>
      </c>
      <c r="X43" s="645" t="str">
        <f>IF(M43="RF",H43*Q43*ROUND(L43/60,2),"--")</f>
        <v>--</v>
      </c>
      <c r="Y43" s="646" t="str">
        <f>IF(M43="RR",H43*Q43*ROUND(L43/60,2)*O43/100,"--")</f>
        <v>--</v>
      </c>
      <c r="Z43" s="39">
        <f>IF(D43="","","SI")</f>
      </c>
      <c r="AA43" s="52">
        <f>IF(D43="","",SUM(R43:Y43)*IF(Z43="SI",1,2))</f>
      </c>
      <c r="AB43" s="63"/>
    </row>
    <row r="44" spans="1:28" s="9" customFormat="1" ht="15.75" thickBot="1">
      <c r="A44" s="161"/>
      <c r="B44" s="166"/>
      <c r="C44" s="46"/>
      <c r="D44" s="46"/>
      <c r="E44" s="46"/>
      <c r="F44" s="46"/>
      <c r="G44" s="46"/>
      <c r="H44" s="250"/>
      <c r="I44" s="46"/>
      <c r="J44" s="46"/>
      <c r="K44" s="46"/>
      <c r="L44" s="46"/>
      <c r="M44" s="46"/>
      <c r="N44" s="46"/>
      <c r="O44" s="46"/>
      <c r="P44" s="46"/>
      <c r="Q44" s="312"/>
      <c r="R44" s="322"/>
      <c r="S44" s="328"/>
      <c r="T44" s="331"/>
      <c r="U44" s="332"/>
      <c r="V44" s="346"/>
      <c r="W44" s="347"/>
      <c r="X44" s="353"/>
      <c r="Y44" s="359"/>
      <c r="Z44" s="46"/>
      <c r="AA44" s="253"/>
      <c r="AB44" s="63"/>
    </row>
    <row r="45" spans="1:28" s="9" customFormat="1" ht="17.25" thickBot="1" thickTop="1">
      <c r="A45" s="161"/>
      <c r="B45" s="166"/>
      <c r="C45" s="232" t="s">
        <v>76</v>
      </c>
      <c r="D45" s="233" t="s">
        <v>77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323">
        <f aca="true" t="shared" si="16" ref="R45:Y45">SUM(R22:R44)</f>
        <v>92.642611545</v>
      </c>
      <c r="S45" s="329">
        <f t="shared" si="16"/>
        <v>6.4375997400000005</v>
      </c>
      <c r="T45" s="333">
        <f t="shared" si="16"/>
        <v>315.414</v>
      </c>
      <c r="U45" s="333">
        <f t="shared" si="16"/>
        <v>840.57831</v>
      </c>
      <c r="V45" s="348">
        <f t="shared" si="16"/>
        <v>106.01274816</v>
      </c>
      <c r="W45" s="348">
        <f t="shared" si="16"/>
        <v>2696.3820168912</v>
      </c>
      <c r="X45" s="354">
        <f t="shared" si="16"/>
        <v>0</v>
      </c>
      <c r="Y45" s="360">
        <f t="shared" si="16"/>
        <v>3154.420928736</v>
      </c>
      <c r="Z45" s="254"/>
      <c r="AA45" s="399">
        <f>ROUND(SUM(AA22:AA44),2)</f>
        <v>7211.89</v>
      </c>
      <c r="AB45" s="63"/>
    </row>
    <row r="46" spans="1:28" s="9" customFormat="1" ht="13.5" thickTop="1">
      <c r="A46" s="161"/>
      <c r="B46" s="166"/>
      <c r="C46" s="234"/>
      <c r="D46" s="235" t="s">
        <v>78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63"/>
    </row>
    <row r="47" spans="1:28" s="9" customFormat="1" ht="12.75">
      <c r="A47" s="161"/>
      <c r="B47" s="166"/>
      <c r="C47" s="234"/>
      <c r="D47" s="235" t="s">
        <v>186</v>
      </c>
      <c r="E47" s="47"/>
      <c r="G47" s="47"/>
      <c r="H47" s="47"/>
      <c r="I47" s="235" t="s">
        <v>187</v>
      </c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63"/>
    </row>
    <row r="48" spans="1:28" s="9" customFormat="1" ht="13.5" thickBot="1">
      <c r="A48" s="161"/>
      <c r="B48" s="175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7"/>
    </row>
    <row r="49" spans="1:28" ht="16.5" customHeight="1" thickTop="1">
      <c r="A49" s="3"/>
      <c r="B49" s="79" t="s">
        <v>193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2"/>
    </row>
    <row r="50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AB47"/>
  <sheetViews>
    <sheetView zoomScale="75" zoomScaleNormal="75" workbookViewId="0" topLeftCell="A1">
      <selection activeCell="C24" sqref="C24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25.7109375" style="0" customWidth="1"/>
    <col min="5" max="5" width="15.7109375" style="0" customWidth="1"/>
    <col min="6" max="6" width="7.28125" style="0" customWidth="1"/>
    <col min="7" max="7" width="12.7109375" style="0" customWidth="1"/>
    <col min="8" max="8" width="13.28125" style="0" hidden="1" customWidth="1"/>
    <col min="9" max="10" width="15.7109375" style="0" customWidth="1"/>
    <col min="11" max="13" width="9.7109375" style="0" customWidth="1"/>
    <col min="14" max="14" width="5.8515625" style="0" customWidth="1"/>
    <col min="15" max="15" width="6.421875" style="0" customWidth="1"/>
    <col min="16" max="16" width="6.57421875" style="0" customWidth="1"/>
    <col min="17" max="17" width="12.140625" style="0" hidden="1" customWidth="1"/>
    <col min="18" max="18" width="15.140625" style="0" hidden="1" customWidth="1"/>
    <col min="19" max="19" width="16.28125" style="0" hidden="1" customWidth="1"/>
    <col min="20" max="20" width="16.8515625" style="0" hidden="1" customWidth="1"/>
    <col min="21" max="25" width="15.421875" style="0" hidden="1" customWidth="1"/>
    <col min="26" max="26" width="9.7109375" style="0" customWidth="1"/>
    <col min="27" max="28" width="15.7109375" style="0" customWidth="1"/>
  </cols>
  <sheetData>
    <row r="1" spans="1:28" s="72" customFormat="1" ht="26.25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390"/>
    </row>
    <row r="2" spans="1:28" s="72" customFormat="1" ht="26.25">
      <c r="A2" s="162"/>
      <c r="B2" s="198" t="str">
        <f>'tot-0003'!B2</f>
        <v>ANEXO I A LA RESOLUCION ENRE N° 82/2001</v>
      </c>
      <c r="C2" s="199"/>
      <c r="D2" s="199"/>
      <c r="E2" s="151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</row>
    <row r="3" spans="1:28" s="9" customFormat="1" ht="12.75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</row>
    <row r="4" spans="1:28" s="79" customFormat="1" ht="11.25">
      <c r="A4" s="77" t="s">
        <v>37</v>
      </c>
      <c r="B4" s="201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</row>
    <row r="5" spans="1:28" s="79" customFormat="1" ht="11.25">
      <c r="A5" s="77" t="s">
        <v>38</v>
      </c>
      <c r="B5" s="201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</row>
    <row r="6" spans="1:28" s="9" customFormat="1" ht="13.5" thickBot="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</row>
    <row r="7" spans="1:28" s="9" customFormat="1" ht="13.5" thickTop="1">
      <c r="A7" s="161"/>
      <c r="B7" s="163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5"/>
    </row>
    <row r="8" spans="1:28" s="83" customFormat="1" ht="20.25">
      <c r="A8" s="181"/>
      <c r="B8" s="182"/>
      <c r="C8" s="167"/>
      <c r="D8" s="34" t="s">
        <v>54</v>
      </c>
      <c r="E8" s="34"/>
      <c r="F8" s="167"/>
      <c r="G8" s="181"/>
      <c r="H8" s="181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83"/>
    </row>
    <row r="9" spans="1:28" s="83" customFormat="1" ht="20.25">
      <c r="A9" s="181"/>
      <c r="B9" s="182"/>
      <c r="C9" s="167"/>
      <c r="D9" s="34"/>
      <c r="E9" s="34"/>
      <c r="F9" s="167"/>
      <c r="G9" s="181"/>
      <c r="H9" s="181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83"/>
    </row>
    <row r="10" spans="1:28" s="83" customFormat="1" ht="20.25">
      <c r="A10" s="181"/>
      <c r="B10" s="182"/>
      <c r="C10" s="167"/>
      <c r="D10" s="34" t="s">
        <v>79</v>
      </c>
      <c r="E10" s="34"/>
      <c r="F10" s="167"/>
      <c r="G10" s="181"/>
      <c r="H10" s="181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83"/>
    </row>
    <row r="11" spans="1:28" s="9" customFormat="1" ht="12.75">
      <c r="A11" s="161"/>
      <c r="B11" s="166"/>
      <c r="C11" s="47"/>
      <c r="D11" s="47"/>
      <c r="E11" s="47"/>
      <c r="F11" s="47"/>
      <c r="G11" s="161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63"/>
    </row>
    <row r="12" spans="1:28" s="83" customFormat="1" ht="20.25">
      <c r="A12" s="181"/>
      <c r="B12" s="182"/>
      <c r="C12" s="167"/>
      <c r="D12" s="200" t="s">
        <v>80</v>
      </c>
      <c r="E12" s="34"/>
      <c r="F12" s="181"/>
      <c r="G12" s="181"/>
      <c r="H12" s="184"/>
      <c r="I12" s="167"/>
      <c r="J12" s="181"/>
      <c r="K12" s="181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83"/>
    </row>
    <row r="13" spans="1:28" s="9" customFormat="1" ht="12.75">
      <c r="A13" s="161"/>
      <c r="B13" s="166"/>
      <c r="C13" s="47"/>
      <c r="D13" s="47"/>
      <c r="E13" s="47"/>
      <c r="F13" s="47"/>
      <c r="G13" s="161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63"/>
    </row>
    <row r="14" spans="1:28" s="83" customFormat="1" ht="20.25">
      <c r="A14" s="181"/>
      <c r="B14" s="182"/>
      <c r="C14" s="167"/>
      <c r="D14" s="200" t="s">
        <v>179</v>
      </c>
      <c r="E14" s="34"/>
      <c r="F14" s="181"/>
      <c r="G14" s="181"/>
      <c r="H14" s="184"/>
      <c r="I14" s="167"/>
      <c r="J14" s="181"/>
      <c r="K14" s="181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83"/>
    </row>
    <row r="15" spans="1:28" s="9" customFormat="1" ht="12.75">
      <c r="A15" s="161"/>
      <c r="B15" s="166"/>
      <c r="C15" s="47"/>
      <c r="D15" s="169"/>
      <c r="E15" s="169"/>
      <c r="F15" s="169"/>
      <c r="G15" s="170"/>
      <c r="H15" s="168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63"/>
    </row>
    <row r="16" spans="1:28" s="90" customFormat="1" ht="18.75">
      <c r="A16" s="185"/>
      <c r="B16" s="193" t="str">
        <f>'tot-0003'!B14</f>
        <v>Desde el 01 al 31 de marzo de 2000</v>
      </c>
      <c r="C16" s="194"/>
      <c r="D16" s="194"/>
      <c r="E16" s="194"/>
      <c r="F16" s="194"/>
      <c r="G16" s="194"/>
      <c r="H16" s="194"/>
      <c r="I16" s="195"/>
      <c r="J16" s="196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7"/>
    </row>
    <row r="17" spans="1:28" s="9" customFormat="1" ht="13.5" thickBot="1">
      <c r="A17" s="161"/>
      <c r="B17" s="166"/>
      <c r="C17" s="47"/>
      <c r="D17" s="47"/>
      <c r="E17" s="47"/>
      <c r="F17" s="47"/>
      <c r="G17" s="171"/>
      <c r="H17" s="47"/>
      <c r="I17" s="178"/>
      <c r="J17" s="179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63"/>
    </row>
    <row r="18" spans="1:28" s="9" customFormat="1" ht="14.25" thickBot="1" thickTop="1">
      <c r="A18" s="161"/>
      <c r="B18" s="166"/>
      <c r="C18" s="47"/>
      <c r="D18" s="186" t="s">
        <v>82</v>
      </c>
      <c r="E18" s="187"/>
      <c r="F18" s="188"/>
      <c r="G18" s="189">
        <f>'TR-0003'!G18</f>
        <v>0.177</v>
      </c>
      <c r="H18" s="161"/>
      <c r="I18" s="47"/>
      <c r="J18" s="392" t="s">
        <v>107</v>
      </c>
      <c r="K18" s="391">
        <v>0.99</v>
      </c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63"/>
    </row>
    <row r="19" spans="1:28" s="9" customFormat="1" ht="14.25" thickBot="1" thickTop="1">
      <c r="A19" s="161"/>
      <c r="B19" s="166"/>
      <c r="C19" s="47"/>
      <c r="D19" s="190" t="s">
        <v>83</v>
      </c>
      <c r="E19" s="191"/>
      <c r="F19" s="191"/>
      <c r="G19" s="192">
        <f>30*'tot-0003'!B13</f>
        <v>30</v>
      </c>
      <c r="H19" s="47"/>
      <c r="I19" s="240" t="str">
        <f>IF(G19=30," ",IF(G19=60,"  Coeficiente duplicado por tasa de falla &gt;4 Sal. x año/100 km.","REVISAR COEFICIENTE"))</f>
        <v> </v>
      </c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172"/>
      <c r="V19" s="172"/>
      <c r="W19" s="172"/>
      <c r="X19" s="172"/>
      <c r="Y19" s="172"/>
      <c r="Z19" s="172"/>
      <c r="AA19" s="172"/>
      <c r="AB19" s="63"/>
    </row>
    <row r="20" spans="1:28" s="9" customFormat="1" ht="14.25" thickBot="1" thickTop="1">
      <c r="A20" s="161"/>
      <c r="B20" s="166"/>
      <c r="C20" s="47"/>
      <c r="D20" s="47"/>
      <c r="E20" s="47"/>
      <c r="F20" s="47"/>
      <c r="G20" s="173"/>
      <c r="H20" s="47"/>
      <c r="I20" s="174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63"/>
    </row>
    <row r="21" spans="1:28" s="9" customFormat="1" ht="33.75" customHeight="1" thickBot="1" thickTop="1">
      <c r="A21" s="161"/>
      <c r="B21" s="166"/>
      <c r="C21" s="219" t="s">
        <v>58</v>
      </c>
      <c r="D21" s="218" t="s">
        <v>84</v>
      </c>
      <c r="E21" s="217" t="s">
        <v>85</v>
      </c>
      <c r="F21" s="220" t="s">
        <v>86</v>
      </c>
      <c r="G21" s="221" t="s">
        <v>59</v>
      </c>
      <c r="H21" s="244" t="s">
        <v>61</v>
      </c>
      <c r="I21" s="217" t="s">
        <v>62</v>
      </c>
      <c r="J21" s="217" t="s">
        <v>63</v>
      </c>
      <c r="K21" s="218" t="s">
        <v>87</v>
      </c>
      <c r="L21" s="218" t="s">
        <v>88</v>
      </c>
      <c r="M21" s="157" t="s">
        <v>66</v>
      </c>
      <c r="N21" s="217" t="s">
        <v>89</v>
      </c>
      <c r="O21" s="218" t="s">
        <v>67</v>
      </c>
      <c r="P21" s="217" t="s">
        <v>90</v>
      </c>
      <c r="Q21" s="313" t="s">
        <v>91</v>
      </c>
      <c r="R21" s="318" t="s">
        <v>68</v>
      </c>
      <c r="S21" s="324" t="s">
        <v>69</v>
      </c>
      <c r="T21" s="270" t="s">
        <v>92</v>
      </c>
      <c r="U21" s="272"/>
      <c r="V21" s="338" t="s">
        <v>93</v>
      </c>
      <c r="W21" s="339"/>
      <c r="X21" s="349" t="s">
        <v>72</v>
      </c>
      <c r="Y21" s="355" t="s">
        <v>73</v>
      </c>
      <c r="Z21" s="221" t="s">
        <v>74</v>
      </c>
      <c r="AA21" s="221" t="s">
        <v>75</v>
      </c>
      <c r="AB21" s="63"/>
    </row>
    <row r="22" spans="1:28" s="9" customFormat="1" ht="15.75" thickTop="1">
      <c r="A22" s="161"/>
      <c r="B22" s="166"/>
      <c r="C22" s="30"/>
      <c r="D22" s="32"/>
      <c r="E22" s="31"/>
      <c r="F22" s="31"/>
      <c r="G22" s="31"/>
      <c r="H22" s="249"/>
      <c r="I22" s="32"/>
      <c r="J22" s="31"/>
      <c r="K22" s="32"/>
      <c r="L22" s="32"/>
      <c r="M22" s="31"/>
      <c r="N22" s="31"/>
      <c r="O22" s="31"/>
      <c r="P22" s="31"/>
      <c r="Q22" s="315"/>
      <c r="R22" s="320"/>
      <c r="S22" s="326"/>
      <c r="T22" s="337"/>
      <c r="U22" s="334"/>
      <c r="V22" s="342"/>
      <c r="W22" s="343"/>
      <c r="X22" s="351"/>
      <c r="Y22" s="357"/>
      <c r="Z22" s="31"/>
      <c r="AA22" s="52"/>
      <c r="AB22" s="63"/>
    </row>
    <row r="23" spans="1:28" s="9" customFormat="1" ht="15">
      <c r="A23" s="161"/>
      <c r="B23" s="166"/>
      <c r="C23" s="30" t="s">
        <v>182</v>
      </c>
      <c r="D23" s="8" t="s">
        <v>180</v>
      </c>
      <c r="E23" s="11" t="s">
        <v>17</v>
      </c>
      <c r="F23" s="37">
        <v>7.5</v>
      </c>
      <c r="G23" s="38" t="s">
        <v>21</v>
      </c>
      <c r="H23" s="246">
        <f aca="true" t="shared" si="0" ref="H23:H42">F23*$G$18*$K$18</f>
        <v>1.314225</v>
      </c>
      <c r="I23" s="40">
        <v>36592.60763888889</v>
      </c>
      <c r="J23" s="41">
        <v>36592.73611111111</v>
      </c>
      <c r="K23" s="42">
        <f aca="true" t="shared" si="1" ref="K23:K42">IF(D23="","",(J23-I23)*24)</f>
        <v>3.083333333255723</v>
      </c>
      <c r="L23" s="43">
        <f aca="true" t="shared" si="2" ref="L23:L42">IF(D23="","",ROUND((J23-I23)*24*60,0))</f>
        <v>185</v>
      </c>
      <c r="M23" s="39" t="s">
        <v>111</v>
      </c>
      <c r="N23" s="39" t="str">
        <f aca="true" t="shared" si="3" ref="N23:N42">IF(D23="","",IF(OR(M23="P",M23="RP"),"--","NO"))</f>
        <v>--</v>
      </c>
      <c r="O23" s="316" t="str">
        <f aca="true" t="shared" si="4" ref="O23:O42">IF(D23="","","--")</f>
        <v>--</v>
      </c>
      <c r="P23" s="39" t="s">
        <v>113</v>
      </c>
      <c r="Q23" s="317">
        <f aca="true" t="shared" si="5" ref="Q23:Q42">$G$19*IF(P23="SI",1,0.1)*IF(OR(M23="P",M23="RP"),0.1,1)</f>
        <v>0.30000000000000004</v>
      </c>
      <c r="R23" s="321">
        <f aca="true" t="shared" si="6" ref="R23:R42">IF(M23="P",H23*Q23*ROUND(L23/60,2),"--")</f>
        <v>1.2143439000000003</v>
      </c>
      <c r="S23" s="327" t="str">
        <f aca="true" t="shared" si="7" ref="S23:S42">IF(M23="RP",H23*Q23*O23/100*ROUND(L23/60,2),"--")</f>
        <v>--</v>
      </c>
      <c r="T23" s="273" t="str">
        <f aca="true" t="shared" si="8" ref="T23:T42">IF(AND(M23="F",N23="NO"),H23*Q23,"--")</f>
        <v>--</v>
      </c>
      <c r="U23" s="335" t="str">
        <f aca="true" t="shared" si="9" ref="U23:U42">IF(M23="F",H23*Q23*ROUND(L23/60,2),"--")</f>
        <v>--</v>
      </c>
      <c r="V23" s="344" t="str">
        <f aca="true" t="shared" si="10" ref="V23:V42">IF(AND(M23="R",N23="NO"),H23*Q23*O23/100,"--")</f>
        <v>--</v>
      </c>
      <c r="W23" s="345" t="str">
        <f aca="true" t="shared" si="11" ref="W23:W42">IF(M23="R",H23*Q23*ROUND(L23/60,2)*O23/100,"--")</f>
        <v>--</v>
      </c>
      <c r="X23" s="352" t="str">
        <f aca="true" t="shared" si="12" ref="X23:X42">IF(M23="RF",H23*Q23*ROUND(L23/60,2),"--")</f>
        <v>--</v>
      </c>
      <c r="Y23" s="358" t="str">
        <f aca="true" t="shared" si="13" ref="Y23:Y42">IF(M23="RR",H23*Q23*ROUND(L23/60,2)*O23/100,"--")</f>
        <v>--</v>
      </c>
      <c r="Z23" s="39" t="str">
        <f aca="true" t="shared" si="14" ref="Z23:Z42">IF(D23="","","SI")</f>
        <v>SI</v>
      </c>
      <c r="AA23" s="52">
        <f aca="true" t="shared" si="15" ref="AA23:AA42">IF(D23="","",SUM(R23:Y23)*IF(Z23="SI",1,2))</f>
        <v>1.2143439000000003</v>
      </c>
      <c r="AB23" s="385"/>
    </row>
    <row r="24" spans="1:28" s="9" customFormat="1" ht="15">
      <c r="A24" s="161"/>
      <c r="B24" s="166"/>
      <c r="C24" s="30"/>
      <c r="D24" s="8"/>
      <c r="E24" s="11"/>
      <c r="F24" s="37"/>
      <c r="G24" s="38"/>
      <c r="H24" s="246">
        <f t="shared" si="0"/>
        <v>0</v>
      </c>
      <c r="I24" s="40"/>
      <c r="J24" s="41"/>
      <c r="K24" s="42">
        <f t="shared" si="1"/>
      </c>
      <c r="L24" s="43">
        <f t="shared" si="2"/>
      </c>
      <c r="M24" s="39"/>
      <c r="N24" s="39">
        <f t="shared" si="3"/>
      </c>
      <c r="O24" s="316">
        <f t="shared" si="4"/>
      </c>
      <c r="P24" s="39"/>
      <c r="Q24" s="317">
        <f t="shared" si="5"/>
        <v>3</v>
      </c>
      <c r="R24" s="321" t="str">
        <f t="shared" si="6"/>
        <v>--</v>
      </c>
      <c r="S24" s="327" t="str">
        <f t="shared" si="7"/>
        <v>--</v>
      </c>
      <c r="T24" s="273" t="str">
        <f t="shared" si="8"/>
        <v>--</v>
      </c>
      <c r="U24" s="335" t="str">
        <f t="shared" si="9"/>
        <v>--</v>
      </c>
      <c r="V24" s="344" t="str">
        <f t="shared" si="10"/>
        <v>--</v>
      </c>
      <c r="W24" s="345" t="str">
        <f t="shared" si="11"/>
        <v>--</v>
      </c>
      <c r="X24" s="352" t="str">
        <f t="shared" si="12"/>
        <v>--</v>
      </c>
      <c r="Y24" s="358" t="str">
        <f t="shared" si="13"/>
        <v>--</v>
      </c>
      <c r="Z24" s="39">
        <f t="shared" si="14"/>
      </c>
      <c r="AA24" s="52">
        <f t="shared" si="15"/>
      </c>
      <c r="AB24" s="385"/>
    </row>
    <row r="25" spans="1:28" s="9" customFormat="1" ht="15">
      <c r="A25" s="161"/>
      <c r="B25" s="166"/>
      <c r="C25" s="30"/>
      <c r="D25" s="8"/>
      <c r="E25" s="11"/>
      <c r="F25" s="37"/>
      <c r="G25" s="38"/>
      <c r="H25" s="246">
        <f t="shared" si="0"/>
        <v>0</v>
      </c>
      <c r="I25" s="40"/>
      <c r="J25" s="41"/>
      <c r="K25" s="42">
        <f t="shared" si="1"/>
      </c>
      <c r="L25" s="43">
        <f t="shared" si="2"/>
      </c>
      <c r="M25" s="39"/>
      <c r="N25" s="39">
        <f t="shared" si="3"/>
      </c>
      <c r="O25" s="316">
        <f t="shared" si="4"/>
      </c>
      <c r="P25" s="39"/>
      <c r="Q25" s="317">
        <f t="shared" si="5"/>
        <v>3</v>
      </c>
      <c r="R25" s="321" t="str">
        <f t="shared" si="6"/>
        <v>--</v>
      </c>
      <c r="S25" s="327" t="str">
        <f t="shared" si="7"/>
        <v>--</v>
      </c>
      <c r="T25" s="273" t="str">
        <f t="shared" si="8"/>
        <v>--</v>
      </c>
      <c r="U25" s="335" t="str">
        <f t="shared" si="9"/>
        <v>--</v>
      </c>
      <c r="V25" s="344" t="str">
        <f t="shared" si="10"/>
        <v>--</v>
      </c>
      <c r="W25" s="345" t="str">
        <f t="shared" si="11"/>
        <v>--</v>
      </c>
      <c r="X25" s="352" t="str">
        <f t="shared" si="12"/>
        <v>--</v>
      </c>
      <c r="Y25" s="358" t="str">
        <f t="shared" si="13"/>
        <v>--</v>
      </c>
      <c r="Z25" s="39">
        <f t="shared" si="14"/>
      </c>
      <c r="AA25" s="52">
        <f t="shared" si="15"/>
      </c>
      <c r="AB25" s="385"/>
    </row>
    <row r="26" spans="1:28" s="9" customFormat="1" ht="15">
      <c r="A26" s="161"/>
      <c r="B26" s="166"/>
      <c r="C26" s="30"/>
      <c r="D26" s="8"/>
      <c r="E26" s="11"/>
      <c r="F26" s="37"/>
      <c r="G26" s="38"/>
      <c r="H26" s="246">
        <f t="shared" si="0"/>
        <v>0</v>
      </c>
      <c r="I26" s="40"/>
      <c r="J26" s="41"/>
      <c r="K26" s="42">
        <f t="shared" si="1"/>
      </c>
      <c r="L26" s="43">
        <f t="shared" si="2"/>
      </c>
      <c r="M26" s="39"/>
      <c r="N26" s="39">
        <f t="shared" si="3"/>
      </c>
      <c r="O26" s="316">
        <f t="shared" si="4"/>
      </c>
      <c r="P26" s="39"/>
      <c r="Q26" s="317">
        <f t="shared" si="5"/>
        <v>3</v>
      </c>
      <c r="R26" s="321" t="str">
        <f t="shared" si="6"/>
        <v>--</v>
      </c>
      <c r="S26" s="327" t="str">
        <f t="shared" si="7"/>
        <v>--</v>
      </c>
      <c r="T26" s="273" t="str">
        <f t="shared" si="8"/>
        <v>--</v>
      </c>
      <c r="U26" s="335" t="str">
        <f t="shared" si="9"/>
        <v>--</v>
      </c>
      <c r="V26" s="344" t="str">
        <f t="shared" si="10"/>
        <v>--</v>
      </c>
      <c r="W26" s="345" t="str">
        <f t="shared" si="11"/>
        <v>--</v>
      </c>
      <c r="X26" s="352" t="str">
        <f t="shared" si="12"/>
        <v>--</v>
      </c>
      <c r="Y26" s="358" t="str">
        <f t="shared" si="13"/>
        <v>--</v>
      </c>
      <c r="Z26" s="39">
        <f t="shared" si="14"/>
      </c>
      <c r="AA26" s="52">
        <f t="shared" si="15"/>
      </c>
      <c r="AB26" s="385"/>
    </row>
    <row r="27" spans="1:28" s="9" customFormat="1" ht="15">
      <c r="A27" s="161"/>
      <c r="B27" s="166"/>
      <c r="C27" s="30"/>
      <c r="D27" s="8"/>
      <c r="E27" s="11"/>
      <c r="F27" s="37"/>
      <c r="G27" s="38"/>
      <c r="H27" s="246">
        <f t="shared" si="0"/>
        <v>0</v>
      </c>
      <c r="I27" s="40"/>
      <c r="J27" s="41"/>
      <c r="K27" s="42">
        <f t="shared" si="1"/>
      </c>
      <c r="L27" s="43">
        <f t="shared" si="2"/>
      </c>
      <c r="M27" s="39"/>
      <c r="N27" s="39">
        <f t="shared" si="3"/>
      </c>
      <c r="O27" s="316">
        <f t="shared" si="4"/>
      </c>
      <c r="P27" s="39"/>
      <c r="Q27" s="317">
        <f t="shared" si="5"/>
        <v>3</v>
      </c>
      <c r="R27" s="321" t="str">
        <f t="shared" si="6"/>
        <v>--</v>
      </c>
      <c r="S27" s="327" t="str">
        <f t="shared" si="7"/>
        <v>--</v>
      </c>
      <c r="T27" s="273" t="str">
        <f t="shared" si="8"/>
        <v>--</v>
      </c>
      <c r="U27" s="335" t="str">
        <f t="shared" si="9"/>
        <v>--</v>
      </c>
      <c r="V27" s="344" t="str">
        <f t="shared" si="10"/>
        <v>--</v>
      </c>
      <c r="W27" s="345" t="str">
        <f t="shared" si="11"/>
        <v>--</v>
      </c>
      <c r="X27" s="352" t="str">
        <f t="shared" si="12"/>
        <v>--</v>
      </c>
      <c r="Y27" s="358" t="str">
        <f t="shared" si="13"/>
        <v>--</v>
      </c>
      <c r="Z27" s="39">
        <f t="shared" si="14"/>
      </c>
      <c r="AA27" s="52">
        <f t="shared" si="15"/>
      </c>
      <c r="AB27" s="385"/>
    </row>
    <row r="28" spans="1:28" s="9" customFormat="1" ht="15">
      <c r="A28" s="161"/>
      <c r="B28" s="166"/>
      <c r="C28" s="30"/>
      <c r="D28" s="8"/>
      <c r="E28" s="11"/>
      <c r="F28" s="37"/>
      <c r="G28" s="38"/>
      <c r="H28" s="246">
        <f t="shared" si="0"/>
        <v>0</v>
      </c>
      <c r="I28" s="40"/>
      <c r="J28" s="41"/>
      <c r="K28" s="42">
        <f t="shared" si="1"/>
      </c>
      <c r="L28" s="43">
        <f t="shared" si="2"/>
      </c>
      <c r="M28" s="39"/>
      <c r="N28" s="39">
        <f t="shared" si="3"/>
      </c>
      <c r="O28" s="316">
        <f t="shared" si="4"/>
      </c>
      <c r="P28" s="39"/>
      <c r="Q28" s="317">
        <f t="shared" si="5"/>
        <v>3</v>
      </c>
      <c r="R28" s="321" t="str">
        <f t="shared" si="6"/>
        <v>--</v>
      </c>
      <c r="S28" s="327" t="str">
        <f t="shared" si="7"/>
        <v>--</v>
      </c>
      <c r="T28" s="273" t="str">
        <f t="shared" si="8"/>
        <v>--</v>
      </c>
      <c r="U28" s="335" t="str">
        <f t="shared" si="9"/>
        <v>--</v>
      </c>
      <c r="V28" s="344" t="str">
        <f t="shared" si="10"/>
        <v>--</v>
      </c>
      <c r="W28" s="345" t="str">
        <f t="shared" si="11"/>
        <v>--</v>
      </c>
      <c r="X28" s="352" t="str">
        <f t="shared" si="12"/>
        <v>--</v>
      </c>
      <c r="Y28" s="358" t="str">
        <f t="shared" si="13"/>
        <v>--</v>
      </c>
      <c r="Z28" s="39">
        <f t="shared" si="14"/>
      </c>
      <c r="AA28" s="52">
        <f t="shared" si="15"/>
      </c>
      <c r="AB28" s="385"/>
    </row>
    <row r="29" spans="1:28" s="9" customFormat="1" ht="15">
      <c r="A29" s="161"/>
      <c r="B29" s="166"/>
      <c r="C29" s="30"/>
      <c r="D29" s="8"/>
      <c r="E29" s="11"/>
      <c r="F29" s="37"/>
      <c r="G29" s="38"/>
      <c r="H29" s="246">
        <f t="shared" si="0"/>
        <v>0</v>
      </c>
      <c r="I29" s="40"/>
      <c r="J29" s="41"/>
      <c r="K29" s="42">
        <f t="shared" si="1"/>
      </c>
      <c r="L29" s="43">
        <f t="shared" si="2"/>
      </c>
      <c r="M29" s="39"/>
      <c r="N29" s="39">
        <f t="shared" si="3"/>
      </c>
      <c r="O29" s="316">
        <f t="shared" si="4"/>
      </c>
      <c r="P29" s="39"/>
      <c r="Q29" s="317">
        <f t="shared" si="5"/>
        <v>3</v>
      </c>
      <c r="R29" s="321" t="str">
        <f t="shared" si="6"/>
        <v>--</v>
      </c>
      <c r="S29" s="327" t="str">
        <f t="shared" si="7"/>
        <v>--</v>
      </c>
      <c r="T29" s="273" t="str">
        <f t="shared" si="8"/>
        <v>--</v>
      </c>
      <c r="U29" s="335" t="str">
        <f t="shared" si="9"/>
        <v>--</v>
      </c>
      <c r="V29" s="344" t="str">
        <f t="shared" si="10"/>
        <v>--</v>
      </c>
      <c r="W29" s="345" t="str">
        <f t="shared" si="11"/>
        <v>--</v>
      </c>
      <c r="X29" s="352" t="str">
        <f t="shared" si="12"/>
        <v>--</v>
      </c>
      <c r="Y29" s="358" t="str">
        <f t="shared" si="13"/>
        <v>--</v>
      </c>
      <c r="Z29" s="39">
        <f t="shared" si="14"/>
      </c>
      <c r="AA29" s="52">
        <f t="shared" si="15"/>
      </c>
      <c r="AB29" s="385"/>
    </row>
    <row r="30" spans="1:28" s="9" customFormat="1" ht="15">
      <c r="A30" s="161"/>
      <c r="B30" s="166"/>
      <c r="C30" s="30"/>
      <c r="D30" s="8"/>
      <c r="E30" s="11"/>
      <c r="F30" s="37"/>
      <c r="G30" s="38"/>
      <c r="H30" s="246">
        <f t="shared" si="0"/>
        <v>0</v>
      </c>
      <c r="I30" s="40"/>
      <c r="J30" s="41"/>
      <c r="K30" s="42">
        <f t="shared" si="1"/>
      </c>
      <c r="L30" s="43">
        <f t="shared" si="2"/>
      </c>
      <c r="M30" s="39"/>
      <c r="N30" s="39">
        <f t="shared" si="3"/>
      </c>
      <c r="O30" s="316">
        <f t="shared" si="4"/>
      </c>
      <c r="P30" s="39"/>
      <c r="Q30" s="317">
        <f t="shared" si="5"/>
        <v>3</v>
      </c>
      <c r="R30" s="321" t="str">
        <f t="shared" si="6"/>
        <v>--</v>
      </c>
      <c r="S30" s="327" t="str">
        <f t="shared" si="7"/>
        <v>--</v>
      </c>
      <c r="T30" s="273" t="str">
        <f t="shared" si="8"/>
        <v>--</v>
      </c>
      <c r="U30" s="335" t="str">
        <f t="shared" si="9"/>
        <v>--</v>
      </c>
      <c r="V30" s="344" t="str">
        <f t="shared" si="10"/>
        <v>--</v>
      </c>
      <c r="W30" s="345" t="str">
        <f t="shared" si="11"/>
        <v>--</v>
      </c>
      <c r="X30" s="352" t="str">
        <f t="shared" si="12"/>
        <v>--</v>
      </c>
      <c r="Y30" s="358" t="str">
        <f t="shared" si="13"/>
        <v>--</v>
      </c>
      <c r="Z30" s="39">
        <f t="shared" si="14"/>
      </c>
      <c r="AA30" s="52">
        <f t="shared" si="15"/>
      </c>
      <c r="AB30" s="385"/>
    </row>
    <row r="31" spans="1:28" s="9" customFormat="1" ht="15">
      <c r="A31" s="161"/>
      <c r="B31" s="166"/>
      <c r="C31" s="30"/>
      <c r="D31" s="8"/>
      <c r="E31" s="11"/>
      <c r="F31" s="37"/>
      <c r="G31" s="38"/>
      <c r="H31" s="246">
        <f t="shared" si="0"/>
        <v>0</v>
      </c>
      <c r="I31" s="40"/>
      <c r="J31" s="41"/>
      <c r="K31" s="42">
        <f t="shared" si="1"/>
      </c>
      <c r="L31" s="43">
        <f t="shared" si="2"/>
      </c>
      <c r="M31" s="39"/>
      <c r="N31" s="39">
        <f t="shared" si="3"/>
      </c>
      <c r="O31" s="316">
        <f t="shared" si="4"/>
      </c>
      <c r="P31" s="39"/>
      <c r="Q31" s="317">
        <f t="shared" si="5"/>
        <v>3</v>
      </c>
      <c r="R31" s="321" t="str">
        <f t="shared" si="6"/>
        <v>--</v>
      </c>
      <c r="S31" s="327" t="str">
        <f t="shared" si="7"/>
        <v>--</v>
      </c>
      <c r="T31" s="273" t="str">
        <f t="shared" si="8"/>
        <v>--</v>
      </c>
      <c r="U31" s="335" t="str">
        <f t="shared" si="9"/>
        <v>--</v>
      </c>
      <c r="V31" s="344" t="str">
        <f t="shared" si="10"/>
        <v>--</v>
      </c>
      <c r="W31" s="345" t="str">
        <f t="shared" si="11"/>
        <v>--</v>
      </c>
      <c r="X31" s="352" t="str">
        <f t="shared" si="12"/>
        <v>--</v>
      </c>
      <c r="Y31" s="358" t="str">
        <f t="shared" si="13"/>
        <v>--</v>
      </c>
      <c r="Z31" s="39">
        <f t="shared" si="14"/>
      </c>
      <c r="AA31" s="52">
        <f t="shared" si="15"/>
      </c>
      <c r="AB31" s="385"/>
    </row>
    <row r="32" spans="1:28" s="9" customFormat="1" ht="15">
      <c r="A32" s="161"/>
      <c r="B32" s="166"/>
      <c r="C32" s="30"/>
      <c r="D32" s="8"/>
      <c r="E32" s="11"/>
      <c r="F32" s="37"/>
      <c r="G32" s="38"/>
      <c r="H32" s="246">
        <f t="shared" si="0"/>
        <v>0</v>
      </c>
      <c r="I32" s="40"/>
      <c r="J32" s="41"/>
      <c r="K32" s="42">
        <f t="shared" si="1"/>
      </c>
      <c r="L32" s="43">
        <f t="shared" si="2"/>
      </c>
      <c r="M32" s="39"/>
      <c r="N32" s="39">
        <f t="shared" si="3"/>
      </c>
      <c r="O32" s="316">
        <f t="shared" si="4"/>
      </c>
      <c r="P32" s="39"/>
      <c r="Q32" s="317">
        <f t="shared" si="5"/>
        <v>3</v>
      </c>
      <c r="R32" s="321" t="str">
        <f t="shared" si="6"/>
        <v>--</v>
      </c>
      <c r="S32" s="327" t="str">
        <f t="shared" si="7"/>
        <v>--</v>
      </c>
      <c r="T32" s="273" t="str">
        <f t="shared" si="8"/>
        <v>--</v>
      </c>
      <c r="U32" s="335" t="str">
        <f t="shared" si="9"/>
        <v>--</v>
      </c>
      <c r="V32" s="344" t="str">
        <f t="shared" si="10"/>
        <v>--</v>
      </c>
      <c r="W32" s="345" t="str">
        <f t="shared" si="11"/>
        <v>--</v>
      </c>
      <c r="X32" s="352" t="str">
        <f t="shared" si="12"/>
        <v>--</v>
      </c>
      <c r="Y32" s="358" t="str">
        <f t="shared" si="13"/>
        <v>--</v>
      </c>
      <c r="Z32" s="39">
        <f t="shared" si="14"/>
      </c>
      <c r="AA32" s="52">
        <f t="shared" si="15"/>
      </c>
      <c r="AB32" s="385"/>
    </row>
    <row r="33" spans="1:28" s="9" customFormat="1" ht="15">
      <c r="A33" s="161"/>
      <c r="B33" s="166"/>
      <c r="C33" s="30"/>
      <c r="D33" s="8"/>
      <c r="E33" s="11"/>
      <c r="F33" s="37"/>
      <c r="G33" s="38"/>
      <c r="H33" s="246">
        <f t="shared" si="0"/>
        <v>0</v>
      </c>
      <c r="I33" s="40"/>
      <c r="J33" s="41"/>
      <c r="K33" s="42">
        <f t="shared" si="1"/>
      </c>
      <c r="L33" s="43">
        <f t="shared" si="2"/>
      </c>
      <c r="M33" s="39"/>
      <c r="N33" s="39">
        <f t="shared" si="3"/>
      </c>
      <c r="O33" s="316">
        <f t="shared" si="4"/>
      </c>
      <c r="P33" s="39"/>
      <c r="Q33" s="317">
        <f t="shared" si="5"/>
        <v>3</v>
      </c>
      <c r="R33" s="321" t="str">
        <f t="shared" si="6"/>
        <v>--</v>
      </c>
      <c r="S33" s="327" t="str">
        <f t="shared" si="7"/>
        <v>--</v>
      </c>
      <c r="T33" s="273" t="str">
        <f t="shared" si="8"/>
        <v>--</v>
      </c>
      <c r="U33" s="335" t="str">
        <f t="shared" si="9"/>
        <v>--</v>
      </c>
      <c r="V33" s="344" t="str">
        <f t="shared" si="10"/>
        <v>--</v>
      </c>
      <c r="W33" s="345" t="str">
        <f t="shared" si="11"/>
        <v>--</v>
      </c>
      <c r="X33" s="352" t="str">
        <f t="shared" si="12"/>
        <v>--</v>
      </c>
      <c r="Y33" s="358" t="str">
        <f t="shared" si="13"/>
        <v>--</v>
      </c>
      <c r="Z33" s="39">
        <f t="shared" si="14"/>
      </c>
      <c r="AA33" s="52">
        <f t="shared" si="15"/>
      </c>
      <c r="AB33" s="385"/>
    </row>
    <row r="34" spans="1:28" s="9" customFormat="1" ht="15">
      <c r="A34" s="161"/>
      <c r="B34" s="166"/>
      <c r="C34" s="30"/>
      <c r="D34" s="8"/>
      <c r="E34" s="11"/>
      <c r="F34" s="37"/>
      <c r="G34" s="38"/>
      <c r="H34" s="246">
        <f t="shared" si="0"/>
        <v>0</v>
      </c>
      <c r="I34" s="40"/>
      <c r="J34" s="41"/>
      <c r="K34" s="42">
        <f t="shared" si="1"/>
      </c>
      <c r="L34" s="43">
        <f t="shared" si="2"/>
      </c>
      <c r="M34" s="39"/>
      <c r="N34" s="39">
        <f t="shared" si="3"/>
      </c>
      <c r="O34" s="316">
        <f t="shared" si="4"/>
      </c>
      <c r="P34" s="39"/>
      <c r="Q34" s="317">
        <f t="shared" si="5"/>
        <v>3</v>
      </c>
      <c r="R34" s="321" t="str">
        <f t="shared" si="6"/>
        <v>--</v>
      </c>
      <c r="S34" s="327" t="str">
        <f t="shared" si="7"/>
        <v>--</v>
      </c>
      <c r="T34" s="273" t="str">
        <f t="shared" si="8"/>
        <v>--</v>
      </c>
      <c r="U34" s="335" t="str">
        <f t="shared" si="9"/>
        <v>--</v>
      </c>
      <c r="V34" s="344" t="str">
        <f t="shared" si="10"/>
        <v>--</v>
      </c>
      <c r="W34" s="345" t="str">
        <f t="shared" si="11"/>
        <v>--</v>
      </c>
      <c r="X34" s="352" t="str">
        <f t="shared" si="12"/>
        <v>--</v>
      </c>
      <c r="Y34" s="358" t="str">
        <f t="shared" si="13"/>
        <v>--</v>
      </c>
      <c r="Z34" s="39">
        <f t="shared" si="14"/>
      </c>
      <c r="AA34" s="52">
        <f t="shared" si="15"/>
      </c>
      <c r="AB34" s="385"/>
    </row>
    <row r="35" spans="1:28" s="9" customFormat="1" ht="15">
      <c r="A35" s="161"/>
      <c r="B35" s="166"/>
      <c r="C35" s="30"/>
      <c r="D35" s="8"/>
      <c r="E35" s="11"/>
      <c r="F35" s="37"/>
      <c r="G35" s="38"/>
      <c r="H35" s="246">
        <f t="shared" si="0"/>
        <v>0</v>
      </c>
      <c r="I35" s="40"/>
      <c r="J35" s="41"/>
      <c r="K35" s="42">
        <f t="shared" si="1"/>
      </c>
      <c r="L35" s="43">
        <f t="shared" si="2"/>
      </c>
      <c r="M35" s="39"/>
      <c r="N35" s="39">
        <f t="shared" si="3"/>
      </c>
      <c r="O35" s="316">
        <f t="shared" si="4"/>
      </c>
      <c r="P35" s="39"/>
      <c r="Q35" s="317">
        <f t="shared" si="5"/>
        <v>3</v>
      </c>
      <c r="R35" s="321" t="str">
        <f t="shared" si="6"/>
        <v>--</v>
      </c>
      <c r="S35" s="327" t="str">
        <f t="shared" si="7"/>
        <v>--</v>
      </c>
      <c r="T35" s="273" t="str">
        <f t="shared" si="8"/>
        <v>--</v>
      </c>
      <c r="U35" s="335" t="str">
        <f t="shared" si="9"/>
        <v>--</v>
      </c>
      <c r="V35" s="344" t="str">
        <f t="shared" si="10"/>
        <v>--</v>
      </c>
      <c r="W35" s="345" t="str">
        <f t="shared" si="11"/>
        <v>--</v>
      </c>
      <c r="X35" s="352" t="str">
        <f t="shared" si="12"/>
        <v>--</v>
      </c>
      <c r="Y35" s="358" t="str">
        <f t="shared" si="13"/>
        <v>--</v>
      </c>
      <c r="Z35" s="39">
        <f t="shared" si="14"/>
      </c>
      <c r="AA35" s="52">
        <f t="shared" si="15"/>
      </c>
      <c r="AB35" s="385"/>
    </row>
    <row r="36" spans="1:28" s="9" customFormat="1" ht="15">
      <c r="A36" s="161"/>
      <c r="B36" s="166"/>
      <c r="C36" s="30"/>
      <c r="D36" s="8"/>
      <c r="E36" s="11"/>
      <c r="F36" s="37"/>
      <c r="G36" s="38"/>
      <c r="H36" s="246">
        <f t="shared" si="0"/>
        <v>0</v>
      </c>
      <c r="I36" s="41"/>
      <c r="J36" s="41"/>
      <c r="K36" s="42">
        <f t="shared" si="1"/>
      </c>
      <c r="L36" s="43">
        <f t="shared" si="2"/>
      </c>
      <c r="M36" s="39"/>
      <c r="N36" s="39">
        <f t="shared" si="3"/>
      </c>
      <c r="O36" s="316">
        <f t="shared" si="4"/>
      </c>
      <c r="P36" s="39"/>
      <c r="Q36" s="317">
        <f t="shared" si="5"/>
        <v>3</v>
      </c>
      <c r="R36" s="321" t="str">
        <f t="shared" si="6"/>
        <v>--</v>
      </c>
      <c r="S36" s="327" t="str">
        <f t="shared" si="7"/>
        <v>--</v>
      </c>
      <c r="T36" s="273" t="str">
        <f t="shared" si="8"/>
        <v>--</v>
      </c>
      <c r="U36" s="335" t="str">
        <f t="shared" si="9"/>
        <v>--</v>
      </c>
      <c r="V36" s="344" t="str">
        <f t="shared" si="10"/>
        <v>--</v>
      </c>
      <c r="W36" s="345" t="str">
        <f t="shared" si="11"/>
        <v>--</v>
      </c>
      <c r="X36" s="352" t="str">
        <f t="shared" si="12"/>
        <v>--</v>
      </c>
      <c r="Y36" s="358" t="str">
        <f t="shared" si="13"/>
        <v>--</v>
      </c>
      <c r="Z36" s="39">
        <f t="shared" si="14"/>
      </c>
      <c r="AA36" s="52">
        <f t="shared" si="15"/>
      </c>
      <c r="AB36" s="63"/>
    </row>
    <row r="37" spans="1:28" s="9" customFormat="1" ht="15">
      <c r="A37" s="161"/>
      <c r="B37" s="166"/>
      <c r="C37" s="30"/>
      <c r="D37" s="8"/>
      <c r="E37" s="11"/>
      <c r="F37" s="37"/>
      <c r="G37" s="38"/>
      <c r="H37" s="246">
        <f t="shared" si="0"/>
        <v>0</v>
      </c>
      <c r="I37" s="40"/>
      <c r="J37" s="41"/>
      <c r="K37" s="42">
        <f t="shared" si="1"/>
      </c>
      <c r="L37" s="43">
        <f t="shared" si="2"/>
      </c>
      <c r="M37" s="39"/>
      <c r="N37" s="39">
        <f t="shared" si="3"/>
      </c>
      <c r="O37" s="316">
        <f t="shared" si="4"/>
      </c>
      <c r="P37" s="39"/>
      <c r="Q37" s="317">
        <f t="shared" si="5"/>
        <v>3</v>
      </c>
      <c r="R37" s="321" t="str">
        <f t="shared" si="6"/>
        <v>--</v>
      </c>
      <c r="S37" s="327" t="str">
        <f t="shared" si="7"/>
        <v>--</v>
      </c>
      <c r="T37" s="273" t="str">
        <f t="shared" si="8"/>
        <v>--</v>
      </c>
      <c r="U37" s="335" t="str">
        <f t="shared" si="9"/>
        <v>--</v>
      </c>
      <c r="V37" s="344" t="str">
        <f t="shared" si="10"/>
        <v>--</v>
      </c>
      <c r="W37" s="345" t="str">
        <f t="shared" si="11"/>
        <v>--</v>
      </c>
      <c r="X37" s="352" t="str">
        <f t="shared" si="12"/>
        <v>--</v>
      </c>
      <c r="Y37" s="358" t="str">
        <f t="shared" si="13"/>
        <v>--</v>
      </c>
      <c r="Z37" s="39">
        <f t="shared" si="14"/>
      </c>
      <c r="AA37" s="52">
        <f t="shared" si="15"/>
      </c>
      <c r="AB37" s="63"/>
    </row>
    <row r="38" spans="1:28" s="9" customFormat="1" ht="15">
      <c r="A38" s="161"/>
      <c r="B38" s="166"/>
      <c r="C38" s="30"/>
      <c r="D38" s="8"/>
      <c r="E38" s="11"/>
      <c r="F38" s="37"/>
      <c r="G38" s="38"/>
      <c r="H38" s="246">
        <f t="shared" si="0"/>
        <v>0</v>
      </c>
      <c r="I38" s="40"/>
      <c r="J38" s="41"/>
      <c r="K38" s="42">
        <f t="shared" si="1"/>
      </c>
      <c r="L38" s="43">
        <f t="shared" si="2"/>
      </c>
      <c r="M38" s="39"/>
      <c r="N38" s="39">
        <f t="shared" si="3"/>
      </c>
      <c r="O38" s="316">
        <f t="shared" si="4"/>
      </c>
      <c r="P38" s="39"/>
      <c r="Q38" s="317">
        <f t="shared" si="5"/>
        <v>3</v>
      </c>
      <c r="R38" s="321" t="str">
        <f t="shared" si="6"/>
        <v>--</v>
      </c>
      <c r="S38" s="327" t="str">
        <f t="shared" si="7"/>
        <v>--</v>
      </c>
      <c r="T38" s="273" t="str">
        <f t="shared" si="8"/>
        <v>--</v>
      </c>
      <c r="U38" s="335" t="str">
        <f t="shared" si="9"/>
        <v>--</v>
      </c>
      <c r="V38" s="344" t="str">
        <f t="shared" si="10"/>
        <v>--</v>
      </c>
      <c r="W38" s="345" t="str">
        <f t="shared" si="11"/>
        <v>--</v>
      </c>
      <c r="X38" s="352" t="str">
        <f t="shared" si="12"/>
        <v>--</v>
      </c>
      <c r="Y38" s="358" t="str">
        <f t="shared" si="13"/>
        <v>--</v>
      </c>
      <c r="Z38" s="39">
        <f t="shared" si="14"/>
      </c>
      <c r="AA38" s="52">
        <f t="shared" si="15"/>
      </c>
      <c r="AB38" s="63"/>
    </row>
    <row r="39" spans="1:28" s="9" customFormat="1" ht="15">
      <c r="A39" s="161"/>
      <c r="B39" s="166"/>
      <c r="C39" s="30"/>
      <c r="D39" s="8"/>
      <c r="E39" s="11"/>
      <c r="F39" s="37"/>
      <c r="G39" s="38"/>
      <c r="H39" s="246">
        <f t="shared" si="0"/>
        <v>0</v>
      </c>
      <c r="I39" s="40"/>
      <c r="J39" s="41"/>
      <c r="K39" s="42">
        <f t="shared" si="1"/>
      </c>
      <c r="L39" s="43">
        <f t="shared" si="2"/>
      </c>
      <c r="M39" s="39"/>
      <c r="N39" s="39">
        <f t="shared" si="3"/>
      </c>
      <c r="O39" s="316">
        <f t="shared" si="4"/>
      </c>
      <c r="P39" s="39"/>
      <c r="Q39" s="317">
        <f t="shared" si="5"/>
        <v>3</v>
      </c>
      <c r="R39" s="321" t="str">
        <f t="shared" si="6"/>
        <v>--</v>
      </c>
      <c r="S39" s="327" t="str">
        <f t="shared" si="7"/>
        <v>--</v>
      </c>
      <c r="T39" s="273" t="str">
        <f t="shared" si="8"/>
        <v>--</v>
      </c>
      <c r="U39" s="335" t="str">
        <f t="shared" si="9"/>
        <v>--</v>
      </c>
      <c r="V39" s="344" t="str">
        <f t="shared" si="10"/>
        <v>--</v>
      </c>
      <c r="W39" s="345" t="str">
        <f t="shared" si="11"/>
        <v>--</v>
      </c>
      <c r="X39" s="352" t="str">
        <f t="shared" si="12"/>
        <v>--</v>
      </c>
      <c r="Y39" s="358" t="str">
        <f t="shared" si="13"/>
        <v>--</v>
      </c>
      <c r="Z39" s="39">
        <f t="shared" si="14"/>
      </c>
      <c r="AA39" s="52">
        <f t="shared" si="15"/>
      </c>
      <c r="AB39" s="63"/>
    </row>
    <row r="40" spans="1:28" s="9" customFormat="1" ht="15">
      <c r="A40" s="161"/>
      <c r="B40" s="166"/>
      <c r="C40" s="30"/>
      <c r="D40" s="8"/>
      <c r="E40" s="11"/>
      <c r="F40" s="37"/>
      <c r="G40" s="38"/>
      <c r="H40" s="246">
        <f t="shared" si="0"/>
        <v>0</v>
      </c>
      <c r="I40" s="40"/>
      <c r="J40" s="41"/>
      <c r="K40" s="42">
        <f t="shared" si="1"/>
      </c>
      <c r="L40" s="43">
        <f t="shared" si="2"/>
      </c>
      <c r="M40" s="39"/>
      <c r="N40" s="39">
        <f t="shared" si="3"/>
      </c>
      <c r="O40" s="316">
        <f t="shared" si="4"/>
      </c>
      <c r="P40" s="39"/>
      <c r="Q40" s="317">
        <f t="shared" si="5"/>
        <v>3</v>
      </c>
      <c r="R40" s="321" t="str">
        <f t="shared" si="6"/>
        <v>--</v>
      </c>
      <c r="S40" s="327" t="str">
        <f t="shared" si="7"/>
        <v>--</v>
      </c>
      <c r="T40" s="273" t="str">
        <f t="shared" si="8"/>
        <v>--</v>
      </c>
      <c r="U40" s="335" t="str">
        <f t="shared" si="9"/>
        <v>--</v>
      </c>
      <c r="V40" s="344" t="str">
        <f t="shared" si="10"/>
        <v>--</v>
      </c>
      <c r="W40" s="345" t="str">
        <f t="shared" si="11"/>
        <v>--</v>
      </c>
      <c r="X40" s="352" t="str">
        <f t="shared" si="12"/>
        <v>--</v>
      </c>
      <c r="Y40" s="358" t="str">
        <f t="shared" si="13"/>
        <v>--</v>
      </c>
      <c r="Z40" s="39">
        <f t="shared" si="14"/>
      </c>
      <c r="AA40" s="52">
        <f t="shared" si="15"/>
      </c>
      <c r="AB40" s="63"/>
    </row>
    <row r="41" spans="1:28" s="9" customFormat="1" ht="15">
      <c r="A41" s="161"/>
      <c r="B41" s="166"/>
      <c r="C41" s="30"/>
      <c r="D41" s="8"/>
      <c r="E41" s="11"/>
      <c r="F41" s="37"/>
      <c r="G41" s="38"/>
      <c r="H41" s="246">
        <f t="shared" si="0"/>
        <v>0</v>
      </c>
      <c r="I41" s="40"/>
      <c r="J41" s="41"/>
      <c r="K41" s="42">
        <f t="shared" si="1"/>
      </c>
      <c r="L41" s="43">
        <f t="shared" si="2"/>
      </c>
      <c r="M41" s="39"/>
      <c r="N41" s="39">
        <f t="shared" si="3"/>
      </c>
      <c r="O41" s="316">
        <f t="shared" si="4"/>
      </c>
      <c r="P41" s="39"/>
      <c r="Q41" s="317">
        <f t="shared" si="5"/>
        <v>3</v>
      </c>
      <c r="R41" s="321" t="str">
        <f t="shared" si="6"/>
        <v>--</v>
      </c>
      <c r="S41" s="327" t="str">
        <f t="shared" si="7"/>
        <v>--</v>
      </c>
      <c r="T41" s="273" t="str">
        <f t="shared" si="8"/>
        <v>--</v>
      </c>
      <c r="U41" s="335" t="str">
        <f t="shared" si="9"/>
        <v>--</v>
      </c>
      <c r="V41" s="344" t="str">
        <f t="shared" si="10"/>
        <v>--</v>
      </c>
      <c r="W41" s="345" t="str">
        <f t="shared" si="11"/>
        <v>--</v>
      </c>
      <c r="X41" s="352" t="str">
        <f t="shared" si="12"/>
        <v>--</v>
      </c>
      <c r="Y41" s="358" t="str">
        <f t="shared" si="13"/>
        <v>--</v>
      </c>
      <c r="Z41" s="39">
        <f t="shared" si="14"/>
      </c>
      <c r="AA41" s="52">
        <f t="shared" si="15"/>
      </c>
      <c r="AB41" s="63"/>
    </row>
    <row r="42" spans="1:28" s="9" customFormat="1" ht="15">
      <c r="A42" s="161"/>
      <c r="B42" s="166"/>
      <c r="C42" s="30"/>
      <c r="D42" s="8"/>
      <c r="E42" s="11"/>
      <c r="F42" s="37"/>
      <c r="G42" s="38"/>
      <c r="H42" s="246">
        <f t="shared" si="0"/>
        <v>0</v>
      </c>
      <c r="I42" s="40"/>
      <c r="J42" s="41"/>
      <c r="K42" s="42">
        <f t="shared" si="1"/>
      </c>
      <c r="L42" s="43">
        <f t="shared" si="2"/>
      </c>
      <c r="M42" s="39"/>
      <c r="N42" s="39">
        <f t="shared" si="3"/>
      </c>
      <c r="O42" s="316">
        <f t="shared" si="4"/>
      </c>
      <c r="P42" s="39"/>
      <c r="Q42" s="317">
        <f t="shared" si="5"/>
        <v>3</v>
      </c>
      <c r="R42" s="321" t="str">
        <f t="shared" si="6"/>
        <v>--</v>
      </c>
      <c r="S42" s="327" t="str">
        <f t="shared" si="7"/>
        <v>--</v>
      </c>
      <c r="T42" s="273" t="str">
        <f t="shared" si="8"/>
        <v>--</v>
      </c>
      <c r="U42" s="335" t="str">
        <f t="shared" si="9"/>
        <v>--</v>
      </c>
      <c r="V42" s="344" t="str">
        <f t="shared" si="10"/>
        <v>--</v>
      </c>
      <c r="W42" s="345" t="str">
        <f t="shared" si="11"/>
        <v>--</v>
      </c>
      <c r="X42" s="352" t="str">
        <f t="shared" si="12"/>
        <v>--</v>
      </c>
      <c r="Y42" s="358" t="str">
        <f t="shared" si="13"/>
        <v>--</v>
      </c>
      <c r="Z42" s="39">
        <f t="shared" si="14"/>
      </c>
      <c r="AA42" s="52">
        <f t="shared" si="15"/>
      </c>
      <c r="AB42" s="63"/>
    </row>
    <row r="43" spans="1:28" s="9" customFormat="1" ht="15.75" thickBot="1">
      <c r="A43" s="161"/>
      <c r="B43" s="166"/>
      <c r="C43" s="46"/>
      <c r="D43" s="46"/>
      <c r="E43" s="46"/>
      <c r="F43" s="46"/>
      <c r="G43" s="46"/>
      <c r="H43" s="250"/>
      <c r="I43" s="46"/>
      <c r="J43" s="46"/>
      <c r="K43" s="46"/>
      <c r="L43" s="46"/>
      <c r="M43" s="46"/>
      <c r="N43" s="46"/>
      <c r="O43" s="46"/>
      <c r="P43" s="46"/>
      <c r="Q43" s="312"/>
      <c r="R43" s="322"/>
      <c r="S43" s="328"/>
      <c r="T43" s="331"/>
      <c r="U43" s="332"/>
      <c r="V43" s="346"/>
      <c r="W43" s="347"/>
      <c r="X43" s="353"/>
      <c r="Y43" s="359"/>
      <c r="Z43" s="46"/>
      <c r="AA43" s="253"/>
      <c r="AB43" s="63"/>
    </row>
    <row r="44" spans="1:28" s="9" customFormat="1" ht="17.25" thickBot="1" thickTop="1">
      <c r="A44" s="161"/>
      <c r="B44" s="166"/>
      <c r="C44" s="232" t="s">
        <v>76</v>
      </c>
      <c r="D44" s="233" t="s">
        <v>77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323">
        <f aca="true" t="shared" si="16" ref="R44:Y44">SUM(R22:R43)</f>
        <v>1.2143439000000003</v>
      </c>
      <c r="S44" s="329">
        <f t="shared" si="16"/>
        <v>0</v>
      </c>
      <c r="T44" s="333">
        <f t="shared" si="16"/>
        <v>0</v>
      </c>
      <c r="U44" s="333">
        <f t="shared" si="16"/>
        <v>0</v>
      </c>
      <c r="V44" s="348">
        <f t="shared" si="16"/>
        <v>0</v>
      </c>
      <c r="W44" s="348">
        <f t="shared" si="16"/>
        <v>0</v>
      </c>
      <c r="X44" s="354">
        <f t="shared" si="16"/>
        <v>0</v>
      </c>
      <c r="Y44" s="360">
        <f t="shared" si="16"/>
        <v>0</v>
      </c>
      <c r="Z44" s="254"/>
      <c r="AA44" s="399">
        <f>ROUND(SUM(AA22:AA43),2)</f>
        <v>1.21</v>
      </c>
      <c r="AB44" s="63"/>
    </row>
    <row r="45" spans="1:28" s="9" customFormat="1" ht="13.5" thickTop="1">
      <c r="A45" s="161"/>
      <c r="B45" s="166"/>
      <c r="C45" s="234"/>
      <c r="D45" s="235" t="s">
        <v>78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63"/>
    </row>
    <row r="46" spans="1:28" s="9" customFormat="1" ht="13.5" thickBot="1">
      <c r="A46" s="161"/>
      <c r="B46" s="175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7"/>
    </row>
    <row r="47" spans="1:28" ht="16.5" customHeight="1" thickTop="1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2"/>
    </row>
    <row r="48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6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U46"/>
  <sheetViews>
    <sheetView zoomScale="75" zoomScaleNormal="75" workbookViewId="0" topLeftCell="A1">
      <selection activeCell="A18" sqref="A18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25.7109375" style="0" customWidth="1"/>
    <col min="5" max="5" width="35.7109375" style="0" customWidth="1"/>
    <col min="6" max="6" width="10.7109375" style="0" customWidth="1"/>
    <col min="7" max="7" width="14.7109375" style="0" hidden="1" customWidth="1"/>
    <col min="8" max="9" width="15.7109375" style="0" customWidth="1"/>
    <col min="10" max="12" width="9.7109375" style="0" customWidth="1"/>
    <col min="13" max="13" width="8.00390625" style="0" customWidth="1"/>
    <col min="14" max="14" width="13.8515625" style="0" hidden="1" customWidth="1"/>
    <col min="15" max="18" width="16.57421875" style="0" hidden="1" customWidth="1"/>
    <col min="19" max="19" width="16.57421875" style="0" customWidth="1"/>
    <col min="20" max="21" width="15.7109375" style="0" customWidth="1"/>
  </cols>
  <sheetData>
    <row r="1" s="72" customFormat="1" ht="26.25">
      <c r="U1" s="388"/>
    </row>
    <row r="2" spans="2:21" s="72" customFormat="1" ht="26.25">
      <c r="B2" s="73" t="str">
        <f>+'tot-0003'!B2</f>
        <v>ANEXO I A LA RESOLUCION ENRE N° 82/2001</v>
      </c>
      <c r="C2" s="75"/>
      <c r="D2" s="75"/>
      <c r="E2" s="151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="9" customFormat="1" ht="12.75"/>
    <row r="4" spans="1:2" s="79" customFormat="1" ht="11.25">
      <c r="A4" s="77" t="s">
        <v>37</v>
      </c>
      <c r="B4" s="224"/>
    </row>
    <row r="5" spans="1:2" s="79" customFormat="1" ht="11.25">
      <c r="A5" s="77" t="s">
        <v>38</v>
      </c>
      <c r="B5" s="224"/>
    </row>
    <row r="6" s="9" customFormat="1" ht="16.5" customHeight="1" thickBot="1"/>
    <row r="7" spans="2:21" s="9" customFormat="1" ht="16.5" customHeight="1" thickTop="1"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8"/>
    </row>
    <row r="8" spans="2:21" s="83" customFormat="1" ht="20.25">
      <c r="B8" s="139"/>
      <c r="C8" s="84"/>
      <c r="D8" s="33" t="s">
        <v>94</v>
      </c>
      <c r="E8" s="33"/>
      <c r="N8" s="84"/>
      <c r="O8" s="84"/>
      <c r="P8" s="84"/>
      <c r="Q8" s="84"/>
      <c r="R8" s="84"/>
      <c r="S8" s="84"/>
      <c r="T8" s="84"/>
      <c r="U8" s="140"/>
    </row>
    <row r="9" spans="2:21" s="9" customFormat="1" ht="16.5" customHeight="1">
      <c r="B9" s="105"/>
      <c r="C9" s="7"/>
      <c r="D9" s="7"/>
      <c r="E9" s="7"/>
      <c r="F9" s="7"/>
      <c r="G9" s="135"/>
      <c r="H9" s="135"/>
      <c r="I9" s="135"/>
      <c r="J9" s="135"/>
      <c r="K9" s="135"/>
      <c r="N9" s="7"/>
      <c r="O9" s="7"/>
      <c r="P9" s="7"/>
      <c r="Q9" s="7"/>
      <c r="R9" s="7"/>
      <c r="S9" s="7"/>
      <c r="T9" s="7"/>
      <c r="U9" s="10"/>
    </row>
    <row r="10" spans="2:21" s="83" customFormat="1" ht="20.25">
      <c r="B10" s="139"/>
      <c r="C10" s="84"/>
      <c r="D10" s="33" t="s">
        <v>95</v>
      </c>
      <c r="E10" s="33"/>
      <c r="F10" s="84"/>
      <c r="G10" s="33"/>
      <c r="H10" s="33"/>
      <c r="I10" s="33"/>
      <c r="J10" s="33"/>
      <c r="K10" s="33"/>
      <c r="N10" s="84"/>
      <c r="O10" s="84"/>
      <c r="P10" s="84"/>
      <c r="Q10" s="84"/>
      <c r="R10" s="84"/>
      <c r="S10" s="84"/>
      <c r="T10" s="84"/>
      <c r="U10" s="140"/>
    </row>
    <row r="11" spans="2:21" s="9" customFormat="1" ht="16.5" customHeight="1">
      <c r="B11" s="105"/>
      <c r="C11" s="7"/>
      <c r="D11" s="137"/>
      <c r="E11" s="135"/>
      <c r="F11" s="7"/>
      <c r="G11" s="135"/>
      <c r="H11" s="135"/>
      <c r="I11" s="135"/>
      <c r="J11" s="135"/>
      <c r="K11" s="135"/>
      <c r="N11" s="7"/>
      <c r="O11" s="7"/>
      <c r="P11" s="7"/>
      <c r="Q11" s="7"/>
      <c r="R11" s="7"/>
      <c r="S11" s="7"/>
      <c r="T11" s="7"/>
      <c r="U11" s="10"/>
    </row>
    <row r="12" spans="2:21" s="90" customFormat="1" ht="18.75">
      <c r="B12" s="91" t="str">
        <f>+'tot-0003'!B14</f>
        <v>Desde el 01 al 31 de marzo de 2000</v>
      </c>
      <c r="C12" s="95"/>
      <c r="D12" s="95"/>
      <c r="E12" s="95"/>
      <c r="F12" s="95"/>
      <c r="G12" s="95"/>
      <c r="H12" s="207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6"/>
    </row>
    <row r="13" spans="2:21" s="9" customFormat="1" ht="16.5" customHeight="1" thickBot="1">
      <c r="B13" s="105"/>
      <c r="C13" s="7"/>
      <c r="G13" s="129"/>
      <c r="I13" s="7"/>
      <c r="J13" s="7"/>
      <c r="K13" s="7"/>
      <c r="L13" s="129"/>
      <c r="M13" s="129"/>
      <c r="N13" s="129"/>
      <c r="O13" s="7"/>
      <c r="P13" s="7"/>
      <c r="Q13" s="7"/>
      <c r="R13" s="7"/>
      <c r="S13" s="7"/>
      <c r="T13" s="7"/>
      <c r="U13" s="10"/>
    </row>
    <row r="14" spans="2:21" s="9" customFormat="1" ht="16.5" customHeight="1" thickBot="1" thickTop="1">
      <c r="B14" s="105"/>
      <c r="C14" s="7"/>
      <c r="D14" s="208" t="s">
        <v>96</v>
      </c>
      <c r="E14" s="209">
        <v>2.36</v>
      </c>
      <c r="F14" s="210">
        <f>50*'tot-0003'!B13</f>
        <v>50</v>
      </c>
      <c r="H14" s="240" t="str">
        <f>IF(F14=50," ",IF(F14=100,"  Coeficiente duplicado por tasa de falla &gt;4 Sal. x año/100 km.","REVISAR COEFICIENTE"))</f>
        <v> </v>
      </c>
      <c r="Q14" s="7"/>
      <c r="R14" s="7"/>
      <c r="S14" s="7"/>
      <c r="T14" s="202"/>
      <c r="U14" s="10"/>
    </row>
    <row r="15" spans="2:21" s="9" customFormat="1" ht="16.5" customHeight="1" thickBot="1" thickTop="1">
      <c r="B15" s="105"/>
      <c r="C15" s="7"/>
      <c r="D15" s="211" t="s">
        <v>97</v>
      </c>
      <c r="E15" s="212">
        <v>1.77</v>
      </c>
      <c r="F15" s="213">
        <f>25*'tot-0003'!B13</f>
        <v>25</v>
      </c>
      <c r="H15" s="240" t="str">
        <f>IF(F15=25," ",IF(F15=50,"  Coeficiente duplicado por tasa de falla &gt;4 Sal. x año/100 km.","REVISAR COEFICIENTE"))</f>
        <v> </v>
      </c>
      <c r="I15" s="130"/>
      <c r="J15" s="130"/>
      <c r="K15" s="7"/>
      <c r="N15" s="203"/>
      <c r="O15" s="204"/>
      <c r="P15" s="123"/>
      <c r="Q15" s="7"/>
      <c r="R15" s="7"/>
      <c r="S15" s="7"/>
      <c r="T15" s="202"/>
      <c r="U15" s="10"/>
    </row>
    <row r="16" spans="2:21" s="9" customFormat="1" ht="16.5" customHeight="1" thickBot="1" thickTop="1">
      <c r="B16" s="105"/>
      <c r="C16" s="7"/>
      <c r="D16" s="214" t="s">
        <v>98</v>
      </c>
      <c r="E16" s="212">
        <v>1.77</v>
      </c>
      <c r="F16" s="215">
        <f>20*'tot-0003'!B13</f>
        <v>20</v>
      </c>
      <c r="H16" s="240" t="str">
        <f>IF(F16=20," ",IF(F16=40,"  Coeficiente duplicado por tasa de falla &gt;4 Sal. x año/100 km.","REVISAR COEFICIENTE"))</f>
        <v> </v>
      </c>
      <c r="I16" s="130"/>
      <c r="J16" s="130"/>
      <c r="K16" s="7"/>
      <c r="L16" s="647" t="s">
        <v>107</v>
      </c>
      <c r="M16" s="647"/>
      <c r="N16" s="394"/>
      <c r="O16" s="395"/>
      <c r="P16" s="393"/>
      <c r="Q16" s="396"/>
      <c r="R16" s="396"/>
      <c r="S16" s="397">
        <v>0.99</v>
      </c>
      <c r="T16" s="202"/>
      <c r="U16" s="10"/>
    </row>
    <row r="17" spans="2:21" s="9" customFormat="1" ht="16.5" customHeight="1" thickBot="1" thickTop="1">
      <c r="B17" s="105"/>
      <c r="C17" s="7"/>
      <c r="D17" s="205"/>
      <c r="E17" s="206"/>
      <c r="F17" s="123"/>
      <c r="G17" s="7"/>
      <c r="H17" s="123"/>
      <c r="I17" s="130"/>
      <c r="J17" s="130"/>
      <c r="K17" s="7"/>
      <c r="L17" s="7"/>
      <c r="M17" s="7"/>
      <c r="N17" s="203"/>
      <c r="O17" s="204"/>
      <c r="P17" s="123"/>
      <c r="Q17" s="7"/>
      <c r="R17" s="7"/>
      <c r="S17" s="7"/>
      <c r="T17" s="202"/>
      <c r="U17" s="10"/>
    </row>
    <row r="18" spans="2:21" s="9" customFormat="1" ht="33.75" customHeight="1" thickBot="1" thickTop="1">
      <c r="B18" s="105"/>
      <c r="C18" s="223" t="s">
        <v>58</v>
      </c>
      <c r="D18" s="218" t="s">
        <v>84</v>
      </c>
      <c r="E18" s="225" t="s">
        <v>85</v>
      </c>
      <c r="F18" s="226" t="s">
        <v>59</v>
      </c>
      <c r="G18" s="244" t="s">
        <v>61</v>
      </c>
      <c r="H18" s="217" t="s">
        <v>62</v>
      </c>
      <c r="I18" s="225" t="s">
        <v>63</v>
      </c>
      <c r="J18" s="227" t="s">
        <v>99</v>
      </c>
      <c r="K18" s="227" t="s">
        <v>88</v>
      </c>
      <c r="L18" s="159" t="s">
        <v>66</v>
      </c>
      <c r="M18" s="222" t="s">
        <v>89</v>
      </c>
      <c r="N18" s="361" t="s">
        <v>100</v>
      </c>
      <c r="O18" s="365" t="s">
        <v>68</v>
      </c>
      <c r="P18" s="371" t="s">
        <v>92</v>
      </c>
      <c r="Q18" s="372"/>
      <c r="R18" s="298" t="s">
        <v>72</v>
      </c>
      <c r="S18" s="221" t="s">
        <v>74</v>
      </c>
      <c r="T18" s="221" t="s">
        <v>75</v>
      </c>
      <c r="U18" s="63"/>
    </row>
    <row r="19" spans="2:21" s="9" customFormat="1" ht="16.5" customHeight="1" hidden="1" thickTop="1">
      <c r="B19" s="105"/>
      <c r="C19" s="32"/>
      <c r="D19" s="64"/>
      <c r="E19" s="48"/>
      <c r="F19" s="12"/>
      <c r="G19" s="251"/>
      <c r="H19" s="49"/>
      <c r="I19" s="50"/>
      <c r="J19" s="51"/>
      <c r="K19" s="43"/>
      <c r="L19" s="44"/>
      <c r="M19" s="44"/>
      <c r="N19" s="368"/>
      <c r="O19" s="369"/>
      <c r="P19" s="373"/>
      <c r="Q19" s="376"/>
      <c r="R19" s="379"/>
      <c r="S19" s="370"/>
      <c r="T19" s="71"/>
      <c r="U19" s="63"/>
    </row>
    <row r="20" spans="2:21" s="9" customFormat="1" ht="16.5" customHeight="1" thickTop="1">
      <c r="B20" s="105"/>
      <c r="C20" s="32"/>
      <c r="D20" s="48"/>
      <c r="E20" s="48"/>
      <c r="F20" s="12"/>
      <c r="G20" s="251"/>
      <c r="H20" s="49"/>
      <c r="I20" s="50"/>
      <c r="J20" s="51"/>
      <c r="K20" s="43"/>
      <c r="L20" s="44"/>
      <c r="M20" s="44"/>
      <c r="N20" s="362"/>
      <c r="O20" s="366"/>
      <c r="P20" s="374"/>
      <c r="Q20" s="377"/>
      <c r="R20" s="380"/>
      <c r="S20" s="39"/>
      <c r="T20" s="216"/>
      <c r="U20" s="63"/>
    </row>
    <row r="21" spans="2:21" s="9" customFormat="1" ht="16.5" customHeight="1">
      <c r="B21" s="105"/>
      <c r="C21" s="32">
        <v>45</v>
      </c>
      <c r="D21" s="48" t="s">
        <v>25</v>
      </c>
      <c r="E21" s="48" t="s">
        <v>128</v>
      </c>
      <c r="F21" s="12">
        <v>13.2</v>
      </c>
      <c r="G21" s="251">
        <f aca="true" t="shared" si="0" ref="G21:G32">IF(OR(F21=132,F21=66),$E$14,IF(F21=33,$E$15,$E$16))*$S$16</f>
        <v>1.7523</v>
      </c>
      <c r="H21" s="49">
        <v>36592.2375</v>
      </c>
      <c r="I21" s="50">
        <v>36592.368055555555</v>
      </c>
      <c r="J21" s="51">
        <f aca="true" t="shared" si="1" ref="J21:J31">IF(D21="","",(I21-H21)*24)</f>
        <v>3.1333333332440816</v>
      </c>
      <c r="K21" s="43">
        <f aca="true" t="shared" si="2" ref="K21:K31">IF(D21="","",ROUND((I21-H21)*24*60,0))</f>
        <v>188</v>
      </c>
      <c r="L21" s="44" t="s">
        <v>109</v>
      </c>
      <c r="M21" s="44" t="str">
        <f aca="true" t="shared" si="3" ref="M21:M27">IF(D21="","",IF(OR(L21="P",L21="RP"),"--","NO"))</f>
        <v>NO</v>
      </c>
      <c r="N21" s="362">
        <f aca="true" t="shared" si="4" ref="N21:N31">IF(F21&gt;33,$F$14,IF(F21=33,$F$15,$F$16))</f>
        <v>20</v>
      </c>
      <c r="O21" s="366" t="str">
        <f aca="true" t="shared" si="5" ref="O21:O31">IF(L21="P",G21*N21*ROUND(K21/60,2)*0.1,"--")</f>
        <v>--</v>
      </c>
      <c r="P21" s="374">
        <f aca="true" t="shared" si="6" ref="P21:P31">IF(AND(L21="F",M21="NO"),G21*N21,"--")</f>
        <v>35.046</v>
      </c>
      <c r="Q21" s="377">
        <f aca="true" t="shared" si="7" ref="Q21:Q31">IF(L21="F",G21*N21*ROUND(K21/60,2),"--")</f>
        <v>109.69398</v>
      </c>
      <c r="R21" s="380" t="str">
        <f aca="true" t="shared" si="8" ref="R21:R31">IF(L21="RF",G21*N21*ROUND(K21/60,2),"--")</f>
        <v>--</v>
      </c>
      <c r="S21" s="39" t="str">
        <f aca="true" t="shared" si="9" ref="S21:S31">IF(D21="","","SI")</f>
        <v>SI</v>
      </c>
      <c r="T21" s="53">
        <f aca="true" t="shared" si="10" ref="T21:T31">IF(D21="","",SUM(O21:R21)*IF(S21="SI",1,2)*IF(F21="500/220",0,1))</f>
        <v>144.73998</v>
      </c>
      <c r="U21" s="385"/>
    </row>
    <row r="22" spans="2:21" s="9" customFormat="1" ht="16.5" customHeight="1">
      <c r="B22" s="105"/>
      <c r="C22" s="32">
        <v>46</v>
      </c>
      <c r="D22" s="48" t="s">
        <v>25</v>
      </c>
      <c r="E22" s="48" t="s">
        <v>129</v>
      </c>
      <c r="F22" s="12">
        <v>13.2</v>
      </c>
      <c r="G22" s="251">
        <f t="shared" si="0"/>
        <v>1.7523</v>
      </c>
      <c r="H22" s="49">
        <v>36592.2375</v>
      </c>
      <c r="I22" s="50">
        <v>36592.333333333336</v>
      </c>
      <c r="J22" s="51">
        <f t="shared" si="1"/>
        <v>2.2999999999883585</v>
      </c>
      <c r="K22" s="43">
        <f t="shared" si="2"/>
        <v>138</v>
      </c>
      <c r="L22" s="44" t="s">
        <v>109</v>
      </c>
      <c r="M22" s="44" t="str">
        <f t="shared" si="3"/>
        <v>NO</v>
      </c>
      <c r="N22" s="362">
        <f t="shared" si="4"/>
        <v>20</v>
      </c>
      <c r="O22" s="366" t="str">
        <f t="shared" si="5"/>
        <v>--</v>
      </c>
      <c r="P22" s="374">
        <f t="shared" si="6"/>
        <v>35.046</v>
      </c>
      <c r="Q22" s="377">
        <f t="shared" si="7"/>
        <v>80.60579999999999</v>
      </c>
      <c r="R22" s="380" t="str">
        <f t="shared" si="8"/>
        <v>--</v>
      </c>
      <c r="S22" s="39" t="str">
        <f t="shared" si="9"/>
        <v>SI</v>
      </c>
      <c r="T22" s="53">
        <f t="shared" si="10"/>
        <v>115.65179999999998</v>
      </c>
      <c r="U22" s="385"/>
    </row>
    <row r="23" spans="2:21" s="9" customFormat="1" ht="16.5" customHeight="1">
      <c r="B23" s="105"/>
      <c r="C23" s="32">
        <v>47</v>
      </c>
      <c r="D23" s="48" t="s">
        <v>25</v>
      </c>
      <c r="E23" s="48" t="s">
        <v>133</v>
      </c>
      <c r="F23" s="12">
        <v>13.2</v>
      </c>
      <c r="G23" s="251">
        <f t="shared" si="0"/>
        <v>1.7523</v>
      </c>
      <c r="H23" s="49">
        <v>36592.2375</v>
      </c>
      <c r="I23" s="50">
        <v>36592.34722222222</v>
      </c>
      <c r="J23" s="51">
        <f t="shared" si="1"/>
        <v>2.633333333185874</v>
      </c>
      <c r="K23" s="43">
        <f t="shared" si="2"/>
        <v>158</v>
      </c>
      <c r="L23" s="44" t="s">
        <v>109</v>
      </c>
      <c r="M23" s="44" t="str">
        <f t="shared" si="3"/>
        <v>NO</v>
      </c>
      <c r="N23" s="362">
        <f t="shared" si="4"/>
        <v>20</v>
      </c>
      <c r="O23" s="366" t="str">
        <f t="shared" si="5"/>
        <v>--</v>
      </c>
      <c r="P23" s="374">
        <f t="shared" si="6"/>
        <v>35.046</v>
      </c>
      <c r="Q23" s="377">
        <f t="shared" si="7"/>
        <v>92.17098</v>
      </c>
      <c r="R23" s="380" t="str">
        <f t="shared" si="8"/>
        <v>--</v>
      </c>
      <c r="S23" s="39" t="str">
        <f t="shared" si="9"/>
        <v>SI</v>
      </c>
      <c r="T23" s="53">
        <f t="shared" si="10"/>
        <v>127.21698</v>
      </c>
      <c r="U23" s="385"/>
    </row>
    <row r="24" spans="2:21" s="9" customFormat="1" ht="16.5" customHeight="1">
      <c r="B24" s="105"/>
      <c r="C24" s="32">
        <v>48</v>
      </c>
      <c r="D24" s="48" t="s">
        <v>25</v>
      </c>
      <c r="E24" s="48" t="s">
        <v>130</v>
      </c>
      <c r="F24" s="12">
        <v>13.2</v>
      </c>
      <c r="G24" s="251">
        <f t="shared" si="0"/>
        <v>1.7523</v>
      </c>
      <c r="H24" s="49">
        <v>36592.2375</v>
      </c>
      <c r="I24" s="50">
        <v>36592.36111111111</v>
      </c>
      <c r="J24" s="51">
        <f t="shared" si="1"/>
        <v>2.9666666665580124</v>
      </c>
      <c r="K24" s="43">
        <f t="shared" si="2"/>
        <v>178</v>
      </c>
      <c r="L24" s="44" t="s">
        <v>109</v>
      </c>
      <c r="M24" s="44" t="str">
        <f t="shared" si="3"/>
        <v>NO</v>
      </c>
      <c r="N24" s="362">
        <f t="shared" si="4"/>
        <v>20</v>
      </c>
      <c r="O24" s="366" t="str">
        <f t="shared" si="5"/>
        <v>--</v>
      </c>
      <c r="P24" s="374">
        <f t="shared" si="6"/>
        <v>35.046</v>
      </c>
      <c r="Q24" s="377">
        <f t="shared" si="7"/>
        <v>104.08662000000001</v>
      </c>
      <c r="R24" s="380" t="str">
        <f t="shared" si="8"/>
        <v>--</v>
      </c>
      <c r="S24" s="39" t="str">
        <f t="shared" si="9"/>
        <v>SI</v>
      </c>
      <c r="T24" s="53">
        <f t="shared" si="10"/>
        <v>139.13262</v>
      </c>
      <c r="U24" s="385"/>
    </row>
    <row r="25" spans="2:21" s="9" customFormat="1" ht="16.5" customHeight="1">
      <c r="B25" s="105"/>
      <c r="C25" s="32">
        <v>49</v>
      </c>
      <c r="D25" s="48" t="s">
        <v>25</v>
      </c>
      <c r="E25" s="48" t="s">
        <v>131</v>
      </c>
      <c r="F25" s="12">
        <v>13.2</v>
      </c>
      <c r="G25" s="251">
        <f t="shared" si="0"/>
        <v>1.7523</v>
      </c>
      <c r="H25" s="49">
        <v>36592.2375</v>
      </c>
      <c r="I25" s="50">
        <v>36592.36111111111</v>
      </c>
      <c r="J25" s="51">
        <f t="shared" si="1"/>
        <v>2.9666666665580124</v>
      </c>
      <c r="K25" s="43">
        <f t="shared" si="2"/>
        <v>178</v>
      </c>
      <c r="L25" s="44" t="s">
        <v>109</v>
      </c>
      <c r="M25" s="44" t="str">
        <f t="shared" si="3"/>
        <v>NO</v>
      </c>
      <c r="N25" s="362">
        <f t="shared" si="4"/>
        <v>20</v>
      </c>
      <c r="O25" s="366" t="str">
        <f t="shared" si="5"/>
        <v>--</v>
      </c>
      <c r="P25" s="374">
        <f t="shared" si="6"/>
        <v>35.046</v>
      </c>
      <c r="Q25" s="377">
        <f t="shared" si="7"/>
        <v>104.08662000000001</v>
      </c>
      <c r="R25" s="380" t="str">
        <f t="shared" si="8"/>
        <v>--</v>
      </c>
      <c r="S25" s="39" t="str">
        <f t="shared" si="9"/>
        <v>SI</v>
      </c>
      <c r="T25" s="53">
        <f t="shared" si="10"/>
        <v>139.13262</v>
      </c>
      <c r="U25" s="385"/>
    </row>
    <row r="26" spans="2:21" s="9" customFormat="1" ht="16.5" customHeight="1">
      <c r="B26" s="105"/>
      <c r="C26" s="32">
        <v>50</v>
      </c>
      <c r="D26" s="48" t="s">
        <v>25</v>
      </c>
      <c r="E26" s="48" t="s">
        <v>132</v>
      </c>
      <c r="F26" s="12">
        <v>13.2</v>
      </c>
      <c r="G26" s="251">
        <f t="shared" si="0"/>
        <v>1.7523</v>
      </c>
      <c r="H26" s="49">
        <v>36592.2375</v>
      </c>
      <c r="I26" s="50">
        <v>36592.333333333336</v>
      </c>
      <c r="J26" s="51">
        <f t="shared" si="1"/>
        <v>2.2999999999883585</v>
      </c>
      <c r="K26" s="43">
        <f t="shared" si="2"/>
        <v>138</v>
      </c>
      <c r="L26" s="44" t="s">
        <v>109</v>
      </c>
      <c r="M26" s="44" t="str">
        <f t="shared" si="3"/>
        <v>NO</v>
      </c>
      <c r="N26" s="362">
        <f t="shared" si="4"/>
        <v>20</v>
      </c>
      <c r="O26" s="366" t="str">
        <f t="shared" si="5"/>
        <v>--</v>
      </c>
      <c r="P26" s="374">
        <f t="shared" si="6"/>
        <v>35.046</v>
      </c>
      <c r="Q26" s="377">
        <f t="shared" si="7"/>
        <v>80.60579999999999</v>
      </c>
      <c r="R26" s="380" t="str">
        <f t="shared" si="8"/>
        <v>--</v>
      </c>
      <c r="S26" s="39" t="str">
        <f t="shared" si="9"/>
        <v>SI</v>
      </c>
      <c r="T26" s="53">
        <f t="shared" si="10"/>
        <v>115.65179999999998</v>
      </c>
      <c r="U26" s="63"/>
    </row>
    <row r="27" spans="2:21" s="9" customFormat="1" ht="16.5" customHeight="1">
      <c r="B27" s="105"/>
      <c r="C27" s="32">
        <v>51</v>
      </c>
      <c r="D27" s="48" t="s">
        <v>18</v>
      </c>
      <c r="E27" s="48" t="s">
        <v>30</v>
      </c>
      <c r="F27" s="12">
        <v>33</v>
      </c>
      <c r="G27" s="251">
        <f t="shared" si="0"/>
        <v>1.7523</v>
      </c>
      <c r="H27" s="49">
        <v>36607.56458333333</v>
      </c>
      <c r="I27" s="50">
        <v>36607.589583333334</v>
      </c>
      <c r="J27" s="51">
        <f t="shared" si="1"/>
        <v>0.6000000000349246</v>
      </c>
      <c r="K27" s="43">
        <f t="shared" si="2"/>
        <v>36</v>
      </c>
      <c r="L27" s="44" t="s">
        <v>111</v>
      </c>
      <c r="M27" s="44" t="str">
        <f t="shared" si="3"/>
        <v>--</v>
      </c>
      <c r="N27" s="362">
        <f t="shared" si="4"/>
        <v>25</v>
      </c>
      <c r="O27" s="366">
        <f t="shared" si="5"/>
        <v>2.62845</v>
      </c>
      <c r="P27" s="374" t="str">
        <f t="shared" si="6"/>
        <v>--</v>
      </c>
      <c r="Q27" s="377" t="str">
        <f t="shared" si="7"/>
        <v>--</v>
      </c>
      <c r="R27" s="380" t="str">
        <f t="shared" si="8"/>
        <v>--</v>
      </c>
      <c r="S27" s="39" t="str">
        <f t="shared" si="9"/>
        <v>SI</v>
      </c>
      <c r="T27" s="53">
        <f t="shared" si="10"/>
        <v>2.62845</v>
      </c>
      <c r="U27" s="385"/>
    </row>
    <row r="28" spans="2:21" s="9" customFormat="1" ht="16.5" customHeight="1">
      <c r="B28" s="105"/>
      <c r="C28" s="32">
        <v>52</v>
      </c>
      <c r="D28" s="48" t="s">
        <v>18</v>
      </c>
      <c r="E28" s="48" t="s">
        <v>31</v>
      </c>
      <c r="F28" s="12">
        <v>33</v>
      </c>
      <c r="G28" s="251">
        <f t="shared" si="0"/>
        <v>1.7523</v>
      </c>
      <c r="H28" s="49">
        <v>36607.56458333333</v>
      </c>
      <c r="I28" s="50">
        <v>36607.59027777778</v>
      </c>
      <c r="J28" s="51">
        <f t="shared" si="1"/>
        <v>0.6166666667559184</v>
      </c>
      <c r="K28" s="43">
        <f t="shared" si="2"/>
        <v>37</v>
      </c>
      <c r="L28" s="44" t="s">
        <v>111</v>
      </c>
      <c r="M28" s="44" t="str">
        <f aca="true" t="shared" si="11" ref="M28:M41">IF(D28="","",IF(OR(L28="P",L28="RP"),"--","NO"))</f>
        <v>--</v>
      </c>
      <c r="N28" s="362">
        <f t="shared" si="4"/>
        <v>25</v>
      </c>
      <c r="O28" s="366">
        <f t="shared" si="5"/>
        <v>2.716065</v>
      </c>
      <c r="P28" s="374" t="str">
        <f t="shared" si="6"/>
        <v>--</v>
      </c>
      <c r="Q28" s="377" t="str">
        <f t="shared" si="7"/>
        <v>--</v>
      </c>
      <c r="R28" s="380" t="str">
        <f t="shared" si="8"/>
        <v>--</v>
      </c>
      <c r="S28" s="39" t="str">
        <f t="shared" si="9"/>
        <v>SI</v>
      </c>
      <c r="T28" s="53">
        <f t="shared" si="10"/>
        <v>2.716065</v>
      </c>
      <c r="U28" s="385"/>
    </row>
    <row r="29" spans="2:21" s="9" customFormat="1" ht="16.5" customHeight="1">
      <c r="B29" s="105"/>
      <c r="C29" s="32">
        <v>53</v>
      </c>
      <c r="D29" s="48" t="s">
        <v>18</v>
      </c>
      <c r="E29" s="48" t="s">
        <v>32</v>
      </c>
      <c r="F29" s="12">
        <v>33</v>
      </c>
      <c r="G29" s="251">
        <f t="shared" si="0"/>
        <v>1.7523</v>
      </c>
      <c r="H29" s="49">
        <v>36607.56458333333</v>
      </c>
      <c r="I29" s="50">
        <v>36607.589583333334</v>
      </c>
      <c r="J29" s="51">
        <f t="shared" si="1"/>
        <v>0.6000000000349246</v>
      </c>
      <c r="K29" s="43">
        <f t="shared" si="2"/>
        <v>36</v>
      </c>
      <c r="L29" s="44" t="s">
        <v>111</v>
      </c>
      <c r="M29" s="44" t="str">
        <f t="shared" si="11"/>
        <v>--</v>
      </c>
      <c r="N29" s="362">
        <f t="shared" si="4"/>
        <v>25</v>
      </c>
      <c r="O29" s="366">
        <f t="shared" si="5"/>
        <v>2.62845</v>
      </c>
      <c r="P29" s="374" t="str">
        <f t="shared" si="6"/>
        <v>--</v>
      </c>
      <c r="Q29" s="377" t="str">
        <f t="shared" si="7"/>
        <v>--</v>
      </c>
      <c r="R29" s="380" t="str">
        <f t="shared" si="8"/>
        <v>--</v>
      </c>
      <c r="S29" s="39" t="str">
        <f t="shared" si="9"/>
        <v>SI</v>
      </c>
      <c r="T29" s="53">
        <f t="shared" si="10"/>
        <v>2.62845</v>
      </c>
      <c r="U29" s="385"/>
    </row>
    <row r="30" spans="2:21" s="9" customFormat="1" ht="16.5" customHeight="1">
      <c r="B30" s="105"/>
      <c r="C30" s="32">
        <v>54</v>
      </c>
      <c r="D30" s="48" t="s">
        <v>18</v>
      </c>
      <c r="E30" s="48" t="s">
        <v>33</v>
      </c>
      <c r="F30" s="12">
        <v>33</v>
      </c>
      <c r="G30" s="251">
        <f t="shared" si="0"/>
        <v>1.7523</v>
      </c>
      <c r="H30" s="49">
        <v>36607.56458333333</v>
      </c>
      <c r="I30" s="50">
        <v>36607.59027777778</v>
      </c>
      <c r="J30" s="51">
        <f t="shared" si="1"/>
        <v>0.6166666667559184</v>
      </c>
      <c r="K30" s="43">
        <f t="shared" si="2"/>
        <v>37</v>
      </c>
      <c r="L30" s="44" t="s">
        <v>111</v>
      </c>
      <c r="M30" s="44" t="str">
        <f t="shared" si="11"/>
        <v>--</v>
      </c>
      <c r="N30" s="362">
        <f t="shared" si="4"/>
        <v>25</v>
      </c>
      <c r="O30" s="366">
        <f t="shared" si="5"/>
        <v>2.716065</v>
      </c>
      <c r="P30" s="374" t="str">
        <f t="shared" si="6"/>
        <v>--</v>
      </c>
      <c r="Q30" s="377" t="str">
        <f t="shared" si="7"/>
        <v>--</v>
      </c>
      <c r="R30" s="380" t="str">
        <f t="shared" si="8"/>
        <v>--</v>
      </c>
      <c r="S30" s="39" t="str">
        <f t="shared" si="9"/>
        <v>SI</v>
      </c>
      <c r="T30" s="53">
        <f t="shared" si="10"/>
        <v>2.716065</v>
      </c>
      <c r="U30" s="63"/>
    </row>
    <row r="31" spans="2:21" s="9" customFormat="1" ht="16.5" customHeight="1">
      <c r="B31" s="105"/>
      <c r="C31" s="32">
        <v>55</v>
      </c>
      <c r="D31" s="48" t="s">
        <v>18</v>
      </c>
      <c r="E31" s="48" t="s">
        <v>34</v>
      </c>
      <c r="F31" s="12">
        <v>33</v>
      </c>
      <c r="G31" s="251">
        <f t="shared" si="0"/>
        <v>1.7523</v>
      </c>
      <c r="H31" s="49">
        <v>36607.56458333333</v>
      </c>
      <c r="I31" s="50">
        <v>36607.589583333334</v>
      </c>
      <c r="J31" s="51">
        <f t="shared" si="1"/>
        <v>0.6000000000349246</v>
      </c>
      <c r="K31" s="43">
        <f t="shared" si="2"/>
        <v>36</v>
      </c>
      <c r="L31" s="44" t="s">
        <v>111</v>
      </c>
      <c r="M31" s="44" t="str">
        <f t="shared" si="11"/>
        <v>--</v>
      </c>
      <c r="N31" s="362">
        <f t="shared" si="4"/>
        <v>25</v>
      </c>
      <c r="O31" s="366">
        <f t="shared" si="5"/>
        <v>2.62845</v>
      </c>
      <c r="P31" s="374" t="str">
        <f t="shared" si="6"/>
        <v>--</v>
      </c>
      <c r="Q31" s="377" t="str">
        <f t="shared" si="7"/>
        <v>--</v>
      </c>
      <c r="R31" s="380" t="str">
        <f t="shared" si="8"/>
        <v>--</v>
      </c>
      <c r="S31" s="39" t="str">
        <f t="shared" si="9"/>
        <v>SI</v>
      </c>
      <c r="T31" s="53">
        <f t="shared" si="10"/>
        <v>2.62845</v>
      </c>
      <c r="U31" s="63"/>
    </row>
    <row r="32" spans="2:21" s="9" customFormat="1" ht="16.5" customHeight="1">
      <c r="B32" s="105"/>
      <c r="C32" s="32">
        <v>56</v>
      </c>
      <c r="D32" s="48" t="s">
        <v>18</v>
      </c>
      <c r="E32" s="48" t="s">
        <v>35</v>
      </c>
      <c r="F32" s="12">
        <v>33</v>
      </c>
      <c r="G32" s="251">
        <f t="shared" si="0"/>
        <v>1.7523</v>
      </c>
      <c r="H32" s="49">
        <v>36607.56458333333</v>
      </c>
      <c r="I32" s="50">
        <v>36607.59027777778</v>
      </c>
      <c r="J32" s="51">
        <f aca="true" t="shared" si="12" ref="J32:J38">IF(D32="","",(I32-H32)*24)</f>
        <v>0.6166666667559184</v>
      </c>
      <c r="K32" s="43">
        <f aca="true" t="shared" si="13" ref="K32:K38">IF(D32="","",ROUND((I32-H32)*24*60,0))</f>
        <v>37</v>
      </c>
      <c r="L32" s="44" t="s">
        <v>111</v>
      </c>
      <c r="M32" s="44" t="str">
        <f t="shared" si="11"/>
        <v>--</v>
      </c>
      <c r="N32" s="362">
        <f aca="true" t="shared" si="14" ref="N32:N38">IF(F32&gt;33,$F$14,IF(F32=33,$F$15,$F$16))</f>
        <v>25</v>
      </c>
      <c r="O32" s="366">
        <f aca="true" t="shared" si="15" ref="O32:O38">IF(L32="P",G32*N32*ROUND(K32/60,2)*0.1,"--")</f>
        <v>2.716065</v>
      </c>
      <c r="P32" s="374" t="str">
        <f aca="true" t="shared" si="16" ref="P32:P38">IF(AND(L32="F",M32="NO"),G32*N32,"--")</f>
        <v>--</v>
      </c>
      <c r="Q32" s="377" t="str">
        <f aca="true" t="shared" si="17" ref="Q32:Q38">IF(L32="F",G32*N32*ROUND(K32/60,2),"--")</f>
        <v>--</v>
      </c>
      <c r="R32" s="380" t="str">
        <f aca="true" t="shared" si="18" ref="R32:R38">IF(L32="RF",G32*N32*ROUND(K32/60,2),"--")</f>
        <v>--</v>
      </c>
      <c r="S32" s="39" t="str">
        <f aca="true" t="shared" si="19" ref="S32:S38">IF(D32="","","SI")</f>
        <v>SI</v>
      </c>
      <c r="T32" s="53">
        <f aca="true" t="shared" si="20" ref="T32:T38">IF(D32="","",SUM(O32:R32)*IF(S32="SI",1,2)*IF(F32="500/220",0,1))</f>
        <v>2.716065</v>
      </c>
      <c r="U32" s="63"/>
    </row>
    <row r="33" spans="2:21" s="9" customFormat="1" ht="16.5" customHeight="1">
      <c r="B33" s="105"/>
      <c r="C33" s="32">
        <v>57</v>
      </c>
      <c r="D33" s="48" t="s">
        <v>36</v>
      </c>
      <c r="E33" s="48" t="s">
        <v>102</v>
      </c>
      <c r="F33" s="12">
        <v>66</v>
      </c>
      <c r="G33" s="251">
        <f aca="true" t="shared" si="21" ref="G33:G41">IF(OR(F33=132,F33=66),$E$14,IF(F33=33,$E$15,$E$16))*$S$16</f>
        <v>2.3364</v>
      </c>
      <c r="H33" s="49">
        <v>36611.22986111111</v>
      </c>
      <c r="I33" s="50">
        <v>36611.5875</v>
      </c>
      <c r="J33" s="51">
        <f t="shared" si="12"/>
        <v>8.583333333372138</v>
      </c>
      <c r="K33" s="43">
        <f t="shared" si="13"/>
        <v>515</v>
      </c>
      <c r="L33" s="44" t="s">
        <v>111</v>
      </c>
      <c r="M33" s="44" t="str">
        <f t="shared" si="11"/>
        <v>--</v>
      </c>
      <c r="N33" s="362">
        <f t="shared" si="14"/>
        <v>50</v>
      </c>
      <c r="O33" s="366">
        <f t="shared" si="15"/>
        <v>100.23156</v>
      </c>
      <c r="P33" s="374" t="str">
        <f t="shared" si="16"/>
        <v>--</v>
      </c>
      <c r="Q33" s="377" t="str">
        <f t="shared" si="17"/>
        <v>--</v>
      </c>
      <c r="R33" s="380" t="str">
        <f t="shared" si="18"/>
        <v>--</v>
      </c>
      <c r="S33" s="39" t="str">
        <f t="shared" si="19"/>
        <v>SI</v>
      </c>
      <c r="T33" s="53">
        <f t="shared" si="20"/>
        <v>100.23156</v>
      </c>
      <c r="U33" s="63"/>
    </row>
    <row r="34" spans="2:21" s="9" customFormat="1" ht="16.5" customHeight="1">
      <c r="B34" s="105"/>
      <c r="C34" s="32"/>
      <c r="D34" s="48"/>
      <c r="E34" s="48"/>
      <c r="F34" s="12"/>
      <c r="G34" s="251">
        <f t="shared" si="21"/>
        <v>1.7523</v>
      </c>
      <c r="H34" s="49"/>
      <c r="I34" s="50"/>
      <c r="J34" s="51">
        <f t="shared" si="12"/>
      </c>
      <c r="K34" s="43">
        <f t="shared" si="13"/>
      </c>
      <c r="L34" s="44"/>
      <c r="M34" s="44">
        <f t="shared" si="11"/>
      </c>
      <c r="N34" s="362">
        <f t="shared" si="14"/>
        <v>20</v>
      </c>
      <c r="O34" s="366" t="str">
        <f t="shared" si="15"/>
        <v>--</v>
      </c>
      <c r="P34" s="374" t="str">
        <f t="shared" si="16"/>
        <v>--</v>
      </c>
      <c r="Q34" s="377" t="str">
        <f t="shared" si="17"/>
        <v>--</v>
      </c>
      <c r="R34" s="380" t="str">
        <f t="shared" si="18"/>
        <v>--</v>
      </c>
      <c r="S34" s="39">
        <f t="shared" si="19"/>
      </c>
      <c r="T34" s="53">
        <f t="shared" si="20"/>
      </c>
      <c r="U34" s="63"/>
    </row>
    <row r="35" spans="2:21" s="9" customFormat="1" ht="16.5" customHeight="1">
      <c r="B35" s="105"/>
      <c r="C35" s="32"/>
      <c r="D35" s="48"/>
      <c r="E35" s="48"/>
      <c r="F35" s="12"/>
      <c r="G35" s="251">
        <f t="shared" si="21"/>
        <v>1.7523</v>
      </c>
      <c r="H35" s="49"/>
      <c r="I35" s="50"/>
      <c r="J35" s="51">
        <f t="shared" si="12"/>
      </c>
      <c r="K35" s="43">
        <f t="shared" si="13"/>
      </c>
      <c r="L35" s="44"/>
      <c r="M35" s="44">
        <f t="shared" si="11"/>
      </c>
      <c r="N35" s="362">
        <f t="shared" si="14"/>
        <v>20</v>
      </c>
      <c r="O35" s="366" t="str">
        <f t="shared" si="15"/>
        <v>--</v>
      </c>
      <c r="P35" s="374" t="str">
        <f t="shared" si="16"/>
        <v>--</v>
      </c>
      <c r="Q35" s="377" t="str">
        <f t="shared" si="17"/>
        <v>--</v>
      </c>
      <c r="R35" s="380" t="str">
        <f t="shared" si="18"/>
        <v>--</v>
      </c>
      <c r="S35" s="39">
        <f t="shared" si="19"/>
      </c>
      <c r="T35" s="53">
        <f t="shared" si="20"/>
      </c>
      <c r="U35" s="63"/>
    </row>
    <row r="36" spans="2:21" s="9" customFormat="1" ht="16.5" customHeight="1">
      <c r="B36" s="105"/>
      <c r="C36" s="32"/>
      <c r="D36" s="48"/>
      <c r="E36" s="48"/>
      <c r="F36" s="12"/>
      <c r="G36" s="251">
        <f t="shared" si="21"/>
        <v>1.7523</v>
      </c>
      <c r="H36" s="49"/>
      <c r="I36" s="50"/>
      <c r="J36" s="51">
        <f t="shared" si="12"/>
      </c>
      <c r="K36" s="43">
        <f t="shared" si="13"/>
      </c>
      <c r="L36" s="44"/>
      <c r="M36" s="44">
        <f t="shared" si="11"/>
      </c>
      <c r="N36" s="362">
        <f t="shared" si="14"/>
        <v>20</v>
      </c>
      <c r="O36" s="366" t="str">
        <f t="shared" si="15"/>
        <v>--</v>
      </c>
      <c r="P36" s="374" t="str">
        <f t="shared" si="16"/>
        <v>--</v>
      </c>
      <c r="Q36" s="377" t="str">
        <f t="shared" si="17"/>
        <v>--</v>
      </c>
      <c r="R36" s="380" t="str">
        <f t="shared" si="18"/>
        <v>--</v>
      </c>
      <c r="S36" s="39">
        <f t="shared" si="19"/>
      </c>
      <c r="T36" s="53">
        <f t="shared" si="20"/>
      </c>
      <c r="U36" s="63"/>
    </row>
    <row r="37" spans="2:21" s="9" customFormat="1" ht="15">
      <c r="B37" s="105"/>
      <c r="C37" s="32"/>
      <c r="D37" s="48"/>
      <c r="E37" s="48"/>
      <c r="F37" s="12"/>
      <c r="G37" s="251">
        <f t="shared" si="21"/>
        <v>1.7523</v>
      </c>
      <c r="H37" s="49"/>
      <c r="I37" s="50"/>
      <c r="J37" s="51">
        <f t="shared" si="12"/>
      </c>
      <c r="K37" s="43">
        <f t="shared" si="13"/>
      </c>
      <c r="L37" s="44"/>
      <c r="M37" s="44">
        <f t="shared" si="11"/>
      </c>
      <c r="N37" s="362">
        <f t="shared" si="14"/>
        <v>20</v>
      </c>
      <c r="O37" s="366" t="str">
        <f t="shared" si="15"/>
        <v>--</v>
      </c>
      <c r="P37" s="374" t="str">
        <f t="shared" si="16"/>
        <v>--</v>
      </c>
      <c r="Q37" s="377" t="str">
        <f t="shared" si="17"/>
        <v>--</v>
      </c>
      <c r="R37" s="380" t="str">
        <f t="shared" si="18"/>
        <v>--</v>
      </c>
      <c r="S37" s="39">
        <f t="shared" si="19"/>
      </c>
      <c r="T37" s="53">
        <f t="shared" si="20"/>
      </c>
      <c r="U37" s="63"/>
    </row>
    <row r="38" spans="2:21" s="9" customFormat="1" ht="16.5" customHeight="1">
      <c r="B38" s="105"/>
      <c r="C38" s="32"/>
      <c r="D38" s="48"/>
      <c r="E38" s="48"/>
      <c r="F38" s="12"/>
      <c r="G38" s="251">
        <f t="shared" si="21"/>
        <v>1.7523</v>
      </c>
      <c r="H38" s="49"/>
      <c r="I38" s="50"/>
      <c r="J38" s="51">
        <f t="shared" si="12"/>
      </c>
      <c r="K38" s="43">
        <f t="shared" si="13"/>
      </c>
      <c r="L38" s="44"/>
      <c r="M38" s="44">
        <f t="shared" si="11"/>
      </c>
      <c r="N38" s="362">
        <f t="shared" si="14"/>
        <v>20</v>
      </c>
      <c r="O38" s="366" t="str">
        <f t="shared" si="15"/>
        <v>--</v>
      </c>
      <c r="P38" s="374" t="str">
        <f t="shared" si="16"/>
        <v>--</v>
      </c>
      <c r="Q38" s="377" t="str">
        <f t="shared" si="17"/>
        <v>--</v>
      </c>
      <c r="R38" s="380" t="str">
        <f t="shared" si="18"/>
        <v>--</v>
      </c>
      <c r="S38" s="39">
        <f t="shared" si="19"/>
      </c>
      <c r="T38" s="53">
        <f t="shared" si="20"/>
      </c>
      <c r="U38" s="63"/>
    </row>
    <row r="39" spans="2:21" s="9" customFormat="1" ht="16.5" customHeight="1">
      <c r="B39" s="105"/>
      <c r="C39" s="32"/>
      <c r="D39" s="48"/>
      <c r="E39" s="48"/>
      <c r="F39" s="12"/>
      <c r="G39" s="251">
        <f t="shared" si="21"/>
        <v>1.7523</v>
      </c>
      <c r="H39" s="49"/>
      <c r="I39" s="50"/>
      <c r="J39" s="51">
        <f>IF(D39="","",(I39-H39)*24)</f>
      </c>
      <c r="K39" s="43">
        <f>IF(D39="","",ROUND((I39-H39)*24*60,0))</f>
      </c>
      <c r="L39" s="44"/>
      <c r="M39" s="44">
        <f t="shared" si="11"/>
      </c>
      <c r="N39" s="362">
        <f>IF(F39&gt;33,$F$14,IF(F39=33,$F$15,$F$16))</f>
        <v>20</v>
      </c>
      <c r="O39" s="366" t="str">
        <f>IF(L39="P",G39*N39*ROUND(K39/60,2)*0.1,"--")</f>
        <v>--</v>
      </c>
      <c r="P39" s="374" t="str">
        <f>IF(AND(L39="F",M39="NO"),G39*N39,"--")</f>
        <v>--</v>
      </c>
      <c r="Q39" s="377" t="str">
        <f>IF(L39="F",G39*N39*ROUND(K39/60,2),"--")</f>
        <v>--</v>
      </c>
      <c r="R39" s="380" t="str">
        <f>IF(L39="RF",G39*N39*ROUND(K39/60,2),"--")</f>
        <v>--</v>
      </c>
      <c r="S39" s="39">
        <f>IF(D39="","","SI")</f>
      </c>
      <c r="T39" s="53">
        <f>IF(D39="","",SUM(O39:R39)*IF(S39="SI",1,2)*IF(F39="500/220",0,1))</f>
      </c>
      <c r="U39" s="63"/>
    </row>
    <row r="40" spans="2:21" s="9" customFormat="1" ht="16.5" customHeight="1">
      <c r="B40" s="105"/>
      <c r="C40" s="32"/>
      <c r="D40" s="48"/>
      <c r="E40" s="48"/>
      <c r="F40" s="12"/>
      <c r="G40" s="251">
        <f t="shared" si="21"/>
        <v>1.7523</v>
      </c>
      <c r="H40" s="49"/>
      <c r="I40" s="50"/>
      <c r="J40" s="51">
        <f>IF(D40="","",(I40-H40)*24)</f>
      </c>
      <c r="K40" s="43">
        <f>IF(D40="","",ROUND((I40-H40)*24*60,0))</f>
      </c>
      <c r="L40" s="44"/>
      <c r="M40" s="44">
        <f t="shared" si="11"/>
      </c>
      <c r="N40" s="362">
        <f>IF(F40&gt;33,$F$14,IF(F40=33,$F$15,$F$16))</f>
        <v>20</v>
      </c>
      <c r="O40" s="366" t="str">
        <f>IF(L40="P",G40*N40*ROUND(K40/60,2)*0.1,"--")</f>
        <v>--</v>
      </c>
      <c r="P40" s="374" t="str">
        <f>IF(AND(L40="F",M40="NO"),G40*N40,"--")</f>
        <v>--</v>
      </c>
      <c r="Q40" s="377" t="str">
        <f>IF(L40="F",G40*N40*ROUND(K40/60,2),"--")</f>
        <v>--</v>
      </c>
      <c r="R40" s="380" t="str">
        <f>IF(L40="RF",G40*N40*ROUND(K40/60,2),"--")</f>
        <v>--</v>
      </c>
      <c r="S40" s="39">
        <f>IF(D40="","","SI")</f>
      </c>
      <c r="T40" s="53">
        <f>IF(D40="","",SUM(O40:R40)*IF(S40="SI",1,2)*IF(F40="500/220",0,1))</f>
      </c>
      <c r="U40" s="63"/>
    </row>
    <row r="41" spans="2:21" s="9" customFormat="1" ht="16.5" customHeight="1">
      <c r="B41" s="105"/>
      <c r="C41" s="32"/>
      <c r="D41" s="48"/>
      <c r="E41" s="48"/>
      <c r="F41" s="12"/>
      <c r="G41" s="251">
        <f t="shared" si="21"/>
        <v>1.7523</v>
      </c>
      <c r="H41" s="49"/>
      <c r="I41" s="50"/>
      <c r="J41" s="51">
        <f>IF(D41="","",(I41-H41)*24)</f>
      </c>
      <c r="K41" s="43">
        <f>IF(D41="","",ROUND((I41-H41)*24*60,0))</f>
      </c>
      <c r="L41" s="44"/>
      <c r="M41" s="44">
        <f t="shared" si="11"/>
      </c>
      <c r="N41" s="362">
        <f>IF(F41&gt;33,$F$14,IF(F41=33,$F$15,$F$16))</f>
        <v>20</v>
      </c>
      <c r="O41" s="366" t="str">
        <f>IF(L41="P",G41*N41*ROUND(K41/60,2)*0.1,"--")</f>
        <v>--</v>
      </c>
      <c r="P41" s="374" t="str">
        <f>IF(AND(L41="F",M41="NO"),G41*N41,"--")</f>
        <v>--</v>
      </c>
      <c r="Q41" s="377" t="str">
        <f>IF(L41="F",G41*N41*ROUND(K41/60,2),"--")</f>
        <v>--</v>
      </c>
      <c r="R41" s="380" t="str">
        <f>IF(L41="RF",G41*N41*ROUND(K41/60,2),"--")</f>
        <v>--</v>
      </c>
      <c r="S41" s="39">
        <f>IF(D41="","","SI")</f>
      </c>
      <c r="T41" s="53">
        <f>IF(D41="","",SUM(O41:R41)*IF(S41="SI",1,2)*IF(F41="500/220",0,1))</f>
      </c>
      <c r="U41" s="63"/>
    </row>
    <row r="42" spans="2:21" s="9" customFormat="1" ht="16.5" customHeight="1" thickBot="1">
      <c r="B42" s="105"/>
      <c r="C42" s="65"/>
      <c r="D42" s="66"/>
      <c r="E42" s="66"/>
      <c r="F42" s="67"/>
      <c r="G42" s="252"/>
      <c r="H42" s="68"/>
      <c r="I42" s="68"/>
      <c r="J42" s="68"/>
      <c r="K42" s="68"/>
      <c r="L42" s="69"/>
      <c r="M42" s="69"/>
      <c r="N42" s="363"/>
      <c r="O42" s="367"/>
      <c r="P42" s="375"/>
      <c r="Q42" s="378"/>
      <c r="R42" s="381"/>
      <c r="S42" s="364"/>
      <c r="T42" s="400"/>
      <c r="U42" s="63"/>
    </row>
    <row r="43" spans="2:21" s="9" customFormat="1" ht="16.5" customHeight="1" thickBot="1" thickTop="1">
      <c r="B43" s="105"/>
      <c r="C43" s="232" t="s">
        <v>76</v>
      </c>
      <c r="D43" s="233" t="s">
        <v>77</v>
      </c>
      <c r="O43" s="382">
        <f>SUM(O19:O42)</f>
        <v>116.265105</v>
      </c>
      <c r="P43" s="383">
        <f>SUM(P19:P42)</f>
        <v>210.27599999999998</v>
      </c>
      <c r="Q43" s="383">
        <f>SUM(Q19:Q42)</f>
        <v>571.2498</v>
      </c>
      <c r="R43" s="310">
        <f>SUM(R19:R42)</f>
        <v>0</v>
      </c>
      <c r="T43" s="398">
        <f>ROUND(SUM(T19:T42),2)</f>
        <v>897.79</v>
      </c>
      <c r="U43" s="63"/>
    </row>
    <row r="44" spans="2:21" s="238" customFormat="1" ht="9.75" thickTop="1">
      <c r="B44" s="237"/>
      <c r="C44" s="234"/>
      <c r="D44" s="235" t="s">
        <v>78</v>
      </c>
      <c r="T44" s="242"/>
      <c r="U44" s="241"/>
    </row>
    <row r="45" spans="2:21" s="9" customFormat="1" ht="16.5" customHeight="1" thickBot="1">
      <c r="B45" s="132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77"/>
    </row>
    <row r="46" spans="1:21" ht="16.5" customHeight="1" thickTop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</sheetData>
  <mergeCells count="1">
    <mergeCell ref="L16:M16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S107"/>
  <sheetViews>
    <sheetView zoomScale="50" zoomScaleNormal="50" workbookViewId="0" topLeftCell="B1">
      <selection activeCell="S63" sqref="S63"/>
    </sheetView>
  </sheetViews>
  <sheetFormatPr defaultColWidth="13.421875" defaultRowHeight="12.75"/>
  <cols>
    <col min="1" max="1" width="31.00390625" style="0" customWidth="1"/>
    <col min="2" max="2" width="15.7109375" style="0" customWidth="1"/>
    <col min="3" max="3" width="4.7109375" style="0" customWidth="1"/>
    <col min="4" max="4" width="41.7109375" style="0" customWidth="1"/>
    <col min="5" max="5" width="11.00390625" style="0" customWidth="1"/>
    <col min="6" max="6" width="13.28125" style="0" customWidth="1"/>
    <col min="7" max="7" width="6.7109375" style="0" customWidth="1"/>
    <col min="8" max="9" width="20.7109375" style="0" customWidth="1"/>
    <col min="10" max="10" width="13.8515625" style="0" customWidth="1"/>
    <col min="11" max="11" width="3.28125" style="0" customWidth="1"/>
    <col min="12" max="12" width="33.28125" style="0" customWidth="1"/>
    <col min="13" max="13" width="7.28125" style="0" customWidth="1"/>
    <col min="14" max="14" width="9.28125" style="0" customWidth="1"/>
    <col min="15" max="15" width="9.8515625" style="0" customWidth="1"/>
    <col min="16" max="16" width="19.00390625" style="0" customWidth="1"/>
  </cols>
  <sheetData>
    <row r="1" s="72" customFormat="1" ht="39.75" customHeight="1">
      <c r="P1" s="388"/>
    </row>
    <row r="2" spans="2:16" s="72" customFormat="1" ht="26.25">
      <c r="B2" s="73" t="str">
        <f>'tot-0003'!B2</f>
        <v>ANEXO I A LA RESOLUCION ENRE N° 82/2001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2" s="79" customFormat="1" ht="11.25">
      <c r="A3" s="153" t="s">
        <v>37</v>
      </c>
      <c r="B3" s="506"/>
    </row>
    <row r="4" spans="1:2" s="79" customFormat="1" ht="11.25">
      <c r="A4" s="153" t="s">
        <v>38</v>
      </c>
      <c r="B4" s="506"/>
    </row>
    <row r="5" s="9" customFormat="1" ht="13.5" thickBot="1"/>
    <row r="6" spans="1:16" s="9" customFormat="1" ht="13.5" thickTop="1">
      <c r="A6" s="7"/>
      <c r="B6" s="126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8"/>
    </row>
    <row r="7" spans="1:16" s="83" customFormat="1" ht="20.25">
      <c r="A7" s="84"/>
      <c r="B7" s="139"/>
      <c r="C7" s="84"/>
      <c r="D7" s="33" t="s">
        <v>54</v>
      </c>
      <c r="G7" s="84"/>
      <c r="H7" s="84"/>
      <c r="I7" s="84"/>
      <c r="J7" s="84"/>
      <c r="K7" s="84"/>
      <c r="L7" s="84"/>
      <c r="M7" s="84"/>
      <c r="N7" s="84"/>
      <c r="O7" s="84"/>
      <c r="P7" s="140"/>
    </row>
    <row r="8" spans="1:16" ht="15">
      <c r="A8" s="1"/>
      <c r="B8" s="507"/>
      <c r="C8" s="508"/>
      <c r="D8" s="509"/>
      <c r="E8" s="508"/>
      <c r="F8" s="510"/>
      <c r="G8" s="508"/>
      <c r="H8" s="508"/>
      <c r="I8" s="508"/>
      <c r="J8" s="508"/>
      <c r="K8" s="508"/>
      <c r="L8" s="508"/>
      <c r="M8" s="508"/>
      <c r="N8" s="508"/>
      <c r="O8" s="508"/>
      <c r="P8" s="511"/>
    </row>
    <row r="9" spans="1:19" s="83" customFormat="1" ht="20.25">
      <c r="A9" s="84"/>
      <c r="B9" s="512"/>
      <c r="C9"/>
      <c r="D9" s="34" t="s">
        <v>134</v>
      </c>
      <c r="E9" s="513"/>
      <c r="F9" s="513"/>
      <c r="G9" s="513"/>
      <c r="H9" s="514"/>
      <c r="I9" s="513"/>
      <c r="J9" s="513"/>
      <c r="K9" s="513"/>
      <c r="L9" s="513"/>
      <c r="M9" s="513"/>
      <c r="N9" s="513"/>
      <c r="O9" s="513"/>
      <c r="P9" s="515"/>
      <c r="Q9" s="516"/>
      <c r="R9" s="167"/>
      <c r="S9" s="167"/>
    </row>
    <row r="10" spans="1:19" s="9" customFormat="1" ht="12.75">
      <c r="A10" s="7"/>
      <c r="B10" s="105"/>
      <c r="C10" s="7"/>
      <c r="D10" s="517"/>
      <c r="E10" s="47"/>
      <c r="F10" s="47"/>
      <c r="G10" s="47"/>
      <c r="H10" s="161"/>
      <c r="I10" s="47"/>
      <c r="J10" s="47"/>
      <c r="K10" s="47"/>
      <c r="L10" s="47"/>
      <c r="M10" s="47"/>
      <c r="N10" s="47"/>
      <c r="O10" s="47"/>
      <c r="P10" s="63"/>
      <c r="Q10" s="47"/>
      <c r="R10" s="47"/>
      <c r="S10" s="518"/>
    </row>
    <row r="11" spans="1:19" s="90" customFormat="1" ht="18.75">
      <c r="A11" s="97"/>
      <c r="B11" s="91" t="str">
        <f>'tot-0003'!B14</f>
        <v>Desde el 01 al 31 de marzo de 2000</v>
      </c>
      <c r="C11" s="94"/>
      <c r="D11" s="195"/>
      <c r="E11" s="195"/>
      <c r="F11" s="195"/>
      <c r="G11" s="195"/>
      <c r="H11" s="195"/>
      <c r="I11" s="94"/>
      <c r="J11" s="195"/>
      <c r="K11" s="195"/>
      <c r="L11" s="195"/>
      <c r="M11" s="195"/>
      <c r="N11" s="195"/>
      <c r="O11" s="195"/>
      <c r="P11" s="519"/>
      <c r="Q11" s="520"/>
      <c r="R11" s="520"/>
      <c r="S11" s="520"/>
    </row>
    <row r="12" spans="1:19" ht="15">
      <c r="A12" s="1"/>
      <c r="B12" s="507"/>
      <c r="C12" s="508"/>
      <c r="D12" s="521"/>
      <c r="E12" s="521"/>
      <c r="F12" s="521"/>
      <c r="G12" s="521"/>
      <c r="H12" s="522"/>
      <c r="I12" s="508"/>
      <c r="J12" s="521"/>
      <c r="K12" s="521"/>
      <c r="L12" s="521"/>
      <c r="M12" s="521"/>
      <c r="N12" s="521"/>
      <c r="O12" s="521"/>
      <c r="P12" s="523"/>
      <c r="Q12" s="2"/>
      <c r="R12" s="2"/>
      <c r="S12" s="524"/>
    </row>
    <row r="13" spans="1:19" ht="18" customHeight="1">
      <c r="A13" s="1"/>
      <c r="B13" s="507"/>
      <c r="C13" s="508"/>
      <c r="D13" s="521"/>
      <c r="E13" s="521"/>
      <c r="F13" s="521"/>
      <c r="G13" s="521"/>
      <c r="H13" s="525"/>
      <c r="I13" s="525"/>
      <c r="J13" s="521"/>
      <c r="K13" s="521"/>
      <c r="P13" s="523"/>
      <c r="Q13" s="2"/>
      <c r="R13" s="2"/>
      <c r="S13" s="524"/>
    </row>
    <row r="14" spans="1:19" ht="18" customHeight="1">
      <c r="A14" s="1"/>
      <c r="B14" s="507"/>
      <c r="C14" s="508"/>
      <c r="D14" s="526"/>
      <c r="E14" s="527"/>
      <c r="F14" s="521"/>
      <c r="G14" s="521"/>
      <c r="H14" s="525"/>
      <c r="I14" s="525"/>
      <c r="J14" s="521"/>
      <c r="K14" s="521"/>
      <c r="P14" s="523"/>
      <c r="Q14" s="2"/>
      <c r="R14" s="2"/>
      <c r="S14" s="524"/>
    </row>
    <row r="15" spans="1:16" ht="16.5" thickBot="1">
      <c r="A15" s="1"/>
      <c r="B15" s="507"/>
      <c r="C15" s="528" t="s">
        <v>135</v>
      </c>
      <c r="D15" s="510"/>
      <c r="E15" s="529"/>
      <c r="F15" s="530"/>
      <c r="G15" s="508"/>
      <c r="H15" s="508"/>
      <c r="I15" s="508"/>
      <c r="J15" s="531"/>
      <c r="K15" s="531"/>
      <c r="L15" s="532"/>
      <c r="M15" s="508"/>
      <c r="N15" s="508"/>
      <c r="O15" s="508"/>
      <c r="P15" s="511"/>
    </row>
    <row r="16" spans="1:16" ht="15.75">
      <c r="A16" s="1"/>
      <c r="B16" s="507"/>
      <c r="C16" s="533"/>
      <c r="D16" s="510"/>
      <c r="E16" s="529"/>
      <c r="F16" s="530"/>
      <c r="G16" s="508"/>
      <c r="H16" s="534"/>
      <c r="I16" s="535" t="s">
        <v>136</v>
      </c>
      <c r="J16" s="536">
        <v>50.753</v>
      </c>
      <c r="L16" s="537" t="s">
        <v>96</v>
      </c>
      <c r="M16" s="538">
        <v>2.36</v>
      </c>
      <c r="N16" s="539"/>
      <c r="O16" s="508"/>
      <c r="P16" s="511"/>
    </row>
    <row r="17" spans="1:16" ht="16.5" thickBot="1">
      <c r="A17" s="1"/>
      <c r="B17" s="507"/>
      <c r="C17" s="533"/>
      <c r="D17" s="531" t="s">
        <v>137</v>
      </c>
      <c r="E17" s="540">
        <f>MID(B11,16,2)*24</f>
        <v>744</v>
      </c>
      <c r="F17" s="508" t="s">
        <v>138</v>
      </c>
      <c r="G17" s="521"/>
      <c r="H17" s="541"/>
      <c r="I17" s="542" t="s">
        <v>139</v>
      </c>
      <c r="J17" s="543">
        <v>0.177</v>
      </c>
      <c r="K17" s="544"/>
      <c r="L17" s="545" t="s">
        <v>97</v>
      </c>
      <c r="M17" s="546">
        <v>1.77</v>
      </c>
      <c r="N17" s="547"/>
      <c r="O17" s="508"/>
      <c r="P17" s="511"/>
    </row>
    <row r="18" spans="1:16" ht="16.5" thickBot="1">
      <c r="A18" s="1"/>
      <c r="B18" s="507"/>
      <c r="C18" s="533"/>
      <c r="D18" s="531" t="s">
        <v>140</v>
      </c>
      <c r="E18" s="548">
        <v>0.025</v>
      </c>
      <c r="F18" s="521"/>
      <c r="G18" s="521"/>
      <c r="H18" s="648" t="s">
        <v>107</v>
      </c>
      <c r="I18" s="649"/>
      <c r="J18" s="549">
        <v>0.99</v>
      </c>
      <c r="K18" s="550"/>
      <c r="L18" s="551" t="s">
        <v>98</v>
      </c>
      <c r="M18" s="552">
        <v>1.77</v>
      </c>
      <c r="N18" s="553"/>
      <c r="O18" s="508"/>
      <c r="P18" s="511"/>
    </row>
    <row r="19" spans="1:16" ht="15.75">
      <c r="A19" s="1"/>
      <c r="B19" s="507"/>
      <c r="C19" s="533"/>
      <c r="D19" s="531"/>
      <c r="E19" s="548"/>
      <c r="F19" s="521"/>
      <c r="G19" s="521"/>
      <c r="H19" s="521"/>
      <c r="I19" s="521"/>
      <c r="L19" s="532"/>
      <c r="M19" s="508"/>
      <c r="N19" s="508"/>
      <c r="O19" s="508"/>
      <c r="P19" s="511"/>
    </row>
    <row r="20" spans="1:16" ht="15">
      <c r="A20" s="1"/>
      <c r="B20" s="507"/>
      <c r="C20" s="526" t="s">
        <v>175</v>
      </c>
      <c r="D20" s="554"/>
      <c r="E20" s="529"/>
      <c r="F20" s="530"/>
      <c r="G20" s="508"/>
      <c r="H20" s="508"/>
      <c r="I20" s="508"/>
      <c r="J20" s="531"/>
      <c r="K20" s="531"/>
      <c r="L20" s="532"/>
      <c r="M20" s="508"/>
      <c r="N20" s="508"/>
      <c r="O20" s="508"/>
      <c r="P20" s="511"/>
    </row>
    <row r="21" spans="1:16" ht="15">
      <c r="A21" s="1"/>
      <c r="B21" s="507"/>
      <c r="C21" s="508"/>
      <c r="D21" s="508"/>
      <c r="E21" s="508"/>
      <c r="F21" s="508"/>
      <c r="G21" s="508"/>
      <c r="H21" s="555"/>
      <c r="I21" s="508"/>
      <c r="J21" s="508"/>
      <c r="K21" s="508"/>
      <c r="L21" s="508"/>
      <c r="M21" s="508"/>
      <c r="N21" s="508"/>
      <c r="O21" s="508"/>
      <c r="P21" s="511"/>
    </row>
    <row r="22" spans="1:16" ht="15">
      <c r="A22" s="1"/>
      <c r="B22" s="507"/>
      <c r="C22" s="508"/>
      <c r="D22" s="531" t="s">
        <v>141</v>
      </c>
      <c r="E22" s="508"/>
      <c r="F22" s="555" t="s">
        <v>2</v>
      </c>
      <c r="G22" s="508"/>
      <c r="H22" s="510"/>
      <c r="I22" s="556">
        <v>0</v>
      </c>
      <c r="J22" s="508"/>
      <c r="K22" s="508"/>
      <c r="L22" s="557" t="s">
        <v>142</v>
      </c>
      <c r="M22" s="508"/>
      <c r="N22" s="508"/>
      <c r="O22" s="508"/>
      <c r="P22" s="511"/>
    </row>
    <row r="23" spans="1:16" ht="15">
      <c r="A23" s="1"/>
      <c r="B23" s="507"/>
      <c r="C23" s="508"/>
      <c r="D23" s="508"/>
      <c r="E23" s="508"/>
      <c r="F23" s="555" t="s">
        <v>143</v>
      </c>
      <c r="G23" s="508"/>
      <c r="H23" s="510"/>
      <c r="I23" s="556">
        <f>'tot-0003'!J23</f>
        <v>1.21</v>
      </c>
      <c r="J23" s="508"/>
      <c r="K23" s="508"/>
      <c r="L23" s="557" t="s">
        <v>144</v>
      </c>
      <c r="M23" s="508"/>
      <c r="N23" s="508"/>
      <c r="O23" s="508"/>
      <c r="P23" s="511"/>
    </row>
    <row r="24" spans="1:16" ht="15">
      <c r="A24" s="1"/>
      <c r="B24" s="507"/>
      <c r="C24" s="508"/>
      <c r="D24" s="508"/>
      <c r="E24" s="508"/>
      <c r="F24" s="555" t="s">
        <v>145</v>
      </c>
      <c r="G24" s="508"/>
      <c r="H24" s="510"/>
      <c r="I24" s="558">
        <v>0</v>
      </c>
      <c r="J24" s="508"/>
      <c r="K24" s="508"/>
      <c r="L24" s="557" t="s">
        <v>146</v>
      </c>
      <c r="M24" s="508"/>
      <c r="N24" s="508"/>
      <c r="O24" s="508"/>
      <c r="P24" s="511"/>
    </row>
    <row r="25" spans="1:16" ht="15.75" thickBot="1">
      <c r="A25" s="1"/>
      <c r="B25" s="507"/>
      <c r="C25" s="508"/>
      <c r="D25" s="508"/>
      <c r="E25" s="508"/>
      <c r="F25" s="508"/>
      <c r="G25" s="508"/>
      <c r="H25" s="555"/>
      <c r="I25" s="508"/>
      <c r="J25" s="508"/>
      <c r="K25" s="508"/>
      <c r="L25" s="508"/>
      <c r="M25" s="508"/>
      <c r="N25" s="508"/>
      <c r="O25" s="508"/>
      <c r="P25" s="511"/>
    </row>
    <row r="26" spans="2:16" ht="20.25" thickBot="1" thickTop="1">
      <c r="B26" s="507"/>
      <c r="C26" s="559"/>
      <c r="H26" s="560" t="s">
        <v>147</v>
      </c>
      <c r="I26" s="113">
        <f>SUM(I22:I25)</f>
        <v>1.21</v>
      </c>
      <c r="L26" s="561"/>
      <c r="M26" s="561"/>
      <c r="N26" s="562"/>
      <c r="O26" s="563"/>
      <c r="P26" s="564"/>
    </row>
    <row r="27" spans="2:16" ht="15.75" thickTop="1">
      <c r="B27" s="507"/>
      <c r="C27" s="559"/>
      <c r="D27" s="554"/>
      <c r="E27" s="554"/>
      <c r="F27" s="565"/>
      <c r="G27" s="561"/>
      <c r="H27" s="561"/>
      <c r="I27" s="561"/>
      <c r="J27" s="561"/>
      <c r="K27" s="561"/>
      <c r="L27" s="561"/>
      <c r="M27" s="561"/>
      <c r="N27" s="562"/>
      <c r="O27" s="563"/>
      <c r="P27" s="564"/>
    </row>
    <row r="28" spans="2:16" ht="15">
      <c r="B28" s="507"/>
      <c r="C28" s="526" t="s">
        <v>176</v>
      </c>
      <c r="D28" s="554"/>
      <c r="E28" s="554"/>
      <c r="F28" s="565"/>
      <c r="G28" s="561"/>
      <c r="H28" s="561"/>
      <c r="I28" s="561"/>
      <c r="J28" s="561"/>
      <c r="K28" s="561"/>
      <c r="L28" s="561"/>
      <c r="M28" s="561"/>
      <c r="N28" s="562"/>
      <c r="O28" s="563"/>
      <c r="P28" s="564"/>
    </row>
    <row r="29" spans="2:16" ht="15">
      <c r="B29" s="507"/>
      <c r="C29" s="559"/>
      <c r="D29" s="554"/>
      <c r="E29" s="554"/>
      <c r="F29" s="565"/>
      <c r="G29" s="561"/>
      <c r="H29" s="561"/>
      <c r="I29" s="561"/>
      <c r="J29" s="561"/>
      <c r="K29" s="561"/>
      <c r="L29" s="561"/>
      <c r="M29" s="561"/>
      <c r="N29" s="562"/>
      <c r="O29" s="563"/>
      <c r="P29" s="564"/>
    </row>
    <row r="30" spans="2:16" ht="15.75">
      <c r="B30" s="507"/>
      <c r="C30" s="559"/>
      <c r="D30" s="566" t="s">
        <v>148</v>
      </c>
      <c r="E30" s="567" t="s">
        <v>149</v>
      </c>
      <c r="F30" s="568" t="s">
        <v>150</v>
      </c>
      <c r="G30" s="569"/>
      <c r="H30" s="569" t="s">
        <v>151</v>
      </c>
      <c r="I30" s="631" t="s">
        <v>181</v>
      </c>
      <c r="J30" s="570"/>
      <c r="K30" s="571"/>
      <c r="L30" s="572" t="s">
        <v>152</v>
      </c>
      <c r="N30" s="562"/>
      <c r="O30" s="563"/>
      <c r="P30" s="564"/>
    </row>
    <row r="31" spans="2:16" ht="15">
      <c r="B31" s="507"/>
      <c r="C31" s="559"/>
      <c r="D31" s="573" t="s">
        <v>153</v>
      </c>
      <c r="E31" s="574">
        <v>132</v>
      </c>
      <c r="F31" s="575">
        <v>75.6</v>
      </c>
      <c r="G31" s="576"/>
      <c r="H31" s="577">
        <f>F31*$J$16*$E$17/100*$J$18</f>
        <v>28261.268038079997</v>
      </c>
      <c r="I31" s="632">
        <v>8</v>
      </c>
      <c r="J31" s="578"/>
      <c r="K31" s="579"/>
      <c r="L31" s="580">
        <f>SUM(H31:K31)</f>
        <v>28269.268038079997</v>
      </c>
      <c r="M31" s="561"/>
      <c r="N31" s="562"/>
      <c r="O31" s="563"/>
      <c r="P31" s="564"/>
    </row>
    <row r="32" spans="2:16" ht="15">
      <c r="B32" s="507"/>
      <c r="C32" s="559"/>
      <c r="D32" s="581" t="s">
        <v>154</v>
      </c>
      <c r="E32" s="582">
        <v>132</v>
      </c>
      <c r="F32" s="583">
        <v>41.4</v>
      </c>
      <c r="G32" s="584"/>
      <c r="H32" s="585">
        <f>F32*$J$16*$E$17/100*$J$18</f>
        <v>15476.40868752</v>
      </c>
      <c r="I32" s="633">
        <v>59</v>
      </c>
      <c r="J32" s="586"/>
      <c r="K32" s="587"/>
      <c r="L32" s="588">
        <f>SUM(H32:K32)</f>
        <v>15535.40868752</v>
      </c>
      <c r="M32" s="561"/>
      <c r="N32" s="562"/>
      <c r="O32" s="563"/>
      <c r="P32" s="564"/>
    </row>
    <row r="33" spans="2:16" ht="15">
      <c r="B33" s="507"/>
      <c r="C33" s="559"/>
      <c r="D33" s="554"/>
      <c r="E33" s="554"/>
      <c r="F33" s="589"/>
      <c r="G33" s="561"/>
      <c r="I33" s="590"/>
      <c r="J33" s="591"/>
      <c r="K33" s="591"/>
      <c r="L33" s="592">
        <f>SUM(L31:L32)</f>
        <v>43804.676725599995</v>
      </c>
      <c r="M33" s="561"/>
      <c r="N33" s="562"/>
      <c r="O33" s="563"/>
      <c r="P33" s="564"/>
    </row>
    <row r="34" spans="2:16" ht="15">
      <c r="B34" s="507"/>
      <c r="C34" s="559"/>
      <c r="D34" s="554"/>
      <c r="E34" s="554"/>
      <c r="F34" s="589"/>
      <c r="G34" s="561"/>
      <c r="I34" s="590"/>
      <c r="J34" s="591"/>
      <c r="K34" s="591"/>
      <c r="L34" s="593"/>
      <c r="M34" s="561"/>
      <c r="N34" s="562"/>
      <c r="O34" s="563"/>
      <c r="P34" s="564"/>
    </row>
    <row r="35" spans="2:16" ht="15">
      <c r="B35" s="507"/>
      <c r="C35" s="559"/>
      <c r="D35" s="566" t="s">
        <v>155</v>
      </c>
      <c r="E35" s="567" t="s">
        <v>156</v>
      </c>
      <c r="F35" s="568" t="s">
        <v>157</v>
      </c>
      <c r="G35" s="569"/>
      <c r="H35" s="594" t="s">
        <v>151</v>
      </c>
      <c r="J35" s="595" t="s">
        <v>158</v>
      </c>
      <c r="K35" s="596"/>
      <c r="L35" s="597" t="s">
        <v>62</v>
      </c>
      <c r="M35" s="567" t="s">
        <v>149</v>
      </c>
      <c r="N35" s="598" t="s">
        <v>159</v>
      </c>
      <c r="O35" s="599"/>
      <c r="P35" s="564"/>
    </row>
    <row r="36" spans="2:16" ht="15">
      <c r="B36" s="507"/>
      <c r="C36" s="559"/>
      <c r="D36" s="573" t="s">
        <v>160</v>
      </c>
      <c r="E36" s="574" t="s">
        <v>161</v>
      </c>
      <c r="F36" s="575">
        <v>7.5</v>
      </c>
      <c r="G36" s="576"/>
      <c r="H36" s="580">
        <f>+F36*$J$17*$E$17*$J$18</f>
        <v>977.7833999999999</v>
      </c>
      <c r="J36" s="600" t="s">
        <v>160</v>
      </c>
      <c r="K36" s="578"/>
      <c r="L36" s="576" t="s">
        <v>162</v>
      </c>
      <c r="M36" s="601">
        <v>33</v>
      </c>
      <c r="N36" s="602">
        <f>$M$17*$E$17*$J$18</f>
        <v>1303.7112000000002</v>
      </c>
      <c r="O36" s="603"/>
      <c r="P36" s="564"/>
    </row>
    <row r="37" spans="2:16" ht="15">
      <c r="B37" s="507"/>
      <c r="C37" s="559"/>
      <c r="D37" s="604" t="s">
        <v>160</v>
      </c>
      <c r="E37" s="554" t="s">
        <v>163</v>
      </c>
      <c r="F37" s="565">
        <v>7.5</v>
      </c>
      <c r="G37" s="561"/>
      <c r="H37" s="605">
        <f>+F37*$J$17*$E$17*$J$18</f>
        <v>977.7833999999999</v>
      </c>
      <c r="J37" s="606" t="s">
        <v>160</v>
      </c>
      <c r="K37" s="607"/>
      <c r="L37" s="561" t="s">
        <v>164</v>
      </c>
      <c r="M37" s="562">
        <v>33</v>
      </c>
      <c r="N37" s="608">
        <f>$M$17*$E$17*$J$18</f>
        <v>1303.7112000000002</v>
      </c>
      <c r="O37" s="609"/>
      <c r="P37" s="564"/>
    </row>
    <row r="38" spans="2:16" ht="15">
      <c r="B38" s="507"/>
      <c r="C38" s="559"/>
      <c r="D38" s="604" t="s">
        <v>165</v>
      </c>
      <c r="E38" s="554" t="s">
        <v>161</v>
      </c>
      <c r="F38" s="565">
        <v>7.5</v>
      </c>
      <c r="G38" s="561"/>
      <c r="H38" s="605">
        <f>+F38*$J$17*$E$17*$J$18</f>
        <v>977.7833999999999</v>
      </c>
      <c r="J38" s="606" t="s">
        <v>160</v>
      </c>
      <c r="K38" s="607"/>
      <c r="L38" s="561" t="s">
        <v>166</v>
      </c>
      <c r="M38" s="562">
        <v>13.2</v>
      </c>
      <c r="N38" s="608">
        <f>$M$17*$E$17*$J$18</f>
        <v>1303.7112000000002</v>
      </c>
      <c r="O38" s="609"/>
      <c r="P38" s="564"/>
    </row>
    <row r="39" spans="2:16" ht="15">
      <c r="B39" s="507"/>
      <c r="C39" s="559"/>
      <c r="D39" s="581" t="s">
        <v>165</v>
      </c>
      <c r="E39" s="582" t="s">
        <v>163</v>
      </c>
      <c r="F39" s="583">
        <v>7.5</v>
      </c>
      <c r="G39" s="584"/>
      <c r="H39" s="588">
        <f>+F39*$J$17*$E$17*$J$18</f>
        <v>977.7833999999999</v>
      </c>
      <c r="J39" s="606" t="s">
        <v>160</v>
      </c>
      <c r="K39" s="607"/>
      <c r="L39" s="561" t="s">
        <v>167</v>
      </c>
      <c r="M39" s="562">
        <v>13.2</v>
      </c>
      <c r="N39" s="608">
        <f>$M$17*$E$17*$J$18</f>
        <v>1303.7112000000002</v>
      </c>
      <c r="O39" s="609"/>
      <c r="P39" s="564"/>
    </row>
    <row r="40" spans="2:16" ht="15">
      <c r="B40" s="507"/>
      <c r="C40" s="559"/>
      <c r="D40" s="554"/>
      <c r="E40" s="554"/>
      <c r="F40" s="589"/>
      <c r="G40" s="561"/>
      <c r="H40" s="610">
        <f>SUM(H36:H39)</f>
        <v>3911.1335999999997</v>
      </c>
      <c r="J40" s="611" t="s">
        <v>160</v>
      </c>
      <c r="K40" s="586"/>
      <c r="L40" s="584" t="s">
        <v>168</v>
      </c>
      <c r="M40" s="612">
        <v>13.2</v>
      </c>
      <c r="N40" s="613">
        <f>$M$17*$E$17*$J$18</f>
        <v>1303.7112000000002</v>
      </c>
      <c r="O40" s="614"/>
      <c r="P40" s="564"/>
    </row>
    <row r="41" spans="2:16" ht="15">
      <c r="B41" s="507"/>
      <c r="C41" s="559"/>
      <c r="D41" s="554"/>
      <c r="E41" s="554"/>
      <c r="F41" s="589"/>
      <c r="G41" s="561"/>
      <c r="I41" s="590"/>
      <c r="J41" s="591"/>
      <c r="K41" s="591"/>
      <c r="L41" s="593"/>
      <c r="M41" s="561"/>
      <c r="N41" s="615">
        <f>SUM(N36:N40)</f>
        <v>6518.5560000000005</v>
      </c>
      <c r="O41" s="599"/>
      <c r="P41" s="564"/>
    </row>
    <row r="42" spans="2:16" ht="12.75" customHeight="1" thickBot="1">
      <c r="B42" s="507"/>
      <c r="C42" s="559"/>
      <c r="D42" s="554"/>
      <c r="E42" s="554"/>
      <c r="F42" s="565"/>
      <c r="G42" s="561"/>
      <c r="H42" s="590"/>
      <c r="I42" s="554"/>
      <c r="J42" s="554"/>
      <c r="K42" s="554"/>
      <c r="L42" s="561"/>
      <c r="M42" s="561"/>
      <c r="N42" s="562"/>
      <c r="O42" s="563"/>
      <c r="P42" s="564"/>
    </row>
    <row r="43" spans="2:16" ht="20.25" thickBot="1" thickTop="1">
      <c r="B43" s="507"/>
      <c r="C43" s="559"/>
      <c r="D43" s="554"/>
      <c r="E43" s="554"/>
      <c r="F43" s="565"/>
      <c r="G43" s="561"/>
      <c r="H43" s="616" t="s">
        <v>169</v>
      </c>
      <c r="I43" s="617">
        <f>+H40+N41+L33</f>
        <v>54234.36632559999</v>
      </c>
      <c r="J43" s="554"/>
      <c r="K43" s="554"/>
      <c r="L43" s="561"/>
      <c r="M43" s="561"/>
      <c r="N43" s="562"/>
      <c r="O43" s="563"/>
      <c r="P43" s="564"/>
    </row>
    <row r="44" spans="2:16" ht="15.75" thickTop="1">
      <c r="B44" s="507"/>
      <c r="C44" s="559"/>
      <c r="D44" s="554"/>
      <c r="E44" s="554"/>
      <c r="F44" s="565"/>
      <c r="G44" s="561"/>
      <c r="H44" s="590"/>
      <c r="I44" s="554"/>
      <c r="J44" s="554"/>
      <c r="K44" s="554"/>
      <c r="L44" s="561"/>
      <c r="M44" s="561"/>
      <c r="N44" s="562"/>
      <c r="O44" s="563"/>
      <c r="P44" s="564"/>
    </row>
    <row r="45" spans="2:16" ht="15.75">
      <c r="B45" s="507"/>
      <c r="C45" s="618" t="s">
        <v>177</v>
      </c>
      <c r="D45" s="554"/>
      <c r="E45" s="554"/>
      <c r="F45" s="565"/>
      <c r="G45" s="561"/>
      <c r="H45" s="590"/>
      <c r="I45" s="554"/>
      <c r="J45" s="554"/>
      <c r="K45" s="554"/>
      <c r="L45" s="561"/>
      <c r="M45" s="561"/>
      <c r="N45" s="562"/>
      <c r="O45" s="563"/>
      <c r="P45" s="564"/>
    </row>
    <row r="46" spans="2:16" ht="15.75" thickBot="1">
      <c r="B46" s="507"/>
      <c r="C46" s="559"/>
      <c r="D46" s="554"/>
      <c r="E46" s="554"/>
      <c r="F46" s="565"/>
      <c r="G46" s="561"/>
      <c r="H46" s="590"/>
      <c r="I46" s="554"/>
      <c r="J46" s="554"/>
      <c r="K46" s="554"/>
      <c r="L46" s="561"/>
      <c r="M46" s="561"/>
      <c r="N46" s="562"/>
      <c r="O46" s="563"/>
      <c r="P46" s="564"/>
    </row>
    <row r="47" spans="2:16" ht="20.25" thickBot="1" thickTop="1">
      <c r="B47" s="507"/>
      <c r="C47" s="559"/>
      <c r="D47" s="619" t="s">
        <v>170</v>
      </c>
      <c r="F47" s="620"/>
      <c r="G47" s="508"/>
      <c r="H47" s="112" t="s">
        <v>171</v>
      </c>
      <c r="I47" s="621">
        <f>E18*I43</f>
        <v>1355.8591581399999</v>
      </c>
      <c r="J47" s="521"/>
      <c r="K47" s="521"/>
      <c r="O47" s="521"/>
      <c r="P47" s="564"/>
    </row>
    <row r="48" spans="2:16" ht="21.75" thickTop="1">
      <c r="B48" s="507"/>
      <c r="C48" s="559"/>
      <c r="F48" s="622"/>
      <c r="G48" s="84"/>
      <c r="I48" s="521"/>
      <c r="J48" s="521"/>
      <c r="K48" s="521"/>
      <c r="O48" s="521"/>
      <c r="P48" s="564"/>
    </row>
    <row r="49" spans="2:16" ht="15">
      <c r="B49" s="507"/>
      <c r="C49" s="526" t="s">
        <v>178</v>
      </c>
      <c r="E49" s="521"/>
      <c r="F49" s="521"/>
      <c r="G49" s="521"/>
      <c r="H49" s="521"/>
      <c r="I49" s="561"/>
      <c r="J49" s="561"/>
      <c r="K49" s="561"/>
      <c r="L49" s="561"/>
      <c r="M49" s="561"/>
      <c r="N49" s="562"/>
      <c r="O49" s="563"/>
      <c r="P49" s="564"/>
    </row>
    <row r="50" spans="2:16" ht="15">
      <c r="B50" s="507"/>
      <c r="C50" s="559"/>
      <c r="D50" s="623" t="s">
        <v>172</v>
      </c>
      <c r="E50" s="624">
        <f>10*I26*I47/I43</f>
        <v>0.3025</v>
      </c>
      <c r="F50" s="625"/>
      <c r="H50" s="521"/>
      <c r="I50" s="561"/>
      <c r="J50" s="561"/>
      <c r="K50" s="561"/>
      <c r="L50" s="561"/>
      <c r="M50" s="561"/>
      <c r="N50" s="562"/>
      <c r="O50" s="563"/>
      <c r="P50" s="564"/>
    </row>
    <row r="51" spans="2:16" ht="15">
      <c r="B51" s="507"/>
      <c r="C51" s="559"/>
      <c r="D51" s="521"/>
      <c r="E51" s="521"/>
      <c r="J51" s="561"/>
      <c r="K51" s="561"/>
      <c r="L51" s="561"/>
      <c r="M51" s="561"/>
      <c r="N51" s="562"/>
      <c r="O51" s="563"/>
      <c r="P51" s="564"/>
    </row>
    <row r="52" spans="2:16" ht="15">
      <c r="B52" s="507"/>
      <c r="C52" s="559"/>
      <c r="D52" s="521" t="s">
        <v>173</v>
      </c>
      <c r="E52" s="521"/>
      <c r="F52" s="521"/>
      <c r="G52" s="521"/>
      <c r="H52" s="521"/>
      <c r="M52" s="561"/>
      <c r="N52" s="562"/>
      <c r="O52" s="563"/>
      <c r="P52" s="564"/>
    </row>
    <row r="53" spans="2:16" ht="15.75" thickBot="1">
      <c r="B53" s="507"/>
      <c r="C53" s="559"/>
      <c r="D53" s="521"/>
      <c r="E53" s="521"/>
      <c r="F53" s="521"/>
      <c r="G53" s="521"/>
      <c r="H53" s="521"/>
      <c r="M53" s="561"/>
      <c r="N53" s="562"/>
      <c r="O53" s="563"/>
      <c r="P53" s="564"/>
    </row>
    <row r="54" spans="2:16" ht="20.25" thickBot="1" thickTop="1">
      <c r="B54" s="507"/>
      <c r="C54" s="559"/>
      <c r="D54" s="554"/>
      <c r="E54" s="554"/>
      <c r="F54" s="565"/>
      <c r="G54" s="561"/>
      <c r="H54" s="626" t="s">
        <v>174</v>
      </c>
      <c r="I54" s="627">
        <f>IF($E$50&gt;3*I47,3*I47,$E$50)</f>
        <v>0.3025</v>
      </c>
      <c r="J54" s="561"/>
      <c r="K54" s="561"/>
      <c r="L54" s="561"/>
      <c r="M54" s="561"/>
      <c r="N54" s="562"/>
      <c r="O54" s="563"/>
      <c r="P54" s="564"/>
    </row>
    <row r="55" spans="2:16" ht="16.5" thickBot="1" thickTop="1">
      <c r="B55" s="628"/>
      <c r="C55" s="629"/>
      <c r="D55" s="629"/>
      <c r="E55" s="629"/>
      <c r="F55" s="629"/>
      <c r="G55" s="629"/>
      <c r="H55" s="629"/>
      <c r="I55" s="629"/>
      <c r="J55" s="629"/>
      <c r="K55" s="629"/>
      <c r="L55" s="629"/>
      <c r="M55" s="629"/>
      <c r="N55" s="629"/>
      <c r="O55" s="629"/>
      <c r="P55" s="630"/>
    </row>
    <row r="56" spans="2:16" ht="13.5" thickTop="1">
      <c r="B56" s="1"/>
      <c r="P56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5" ht="12" customHeight="1"/>
    <row r="101" ht="12.75">
      <c r="B101" s="1"/>
    </row>
    <row r="107" ht="12.75">
      <c r="A107" s="1"/>
    </row>
  </sheetData>
  <mergeCells count="1">
    <mergeCell ref="H18:I18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4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U118"/>
  <sheetViews>
    <sheetView zoomScale="75" zoomScaleNormal="75" workbookViewId="0" topLeftCell="B1">
      <selection activeCell="B2" sqref="B2"/>
    </sheetView>
  </sheetViews>
  <sheetFormatPr defaultColWidth="11.421875" defaultRowHeight="12.75"/>
  <cols>
    <col min="1" max="1" width="15.7109375" style="0" customWidth="1"/>
    <col min="2" max="2" width="8.7109375" style="0" customWidth="1"/>
    <col min="3" max="3" width="5.7109375" style="0" customWidth="1"/>
    <col min="4" max="4" width="44.7109375" style="0" bestFit="1" customWidth="1"/>
    <col min="5" max="5" width="7.00390625" style="0" customWidth="1"/>
    <col min="6" max="6" width="10.7109375" style="0" customWidth="1"/>
    <col min="7" max="19" width="7.7109375" style="0" customWidth="1"/>
    <col min="20" max="20" width="8.7109375" style="0" customWidth="1"/>
  </cols>
  <sheetData>
    <row r="1" ht="40.5" customHeight="1">
      <c r="T1" s="401"/>
    </row>
    <row r="2" spans="2:20" s="402" customFormat="1" ht="27.75">
      <c r="B2" s="403" t="str">
        <f>'tot-0003'!B2</f>
        <v>ANEXO I A LA RESOLUCION ENRE N° 82/2001</v>
      </c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</row>
    <row r="3" spans="1:3" ht="12.75" customHeight="1">
      <c r="A3" s="650" t="s">
        <v>37</v>
      </c>
      <c r="B3" s="650"/>
      <c r="C3" s="650"/>
    </row>
    <row r="4" spans="1:4" ht="12.75" customHeight="1">
      <c r="A4" s="650" t="s">
        <v>38</v>
      </c>
      <c r="B4" s="650"/>
      <c r="C4" s="650"/>
      <c r="D4" s="405"/>
    </row>
    <row r="5" spans="1:4" ht="12" customHeight="1">
      <c r="A5" s="406"/>
      <c r="D5" s="405"/>
    </row>
    <row r="6" spans="1:20" ht="26.25">
      <c r="A6" s="406"/>
      <c r="B6" s="407" t="s">
        <v>117</v>
      </c>
      <c r="C6" s="408"/>
      <c r="D6" s="405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</row>
    <row r="7" spans="1:4" ht="18.75" customHeight="1">
      <c r="A7" s="406"/>
      <c r="D7" s="405"/>
    </row>
    <row r="8" spans="1:20" ht="26.25">
      <c r="A8" s="406"/>
      <c r="B8" s="409" t="s">
        <v>1</v>
      </c>
      <c r="C8" s="408"/>
      <c r="D8" s="405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</row>
    <row r="9" spans="1:4" ht="18.75" customHeight="1">
      <c r="A9" s="406"/>
      <c r="D9" s="405"/>
    </row>
    <row r="10" spans="1:20" ht="26.25">
      <c r="A10" s="406"/>
      <c r="B10" s="409" t="s">
        <v>118</v>
      </c>
      <c r="C10" s="408"/>
      <c r="D10" s="405"/>
      <c r="E10" s="408"/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8"/>
    </row>
    <row r="11" ht="18.75" customHeight="1" thickBot="1"/>
    <row r="12" spans="2:20" ht="18.75" customHeight="1" thickTop="1">
      <c r="B12" s="410"/>
      <c r="C12" s="411"/>
      <c r="D12" s="412"/>
      <c r="E12" s="412"/>
      <c r="F12" s="412"/>
      <c r="G12" s="412"/>
      <c r="H12" s="411"/>
      <c r="I12" s="411"/>
      <c r="J12" s="411"/>
      <c r="K12" s="411"/>
      <c r="L12" s="411"/>
      <c r="M12" s="411"/>
      <c r="N12" s="411"/>
      <c r="O12" s="411"/>
      <c r="P12" s="411"/>
      <c r="Q12" s="411"/>
      <c r="R12" s="411"/>
      <c r="S12" s="411"/>
      <c r="T12" s="413"/>
    </row>
    <row r="13" spans="2:20" ht="18.75">
      <c r="B13" s="91" t="s">
        <v>194</v>
      </c>
      <c r="C13" s="408"/>
      <c r="D13" s="414"/>
      <c r="E13" s="414"/>
      <c r="F13" s="414"/>
      <c r="G13" s="414"/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416"/>
    </row>
    <row r="14" spans="2:20" ht="18.75" customHeight="1" thickBot="1">
      <c r="B14" s="417"/>
      <c r="C14" s="418"/>
      <c r="D14" s="419"/>
      <c r="E14" s="419"/>
      <c r="F14" s="420"/>
      <c r="G14" s="42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421"/>
    </row>
    <row r="15" spans="1:20" s="430" customFormat="1" ht="34.5" customHeight="1" thickBot="1" thickTop="1">
      <c r="A15" s="422"/>
      <c r="B15" s="423"/>
      <c r="C15" s="424"/>
      <c r="D15" s="425" t="s">
        <v>2</v>
      </c>
      <c r="E15" s="426" t="s">
        <v>59</v>
      </c>
      <c r="F15" s="427" t="s">
        <v>60</v>
      </c>
      <c r="G15" s="428">
        <f>IF('[1]Tasa de Falla'!BL15=0,"",'[1]Tasa de Falla'!BL15)</f>
        <v>36220</v>
      </c>
      <c r="H15" s="428">
        <f>IF('[1]Tasa de Falla'!BM15=0,"",'[1]Tasa de Falla'!BM15)</f>
        <v>36251</v>
      </c>
      <c r="I15" s="428">
        <f>IF('[1]Tasa de Falla'!BN15=0,"",'[1]Tasa de Falla'!BN15)</f>
        <v>36281</v>
      </c>
      <c r="J15" s="428">
        <f>IF('[1]Tasa de Falla'!BO15=0,"",'[1]Tasa de Falla'!BO15)</f>
        <v>36312</v>
      </c>
      <c r="K15" s="428">
        <f>IF('[1]Tasa de Falla'!BP15=0,"",'[1]Tasa de Falla'!BP15)</f>
        <v>36342</v>
      </c>
      <c r="L15" s="428">
        <f>IF('[1]Tasa de Falla'!BQ15=0,"",'[1]Tasa de Falla'!BQ15)</f>
        <v>36373</v>
      </c>
      <c r="M15" s="428">
        <f>IF('[1]Tasa de Falla'!BR15=0,"",'[1]Tasa de Falla'!BR15)</f>
        <v>36404</v>
      </c>
      <c r="N15" s="428">
        <f>IF('[1]Tasa de Falla'!BS15=0,"",'[1]Tasa de Falla'!BS15)</f>
        <v>36434</v>
      </c>
      <c r="O15" s="428">
        <f>IF('[1]Tasa de Falla'!BT15=0,"",'[1]Tasa de Falla'!BT15)</f>
        <v>36465</v>
      </c>
      <c r="P15" s="428">
        <f>IF('[1]Tasa de Falla'!BU15=0,"",'[1]Tasa de Falla'!BU15)</f>
        <v>36495</v>
      </c>
      <c r="Q15" s="428">
        <f>IF('[1]Tasa de Falla'!BV15=0,"",'[1]Tasa de Falla'!BV15)</f>
        <v>36526</v>
      </c>
      <c r="R15" s="428">
        <f>IF('[1]Tasa de Falla'!BW15=0,"",'[1]Tasa de Falla'!BW15)</f>
        <v>36557</v>
      </c>
      <c r="S15" s="428">
        <f>IF('[1]Tasa de Falla'!BX15=0,"",'[1]Tasa de Falla'!BX15)</f>
        <v>36586</v>
      </c>
      <c r="T15" s="429"/>
    </row>
    <row r="16" spans="2:20" s="431" customFormat="1" ht="19.5" customHeight="1" thickTop="1">
      <c r="B16" s="432"/>
      <c r="C16" s="433"/>
      <c r="D16" s="434"/>
      <c r="E16" s="434"/>
      <c r="F16" s="435"/>
      <c r="G16" s="436"/>
      <c r="H16" s="436"/>
      <c r="I16" s="436"/>
      <c r="J16" s="436"/>
      <c r="K16" s="436"/>
      <c r="L16" s="436"/>
      <c r="M16" s="436"/>
      <c r="N16" s="436"/>
      <c r="O16" s="436"/>
      <c r="P16" s="436"/>
      <c r="Q16" s="436"/>
      <c r="R16" s="436"/>
      <c r="S16" s="437"/>
      <c r="T16" s="438"/>
    </row>
    <row r="17" spans="2:20" s="431" customFormat="1" ht="19.5" customHeight="1">
      <c r="B17" s="432"/>
      <c r="C17" s="439">
        <f>'[1]Tasa de Falla'!C17</f>
        <v>1</v>
      </c>
      <c r="D17" s="440" t="str">
        <f>'[1]Tasa de Falla'!D17</f>
        <v>AGUA BLANCA - VILLA QUINTEROS</v>
      </c>
      <c r="E17" s="440">
        <f>'[1]Tasa de Falla'!E17</f>
        <v>132</v>
      </c>
      <c r="F17" s="441">
        <f>'[1]Tasa de Falla'!F17</f>
        <v>23.8</v>
      </c>
      <c r="G17" s="442">
        <f>IF('[1]Tasa de Falla'!BL17=0,"",'[1]Tasa de Falla'!BL17)</f>
      </c>
      <c r="H17" s="442">
        <f>IF('[1]Tasa de Falla'!BM17=0,"",'[1]Tasa de Falla'!BM17)</f>
      </c>
      <c r="I17" s="442">
        <f>IF('[1]Tasa de Falla'!BN17=0,"",'[1]Tasa de Falla'!BN17)</f>
      </c>
      <c r="J17" s="442">
        <f>IF('[1]Tasa de Falla'!BO17=0,"",'[1]Tasa de Falla'!BO17)</f>
      </c>
      <c r="K17" s="442">
        <f>IF('[1]Tasa de Falla'!BP17=0,"",'[1]Tasa de Falla'!BP17)</f>
      </c>
      <c r="L17" s="442">
        <f>IF('[1]Tasa de Falla'!BQ17=0,"",'[1]Tasa de Falla'!BQ17)</f>
        <v>1</v>
      </c>
      <c r="M17" s="442">
        <f>IF('[1]Tasa de Falla'!BR17=0,"",'[1]Tasa de Falla'!BR17)</f>
      </c>
      <c r="N17" s="442">
        <f>IF('[1]Tasa de Falla'!BS17=0,"",'[1]Tasa de Falla'!BS17)</f>
      </c>
      <c r="O17" s="442">
        <f>IF('[1]Tasa de Falla'!BT17=0,"",'[1]Tasa de Falla'!BT17)</f>
        <v>1</v>
      </c>
      <c r="P17" s="442">
        <f>IF('[1]Tasa de Falla'!BU17=0,"",'[1]Tasa de Falla'!BU17)</f>
      </c>
      <c r="Q17" s="442">
        <f>IF('[1]Tasa de Falla'!BV17=0,"",'[1]Tasa de Falla'!BV17)</f>
      </c>
      <c r="R17" s="442">
        <f>IF('[1]Tasa de Falla'!BW17=0,"",'[1]Tasa de Falla'!BW17)</f>
      </c>
      <c r="S17" s="443"/>
      <c r="T17" s="444"/>
    </row>
    <row r="18" spans="2:20" s="431" customFormat="1" ht="19.5" customHeight="1">
      <c r="B18" s="432"/>
      <c r="C18" s="445">
        <f>'[1]Tasa de Falla'!C18</f>
        <v>2</v>
      </c>
      <c r="D18" s="446" t="str">
        <f>'[1]Tasa de Falla'!D18</f>
        <v>AGUILARES - ESCABA</v>
      </c>
      <c r="E18" s="446">
        <f>'[1]Tasa de Falla'!E18</f>
        <v>132</v>
      </c>
      <c r="F18" s="447">
        <f>'[1]Tasa de Falla'!F18</f>
        <v>27</v>
      </c>
      <c r="G18" s="448">
        <f>IF('[1]Tasa de Falla'!BL18=0,"",'[1]Tasa de Falla'!BL18)</f>
      </c>
      <c r="H18" s="448">
        <f>IF('[1]Tasa de Falla'!BM18=0,"",'[1]Tasa de Falla'!BM18)</f>
      </c>
      <c r="I18" s="448">
        <f>IF('[1]Tasa de Falla'!BN18=0,"",'[1]Tasa de Falla'!BN18)</f>
      </c>
      <c r="J18" s="448">
        <f>IF('[1]Tasa de Falla'!BO18=0,"",'[1]Tasa de Falla'!BO18)</f>
      </c>
      <c r="K18" s="448">
        <f>IF('[1]Tasa de Falla'!BP18=0,"",'[1]Tasa de Falla'!BP18)</f>
      </c>
      <c r="L18" s="448">
        <f>IF('[1]Tasa de Falla'!BQ18=0,"",'[1]Tasa de Falla'!BQ18)</f>
      </c>
      <c r="M18" s="448">
        <f>IF('[1]Tasa de Falla'!BR18=0,"",'[1]Tasa de Falla'!BR18)</f>
      </c>
      <c r="N18" s="448">
        <f>IF('[1]Tasa de Falla'!BS18=0,"",'[1]Tasa de Falla'!BS18)</f>
      </c>
      <c r="O18" s="448">
        <f>IF('[1]Tasa de Falla'!BT18=0,"",'[1]Tasa de Falla'!BT18)</f>
      </c>
      <c r="P18" s="448">
        <f>IF('[1]Tasa de Falla'!BU18=0,"",'[1]Tasa de Falla'!BU18)</f>
      </c>
      <c r="Q18" s="448">
        <f>IF('[1]Tasa de Falla'!BV18=0,"",'[1]Tasa de Falla'!BV18)</f>
      </c>
      <c r="R18" s="448">
        <f>IF('[1]Tasa de Falla'!BW18=0,"",'[1]Tasa de Falla'!BW18)</f>
      </c>
      <c r="S18" s="443"/>
      <c r="T18" s="444"/>
    </row>
    <row r="19" spans="2:20" s="431" customFormat="1" ht="19.5" customHeight="1">
      <c r="B19" s="432"/>
      <c r="C19" s="439">
        <f>'[1]Tasa de Falla'!C19</f>
        <v>3</v>
      </c>
      <c r="D19" s="440" t="str">
        <f>'[1]Tasa de Falla'!D19</f>
        <v>CABRA CORRAL - SALTA SUR</v>
      </c>
      <c r="E19" s="440">
        <f>'[1]Tasa de Falla'!E19</f>
        <v>132</v>
      </c>
      <c r="F19" s="441">
        <f>'[1]Tasa de Falla'!F19</f>
        <v>62</v>
      </c>
      <c r="G19" s="449">
        <f>IF('[1]Tasa de Falla'!BL19=0,"",'[1]Tasa de Falla'!BL19)</f>
      </c>
      <c r="H19" s="449">
        <f>IF('[1]Tasa de Falla'!BM19=0,"",'[1]Tasa de Falla'!BM19)</f>
      </c>
      <c r="I19" s="449">
        <f>IF('[1]Tasa de Falla'!BN19=0,"",'[1]Tasa de Falla'!BN19)</f>
      </c>
      <c r="J19" s="449">
        <f>IF('[1]Tasa de Falla'!BO19=0,"",'[1]Tasa de Falla'!BO19)</f>
      </c>
      <c r="K19" s="449">
        <f>IF('[1]Tasa de Falla'!BP19=0,"",'[1]Tasa de Falla'!BP19)</f>
      </c>
      <c r="L19" s="449">
        <f>IF('[1]Tasa de Falla'!BQ19=0,"",'[1]Tasa de Falla'!BQ19)</f>
      </c>
      <c r="M19" s="449">
        <f>IF('[1]Tasa de Falla'!BR19=0,"",'[1]Tasa de Falla'!BR19)</f>
        <v>1</v>
      </c>
      <c r="N19" s="449">
        <f>IF('[1]Tasa de Falla'!BS19=0,"",'[1]Tasa de Falla'!BS19)</f>
      </c>
      <c r="O19" s="449">
        <f>IF('[1]Tasa de Falla'!BT19=0,"",'[1]Tasa de Falla'!BT19)</f>
      </c>
      <c r="P19" s="449">
        <f>IF('[1]Tasa de Falla'!BU19=0,"",'[1]Tasa de Falla'!BU19)</f>
      </c>
      <c r="Q19" s="449" t="str">
        <f>IF('[1]Tasa de Falla'!BV19=0,"",'[1]Tasa de Falla'!BV19)</f>
        <v>XXXX</v>
      </c>
      <c r="R19" s="449" t="str">
        <f>IF('[1]Tasa de Falla'!BW19=0,"",'[1]Tasa de Falla'!BW19)</f>
        <v>XXXX</v>
      </c>
      <c r="S19" s="443"/>
      <c r="T19" s="444"/>
    </row>
    <row r="20" spans="2:20" s="431" customFormat="1" ht="19.5" customHeight="1">
      <c r="B20" s="432"/>
      <c r="C20" s="445">
        <f>'[1]Tasa de Falla'!C20</f>
        <v>4</v>
      </c>
      <c r="D20" s="446" t="str">
        <f>'[1]Tasa de Falla'!D20</f>
        <v>CEVIL POZO - TUCUMAN NORTE</v>
      </c>
      <c r="E20" s="446">
        <f>'[1]Tasa de Falla'!E20</f>
        <v>132</v>
      </c>
      <c r="F20" s="447">
        <f>'[1]Tasa de Falla'!F20</f>
        <v>14.5</v>
      </c>
      <c r="G20" s="448">
        <f>IF('[1]Tasa de Falla'!BL20=0,"",'[1]Tasa de Falla'!BL20)</f>
      </c>
      <c r="H20" s="448">
        <f>IF('[1]Tasa de Falla'!BM20=0,"",'[1]Tasa de Falla'!BM20)</f>
      </c>
      <c r="I20" s="448">
        <f>IF('[1]Tasa de Falla'!BN20=0,"",'[1]Tasa de Falla'!BN20)</f>
      </c>
      <c r="J20" s="448">
        <f>IF('[1]Tasa de Falla'!BO20=0,"",'[1]Tasa de Falla'!BO20)</f>
      </c>
      <c r="K20" s="448">
        <f>IF('[1]Tasa de Falla'!BP20=0,"",'[1]Tasa de Falla'!BP20)</f>
      </c>
      <c r="L20" s="448">
        <f>IF('[1]Tasa de Falla'!BQ20=0,"",'[1]Tasa de Falla'!BQ20)</f>
      </c>
      <c r="M20" s="448">
        <f>IF('[1]Tasa de Falla'!BR20=0,"",'[1]Tasa de Falla'!BR20)</f>
      </c>
      <c r="N20" s="448">
        <f>IF('[1]Tasa de Falla'!BS20=0,"",'[1]Tasa de Falla'!BS20)</f>
      </c>
      <c r="O20" s="448">
        <f>IF('[1]Tasa de Falla'!BT20=0,"",'[1]Tasa de Falla'!BT20)</f>
      </c>
      <c r="P20" s="448">
        <f>IF('[1]Tasa de Falla'!BU20=0,"",'[1]Tasa de Falla'!BU20)</f>
      </c>
      <c r="Q20" s="448">
        <f>IF('[1]Tasa de Falla'!BV20=0,"",'[1]Tasa de Falla'!BV20)</f>
      </c>
      <c r="R20" s="448">
        <f>IF('[1]Tasa de Falla'!BW20=0,"",'[1]Tasa de Falla'!BW20)</f>
      </c>
      <c r="S20" s="443"/>
      <c r="T20" s="444"/>
    </row>
    <row r="21" spans="2:20" s="431" customFormat="1" ht="19.5" customHeight="1">
      <c r="B21" s="432"/>
      <c r="C21" s="439">
        <f>'[1]Tasa de Falla'!C21</f>
        <v>5</v>
      </c>
      <c r="D21" s="440" t="str">
        <f>'[1]Tasa de Falla'!D21</f>
        <v>CAMPO SANTO - MINETTI</v>
      </c>
      <c r="E21" s="440">
        <f>'[1]Tasa de Falla'!E21</f>
        <v>132</v>
      </c>
      <c r="F21" s="441">
        <f>'[1]Tasa de Falla'!F21</f>
        <v>29.9</v>
      </c>
      <c r="G21" s="449">
        <f>IF('[1]Tasa de Falla'!BL21=0,"",'[1]Tasa de Falla'!BL21)</f>
      </c>
      <c r="H21" s="449">
        <f>IF('[1]Tasa de Falla'!BM21=0,"",'[1]Tasa de Falla'!BM21)</f>
        <v>1</v>
      </c>
      <c r="I21" s="449">
        <f>IF('[1]Tasa de Falla'!BN21=0,"",'[1]Tasa de Falla'!BN21)</f>
      </c>
      <c r="J21" s="449">
        <f>IF('[1]Tasa de Falla'!BO21=0,"",'[1]Tasa de Falla'!BO21)</f>
      </c>
      <c r="K21" s="449">
        <f>IF('[1]Tasa de Falla'!BP21=0,"",'[1]Tasa de Falla'!BP21)</f>
      </c>
      <c r="L21" s="449">
        <f>IF('[1]Tasa de Falla'!BQ21=0,"",'[1]Tasa de Falla'!BQ21)</f>
      </c>
      <c r="M21" s="449">
        <f>IF('[1]Tasa de Falla'!BR21=0,"",'[1]Tasa de Falla'!BR21)</f>
      </c>
      <c r="N21" s="449">
        <f>IF('[1]Tasa de Falla'!BS21=0,"",'[1]Tasa de Falla'!BS21)</f>
      </c>
      <c r="O21" s="449">
        <f>IF('[1]Tasa de Falla'!BT21=0,"",'[1]Tasa de Falla'!BT21)</f>
      </c>
      <c r="P21" s="449">
        <f>IF('[1]Tasa de Falla'!BU21=0,"",'[1]Tasa de Falla'!BU21)</f>
      </c>
      <c r="Q21" s="449">
        <f>IF('[1]Tasa de Falla'!BV21=0,"",'[1]Tasa de Falla'!BV21)</f>
      </c>
      <c r="R21" s="449">
        <f>IF('[1]Tasa de Falla'!BW21=0,"",'[1]Tasa de Falla'!BW21)</f>
      </c>
      <c r="S21" s="443"/>
      <c r="T21" s="444"/>
    </row>
    <row r="22" spans="2:20" s="431" customFormat="1" ht="19.5" customHeight="1">
      <c r="B22" s="432"/>
      <c r="C22" s="445">
        <f>'[1]Tasa de Falla'!C22</f>
        <v>6</v>
      </c>
      <c r="D22" s="446" t="str">
        <f>'[1]Tasa de Falla'!D22</f>
        <v>ESCABA - HUACRA</v>
      </c>
      <c r="E22" s="446">
        <f>'[1]Tasa de Falla'!E22</f>
        <v>132</v>
      </c>
      <c r="F22" s="447">
        <f>'[1]Tasa de Falla'!F22</f>
        <v>49.9</v>
      </c>
      <c r="G22" s="448" t="str">
        <f>IF('[1]Tasa de Falla'!BL22=0,"",'[1]Tasa de Falla'!BL22)</f>
        <v>XXXX</v>
      </c>
      <c r="H22" s="448" t="str">
        <f>IF('[1]Tasa de Falla'!BM22=0,"",'[1]Tasa de Falla'!BM22)</f>
        <v>XXXX</v>
      </c>
      <c r="I22" s="448" t="str">
        <f>IF('[1]Tasa de Falla'!BN22=0,"",'[1]Tasa de Falla'!BN22)</f>
        <v>XXXX</v>
      </c>
      <c r="J22" s="448" t="str">
        <f>IF('[1]Tasa de Falla'!BO22=0,"",'[1]Tasa de Falla'!BO22)</f>
        <v>XXXX</v>
      </c>
      <c r="K22" s="448" t="str">
        <f>IF('[1]Tasa de Falla'!BP22=0,"",'[1]Tasa de Falla'!BP22)</f>
        <v>XXXX</v>
      </c>
      <c r="L22" s="448" t="str">
        <f>IF('[1]Tasa de Falla'!BQ22=0,"",'[1]Tasa de Falla'!BQ22)</f>
        <v>XXXX</v>
      </c>
      <c r="M22" s="448" t="str">
        <f>IF('[1]Tasa de Falla'!BR22=0,"",'[1]Tasa de Falla'!BR22)</f>
        <v>XXXX</v>
      </c>
      <c r="N22" s="448" t="str">
        <f>IF('[1]Tasa de Falla'!BS22=0,"",'[1]Tasa de Falla'!BS22)</f>
        <v>XXXX</v>
      </c>
      <c r="O22" s="448" t="str">
        <f>IF('[1]Tasa de Falla'!BT22=0,"",'[1]Tasa de Falla'!BT22)</f>
        <v>XXXX</v>
      </c>
      <c r="P22" s="448" t="str">
        <f>IF('[1]Tasa de Falla'!BU22=0,"",'[1]Tasa de Falla'!BU22)</f>
        <v>XXXX</v>
      </c>
      <c r="Q22" s="448" t="str">
        <f>IF('[1]Tasa de Falla'!BV22=0,"",'[1]Tasa de Falla'!BV22)</f>
        <v>XXXX</v>
      </c>
      <c r="R22" s="448" t="str">
        <f>IF('[1]Tasa de Falla'!BW22=0,"",'[1]Tasa de Falla'!BW22)</f>
        <v>XXXX</v>
      </c>
      <c r="S22" s="443"/>
      <c r="T22" s="444"/>
    </row>
    <row r="23" spans="2:20" s="431" customFormat="1" ht="19.5" customHeight="1">
      <c r="B23" s="432"/>
      <c r="C23" s="439">
        <f>'[1]Tasa de Falla'!C23</f>
        <v>7</v>
      </c>
      <c r="D23" s="440" t="str">
        <f>'[1]Tasa de Falla'!D23</f>
        <v>ESTATICA SUR - EL BRACHO</v>
      </c>
      <c r="E23" s="440">
        <f>'[1]Tasa de Falla'!E23</f>
        <v>132</v>
      </c>
      <c r="F23" s="441">
        <f>'[1]Tasa de Falla'!F23</f>
        <v>19.6</v>
      </c>
      <c r="G23" s="449">
        <f>IF('[1]Tasa de Falla'!BL23=0,"",'[1]Tasa de Falla'!BL23)</f>
      </c>
      <c r="H23" s="449">
        <f>IF('[1]Tasa de Falla'!BM23=0,"",'[1]Tasa de Falla'!BM23)</f>
      </c>
      <c r="I23" s="449">
        <f>IF('[1]Tasa de Falla'!BN23=0,"",'[1]Tasa de Falla'!BN23)</f>
      </c>
      <c r="J23" s="449">
        <f>IF('[1]Tasa de Falla'!BO23=0,"",'[1]Tasa de Falla'!BO23)</f>
      </c>
      <c r="K23" s="449">
        <f>IF('[1]Tasa de Falla'!BP23=0,"",'[1]Tasa de Falla'!BP23)</f>
      </c>
      <c r="L23" s="449">
        <f>IF('[1]Tasa de Falla'!BQ23=0,"",'[1]Tasa de Falla'!BQ23)</f>
      </c>
      <c r="M23" s="449">
        <f>IF('[1]Tasa de Falla'!BR23=0,"",'[1]Tasa de Falla'!BR23)</f>
      </c>
      <c r="N23" s="449">
        <f>IF('[1]Tasa de Falla'!BS23=0,"",'[1]Tasa de Falla'!BS23)</f>
      </c>
      <c r="O23" s="449">
        <f>IF('[1]Tasa de Falla'!BT23=0,"",'[1]Tasa de Falla'!BT23)</f>
      </c>
      <c r="P23" s="449">
        <f>IF('[1]Tasa de Falla'!BU23=0,"",'[1]Tasa de Falla'!BU23)</f>
      </c>
      <c r="Q23" s="449">
        <f>IF('[1]Tasa de Falla'!BV23=0,"",'[1]Tasa de Falla'!BV23)</f>
      </c>
      <c r="R23" s="449">
        <f>IF('[1]Tasa de Falla'!BW23=0,"",'[1]Tasa de Falla'!BW23)</f>
        <v>1</v>
      </c>
      <c r="S23" s="443"/>
      <c r="T23" s="444"/>
    </row>
    <row r="24" spans="2:20" s="431" customFormat="1" ht="19.5" customHeight="1">
      <c r="B24" s="432"/>
      <c r="C24" s="445">
        <f>'[1]Tasa de Falla'!C24</f>
        <v>8</v>
      </c>
      <c r="D24" s="446" t="str">
        <f>'[1]Tasa de Falla'!D24</f>
        <v>ESTATICA SUR - INDEPENDENCIA</v>
      </c>
      <c r="E24" s="446">
        <f>'[1]Tasa de Falla'!E24</f>
        <v>132</v>
      </c>
      <c r="F24" s="447">
        <f>'[1]Tasa de Falla'!F24</f>
        <v>2.6</v>
      </c>
      <c r="G24" s="448">
        <f>IF('[1]Tasa de Falla'!BL24=0,"",'[1]Tasa de Falla'!BL24)</f>
      </c>
      <c r="H24" s="448">
        <f>IF('[1]Tasa de Falla'!BM24=0,"",'[1]Tasa de Falla'!BM24)</f>
      </c>
      <c r="I24" s="448">
        <f>IF('[1]Tasa de Falla'!BN24=0,"",'[1]Tasa de Falla'!BN24)</f>
      </c>
      <c r="J24" s="448">
        <f>IF('[1]Tasa de Falla'!BO24=0,"",'[1]Tasa de Falla'!BO24)</f>
      </c>
      <c r="K24" s="448">
        <f>IF('[1]Tasa de Falla'!BP24=0,"",'[1]Tasa de Falla'!BP24)</f>
      </c>
      <c r="L24" s="448">
        <f>IF('[1]Tasa de Falla'!BQ24=0,"",'[1]Tasa de Falla'!BQ24)</f>
      </c>
      <c r="M24" s="448">
        <f>IF('[1]Tasa de Falla'!BR24=0,"",'[1]Tasa de Falla'!BR24)</f>
      </c>
      <c r="N24" s="448">
        <f>IF('[1]Tasa de Falla'!BS24=0,"",'[1]Tasa de Falla'!BS24)</f>
      </c>
      <c r="O24" s="448">
        <f>IF('[1]Tasa de Falla'!BT24=0,"",'[1]Tasa de Falla'!BT24)</f>
      </c>
      <c r="P24" s="448">
        <f>IF('[1]Tasa de Falla'!BU24=0,"",'[1]Tasa de Falla'!BU24)</f>
        <v>1</v>
      </c>
      <c r="Q24" s="448">
        <f>IF('[1]Tasa de Falla'!BV24=0,"",'[1]Tasa de Falla'!BV24)</f>
        <v>1</v>
      </c>
      <c r="R24" s="448">
        <f>IF('[1]Tasa de Falla'!BW24=0,"",'[1]Tasa de Falla'!BW24)</f>
      </c>
      <c r="S24" s="443"/>
      <c r="T24" s="444"/>
    </row>
    <row r="25" spans="2:20" s="431" customFormat="1" ht="19.5" customHeight="1">
      <c r="B25" s="432"/>
      <c r="C25" s="439">
        <f>'[1]Tasa de Falla'!C25</f>
        <v>9</v>
      </c>
      <c r="D25" s="440" t="str">
        <f>'[1]Tasa de Falla'!D25</f>
        <v>ESTATICA SUR - SARMIENTO</v>
      </c>
      <c r="E25" s="440">
        <f>'[1]Tasa de Falla'!E25</f>
        <v>132</v>
      </c>
      <c r="F25" s="441">
        <f>'[1]Tasa de Falla'!F25</f>
        <v>4.4</v>
      </c>
      <c r="G25" s="449">
        <f>IF('[1]Tasa de Falla'!BL25=0,"",'[1]Tasa de Falla'!BL25)</f>
      </c>
      <c r="H25" s="449">
        <f>IF('[1]Tasa de Falla'!BM25=0,"",'[1]Tasa de Falla'!BM25)</f>
      </c>
      <c r="I25" s="449">
        <f>IF('[1]Tasa de Falla'!BN25=0,"",'[1]Tasa de Falla'!BN25)</f>
      </c>
      <c r="J25" s="449">
        <f>IF('[1]Tasa de Falla'!BO25=0,"",'[1]Tasa de Falla'!BO25)</f>
      </c>
      <c r="K25" s="449">
        <f>IF('[1]Tasa de Falla'!BP25=0,"",'[1]Tasa de Falla'!BP25)</f>
      </c>
      <c r="L25" s="449">
        <f>IF('[1]Tasa de Falla'!BQ25=0,"",'[1]Tasa de Falla'!BQ25)</f>
      </c>
      <c r="M25" s="449">
        <f>IF('[1]Tasa de Falla'!BR25=0,"",'[1]Tasa de Falla'!BR25)</f>
      </c>
      <c r="N25" s="449">
        <f>IF('[1]Tasa de Falla'!BS25=0,"",'[1]Tasa de Falla'!BS25)</f>
      </c>
      <c r="O25" s="449">
        <f>IF('[1]Tasa de Falla'!BT25=0,"",'[1]Tasa de Falla'!BT25)</f>
      </c>
      <c r="P25" s="449">
        <f>IF('[1]Tasa de Falla'!BU25=0,"",'[1]Tasa de Falla'!BU25)</f>
      </c>
      <c r="Q25" s="449">
        <f>IF('[1]Tasa de Falla'!BV25=0,"",'[1]Tasa de Falla'!BV25)</f>
      </c>
      <c r="R25" s="449">
        <f>IF('[1]Tasa de Falla'!BW25=0,"",'[1]Tasa de Falla'!BW25)</f>
      </c>
      <c r="S25" s="443"/>
      <c r="T25" s="444"/>
    </row>
    <row r="26" spans="2:20" s="431" customFormat="1" ht="19.5" customHeight="1">
      <c r="B26" s="432"/>
      <c r="C26" s="445">
        <f>'[1]Tasa de Falla'!C26</f>
        <v>10</v>
      </c>
      <c r="D26" s="446" t="str">
        <f>'[1]Tasa de Falla'!D26</f>
        <v>GÜEMES - EL BRACHO</v>
      </c>
      <c r="E26" s="446">
        <f>'[1]Tasa de Falla'!E26</f>
        <v>132</v>
      </c>
      <c r="F26" s="447">
        <f>'[1]Tasa de Falla'!F26</f>
        <v>308</v>
      </c>
      <c r="G26" s="448" t="str">
        <f>IF('[1]Tasa de Falla'!BL26=0,"",'[1]Tasa de Falla'!BL26)</f>
        <v>XXXX</v>
      </c>
      <c r="H26" s="448" t="str">
        <f>IF('[1]Tasa de Falla'!BM26=0,"",'[1]Tasa de Falla'!BM26)</f>
        <v>XXXX</v>
      </c>
      <c r="I26" s="448" t="str">
        <f>IF('[1]Tasa de Falla'!BN26=0,"",'[1]Tasa de Falla'!BN26)</f>
        <v>XXXX</v>
      </c>
      <c r="J26" s="448" t="str">
        <f>IF('[1]Tasa de Falla'!BO26=0,"",'[1]Tasa de Falla'!BO26)</f>
        <v>XXXX</v>
      </c>
      <c r="K26" s="448" t="str">
        <f>IF('[1]Tasa de Falla'!BP26=0,"",'[1]Tasa de Falla'!BP26)</f>
        <v>XXXX</v>
      </c>
      <c r="L26" s="448" t="str">
        <f>IF('[1]Tasa de Falla'!BQ26=0,"",'[1]Tasa de Falla'!BQ26)</f>
        <v>XXXX</v>
      </c>
      <c r="M26" s="448" t="str">
        <f>IF('[1]Tasa de Falla'!BR26=0,"",'[1]Tasa de Falla'!BR26)</f>
        <v>XXXX</v>
      </c>
      <c r="N26" s="448" t="str">
        <f>IF('[1]Tasa de Falla'!BS26=0,"",'[1]Tasa de Falla'!BS26)</f>
        <v>XXXX</v>
      </c>
      <c r="O26" s="448" t="str">
        <f>IF('[1]Tasa de Falla'!BT26=0,"",'[1]Tasa de Falla'!BT26)</f>
        <v>XXXX</v>
      </c>
      <c r="P26" s="448" t="str">
        <f>IF('[1]Tasa de Falla'!BU26=0,"",'[1]Tasa de Falla'!BU26)</f>
        <v>XXXX</v>
      </c>
      <c r="Q26" s="448" t="str">
        <f>IF('[1]Tasa de Falla'!BV26=0,"",'[1]Tasa de Falla'!BV26)</f>
        <v>XXXX</v>
      </c>
      <c r="R26" s="448" t="str">
        <f>IF('[1]Tasa de Falla'!BW26=0,"",'[1]Tasa de Falla'!BW26)</f>
        <v>XXXX</v>
      </c>
      <c r="S26" s="443"/>
      <c r="T26" s="444"/>
    </row>
    <row r="27" spans="2:20" s="431" customFormat="1" ht="19.5" customHeight="1">
      <c r="B27" s="432"/>
      <c r="C27" s="439">
        <f>'[1]Tasa de Falla'!C27</f>
        <v>11</v>
      </c>
      <c r="D27" s="440" t="str">
        <f>'[1]Tasa de Falla'!D27</f>
        <v>GÜEMES - CAMPO SANTO</v>
      </c>
      <c r="E27" s="440">
        <f>'[1]Tasa de Falla'!E27</f>
        <v>132</v>
      </c>
      <c r="F27" s="441">
        <f>'[1]Tasa de Falla'!F27</f>
        <v>6.2</v>
      </c>
      <c r="G27" s="449">
        <f>IF('[1]Tasa de Falla'!BL27=0,"",'[1]Tasa de Falla'!BL27)</f>
      </c>
      <c r="H27" s="449">
        <f>IF('[1]Tasa de Falla'!BM27=0,"",'[1]Tasa de Falla'!BM27)</f>
      </c>
      <c r="I27" s="449">
        <f>IF('[1]Tasa de Falla'!BN27=0,"",'[1]Tasa de Falla'!BN27)</f>
      </c>
      <c r="J27" s="449">
        <f>IF('[1]Tasa de Falla'!BO27=0,"",'[1]Tasa de Falla'!BO27)</f>
        <v>1</v>
      </c>
      <c r="K27" s="449">
        <f>IF('[1]Tasa de Falla'!BP27=0,"",'[1]Tasa de Falla'!BP27)</f>
      </c>
      <c r="L27" s="449">
        <f>IF('[1]Tasa de Falla'!BQ27=0,"",'[1]Tasa de Falla'!BQ27)</f>
        <v>1</v>
      </c>
      <c r="M27" s="449">
        <f>IF('[1]Tasa de Falla'!BR27=0,"",'[1]Tasa de Falla'!BR27)</f>
      </c>
      <c r="N27" s="449">
        <f>IF('[1]Tasa de Falla'!BS27=0,"",'[1]Tasa de Falla'!BS27)</f>
      </c>
      <c r="O27" s="449">
        <f>IF('[1]Tasa de Falla'!BT27=0,"",'[1]Tasa de Falla'!BT27)</f>
      </c>
      <c r="P27" s="449">
        <f>IF('[1]Tasa de Falla'!BU27=0,"",'[1]Tasa de Falla'!BU27)</f>
      </c>
      <c r="Q27" s="449">
        <f>IF('[1]Tasa de Falla'!BV27=0,"",'[1]Tasa de Falla'!BV27)</f>
        <v>2</v>
      </c>
      <c r="R27" s="449">
        <f>IF('[1]Tasa de Falla'!BW27=0,"",'[1]Tasa de Falla'!BW27)</f>
        <v>1</v>
      </c>
      <c r="S27" s="443"/>
      <c r="T27" s="444"/>
    </row>
    <row r="28" spans="2:20" s="431" customFormat="1" ht="19.5" customHeight="1">
      <c r="B28" s="432"/>
      <c r="C28" s="445">
        <f>'[1]Tasa de Falla'!C28</f>
        <v>12</v>
      </c>
      <c r="D28" s="450" t="str">
        <f>'[1]Tasa de Falla'!D28</f>
        <v>GÜEMES - SAN JUANCITO</v>
      </c>
      <c r="E28" s="450">
        <f>'[1]Tasa de Falla'!E28</f>
        <v>132</v>
      </c>
      <c r="F28" s="451">
        <f>'[1]Tasa de Falla'!F28</f>
        <v>36.2</v>
      </c>
      <c r="G28" s="448">
        <f>IF('[1]Tasa de Falla'!BL28=0,"",'[1]Tasa de Falla'!BL28)</f>
        <v>1</v>
      </c>
      <c r="H28" s="448">
        <f>IF('[1]Tasa de Falla'!BM28=0,"",'[1]Tasa de Falla'!BM28)</f>
      </c>
      <c r="I28" s="448">
        <f>IF('[1]Tasa de Falla'!BN28=0,"",'[1]Tasa de Falla'!BN28)</f>
      </c>
      <c r="J28" s="448">
        <f>IF('[1]Tasa de Falla'!BO28=0,"",'[1]Tasa de Falla'!BO28)</f>
      </c>
      <c r="K28" s="448">
        <f>IF('[1]Tasa de Falla'!BP28=0,"",'[1]Tasa de Falla'!BP28)</f>
      </c>
      <c r="L28" s="448">
        <f>IF('[1]Tasa de Falla'!BQ28=0,"",'[1]Tasa de Falla'!BQ28)</f>
        <v>1</v>
      </c>
      <c r="M28" s="448">
        <f>IF('[1]Tasa de Falla'!BR28=0,"",'[1]Tasa de Falla'!BR28)</f>
        <v>2</v>
      </c>
      <c r="N28" s="448">
        <f>IF('[1]Tasa de Falla'!BS28=0,"",'[1]Tasa de Falla'!BS28)</f>
      </c>
      <c r="O28" s="448">
        <f>IF('[1]Tasa de Falla'!BT28=0,"",'[1]Tasa de Falla'!BT28)</f>
      </c>
      <c r="P28" s="448">
        <f>IF('[1]Tasa de Falla'!BU28=0,"",'[1]Tasa de Falla'!BU28)</f>
      </c>
      <c r="Q28" s="448">
        <f>IF('[1]Tasa de Falla'!BV28=0,"",'[1]Tasa de Falla'!BV28)</f>
        <v>1</v>
      </c>
      <c r="R28" s="448">
        <f>IF('[1]Tasa de Falla'!BW28=0,"",'[1]Tasa de Falla'!BW28)</f>
        <v>3</v>
      </c>
      <c r="S28" s="443"/>
      <c r="T28" s="444"/>
    </row>
    <row r="29" spans="2:20" s="431" customFormat="1" ht="19.5" customHeight="1">
      <c r="B29" s="432"/>
      <c r="C29" s="439">
        <f>'[1]Tasa de Falla'!C29</f>
        <v>13</v>
      </c>
      <c r="D29" s="440" t="str">
        <f>'[1]Tasa de Falla'!D29</f>
        <v>HUACRA - CATAMARCA</v>
      </c>
      <c r="E29" s="440">
        <f>'[1]Tasa de Falla'!E29</f>
        <v>132</v>
      </c>
      <c r="F29" s="441">
        <f>'[1]Tasa de Falla'!F29</f>
        <v>67.3</v>
      </c>
      <c r="G29" s="449">
        <f>IF('[1]Tasa de Falla'!BL29=0,"",'[1]Tasa de Falla'!BL29)</f>
      </c>
      <c r="H29" s="449">
        <f>IF('[1]Tasa de Falla'!BM29=0,"",'[1]Tasa de Falla'!BM29)</f>
      </c>
      <c r="I29" s="449">
        <f>IF('[1]Tasa de Falla'!BN29=0,"",'[1]Tasa de Falla'!BN29)</f>
      </c>
      <c r="J29" s="449">
        <f>IF('[1]Tasa de Falla'!BO29=0,"",'[1]Tasa de Falla'!BO29)</f>
      </c>
      <c r="K29" s="449">
        <f>IF('[1]Tasa de Falla'!BP29=0,"",'[1]Tasa de Falla'!BP29)</f>
      </c>
      <c r="L29" s="449">
        <f>IF('[1]Tasa de Falla'!BQ29=0,"",'[1]Tasa de Falla'!BQ29)</f>
      </c>
      <c r="M29" s="449">
        <f>IF('[1]Tasa de Falla'!BR29=0,"",'[1]Tasa de Falla'!BR29)</f>
      </c>
      <c r="N29" s="449">
        <f>IF('[1]Tasa de Falla'!BS29=0,"",'[1]Tasa de Falla'!BS29)</f>
      </c>
      <c r="O29" s="449">
        <f>IF('[1]Tasa de Falla'!BT29=0,"",'[1]Tasa de Falla'!BT29)</f>
        <v>1</v>
      </c>
      <c r="P29" s="449">
        <f>IF('[1]Tasa de Falla'!BU29=0,"",'[1]Tasa de Falla'!BU29)</f>
        <v>1</v>
      </c>
      <c r="Q29" s="449">
        <f>IF('[1]Tasa de Falla'!BV29=0,"",'[1]Tasa de Falla'!BV29)</f>
      </c>
      <c r="R29" s="449">
        <f>IF('[1]Tasa de Falla'!BW29=0,"",'[1]Tasa de Falla'!BW29)</f>
      </c>
      <c r="S29" s="443"/>
      <c r="T29" s="444"/>
    </row>
    <row r="30" spans="2:20" s="431" customFormat="1" ht="19.5" customHeight="1">
      <c r="B30" s="432"/>
      <c r="C30" s="445">
        <f>'[1]Tasa de Falla'!C30</f>
        <v>14</v>
      </c>
      <c r="D30" s="450" t="str">
        <f>'[1]Tasa de Falla'!D30</f>
        <v>HUACRA - LA CALERA</v>
      </c>
      <c r="E30" s="450">
        <f>'[1]Tasa de Falla'!E30</f>
        <v>132</v>
      </c>
      <c r="F30" s="451">
        <f>'[1]Tasa de Falla'!F30</f>
        <v>91.2</v>
      </c>
      <c r="G30" s="448">
        <f>IF('[1]Tasa de Falla'!BL30=0,"",'[1]Tasa de Falla'!BL30)</f>
      </c>
      <c r="H30" s="448">
        <f>IF('[1]Tasa de Falla'!BM30=0,"",'[1]Tasa de Falla'!BM30)</f>
      </c>
      <c r="I30" s="448">
        <f>IF('[1]Tasa de Falla'!BN30=0,"",'[1]Tasa de Falla'!BN30)</f>
      </c>
      <c r="J30" s="448">
        <f>IF('[1]Tasa de Falla'!BO30=0,"",'[1]Tasa de Falla'!BO30)</f>
      </c>
      <c r="K30" s="448">
        <f>IF('[1]Tasa de Falla'!BP30=0,"",'[1]Tasa de Falla'!BP30)</f>
      </c>
      <c r="L30" s="448">
        <f>IF('[1]Tasa de Falla'!BQ30=0,"",'[1]Tasa de Falla'!BQ30)</f>
      </c>
      <c r="M30" s="448">
        <f>IF('[1]Tasa de Falla'!BR30=0,"",'[1]Tasa de Falla'!BR30)</f>
      </c>
      <c r="N30" s="448">
        <f>IF('[1]Tasa de Falla'!BS30=0,"",'[1]Tasa de Falla'!BS30)</f>
      </c>
      <c r="O30" s="448">
        <f>IF('[1]Tasa de Falla'!BT30=0,"",'[1]Tasa de Falla'!BT30)</f>
      </c>
      <c r="P30" s="448">
        <f>IF('[1]Tasa de Falla'!BU30=0,"",'[1]Tasa de Falla'!BU30)</f>
      </c>
      <c r="Q30" s="448">
        <f>IF('[1]Tasa de Falla'!BV30=0,"",'[1]Tasa de Falla'!BV30)</f>
        <v>1</v>
      </c>
      <c r="R30" s="448">
        <f>IF('[1]Tasa de Falla'!BW30=0,"",'[1]Tasa de Falla'!BW30)</f>
      </c>
      <c r="S30" s="443"/>
      <c r="T30" s="444"/>
    </row>
    <row r="31" spans="2:20" s="431" customFormat="1" ht="19.5" customHeight="1">
      <c r="B31" s="432"/>
      <c r="C31" s="439">
        <f>'[1]Tasa de Falla'!C31</f>
        <v>15</v>
      </c>
      <c r="D31" s="440" t="str">
        <f>'[1]Tasa de Falla'!D31</f>
        <v>INDEPENDENCIA - AGUA BLANCA</v>
      </c>
      <c r="E31" s="440">
        <f>'[1]Tasa de Falla'!E31</f>
        <v>132</v>
      </c>
      <c r="F31" s="441">
        <f>'[1]Tasa de Falla'!F31</f>
        <v>34.1</v>
      </c>
      <c r="G31" s="449">
        <f>IF('[1]Tasa de Falla'!BL31=0,"",'[1]Tasa de Falla'!BL31)</f>
      </c>
      <c r="H31" s="449">
        <f>IF('[1]Tasa de Falla'!BM31=0,"",'[1]Tasa de Falla'!BM31)</f>
      </c>
      <c r="I31" s="449">
        <f>IF('[1]Tasa de Falla'!BN31=0,"",'[1]Tasa de Falla'!BN31)</f>
      </c>
      <c r="J31" s="449">
        <f>IF('[1]Tasa de Falla'!BO31=0,"",'[1]Tasa de Falla'!BO31)</f>
      </c>
      <c r="K31" s="449">
        <f>IF('[1]Tasa de Falla'!BP31=0,"",'[1]Tasa de Falla'!BP31)</f>
      </c>
      <c r="L31" s="449">
        <f>IF('[1]Tasa de Falla'!BQ31=0,"",'[1]Tasa de Falla'!BQ31)</f>
        <v>2</v>
      </c>
      <c r="M31" s="449">
        <f>IF('[1]Tasa de Falla'!BR31=0,"",'[1]Tasa de Falla'!BR31)</f>
        <v>1</v>
      </c>
      <c r="N31" s="449">
        <f>IF('[1]Tasa de Falla'!BS31=0,"",'[1]Tasa de Falla'!BS31)</f>
      </c>
      <c r="O31" s="449">
        <f>IF('[1]Tasa de Falla'!BT31=0,"",'[1]Tasa de Falla'!BT31)</f>
        <v>1</v>
      </c>
      <c r="P31" s="449">
        <f>IF('[1]Tasa de Falla'!BU31=0,"",'[1]Tasa de Falla'!BU31)</f>
      </c>
      <c r="Q31" s="449">
        <f>IF('[1]Tasa de Falla'!BV31=0,"",'[1]Tasa de Falla'!BV31)</f>
      </c>
      <c r="R31" s="449">
        <f>IF('[1]Tasa de Falla'!BW31=0,"",'[1]Tasa de Falla'!BW31)</f>
        <v>1</v>
      </c>
      <c r="S31" s="443"/>
      <c r="T31" s="444"/>
    </row>
    <row r="32" spans="2:20" s="431" customFormat="1" ht="19.5" customHeight="1">
      <c r="B32" s="432"/>
      <c r="C32" s="445">
        <f>'[1]Tasa de Falla'!C32</f>
        <v>16</v>
      </c>
      <c r="D32" s="450" t="str">
        <f>'[1]Tasa de Falla'!D32</f>
        <v>INDEPENDENCIA - EL BRACHO</v>
      </c>
      <c r="E32" s="450">
        <f>'[1]Tasa de Falla'!E32</f>
        <v>132</v>
      </c>
      <c r="F32" s="451">
        <f>'[1]Tasa de Falla'!F32</f>
        <v>17.1</v>
      </c>
      <c r="G32" s="448">
        <f>IF('[1]Tasa de Falla'!BL32=0,"",'[1]Tasa de Falla'!BL32)</f>
      </c>
      <c r="H32" s="448">
        <f>IF('[1]Tasa de Falla'!BM32=0,"",'[1]Tasa de Falla'!BM32)</f>
      </c>
      <c r="I32" s="448">
        <f>IF('[1]Tasa de Falla'!BN32=0,"",'[1]Tasa de Falla'!BN32)</f>
      </c>
      <c r="J32" s="448">
        <f>IF('[1]Tasa de Falla'!BO32=0,"",'[1]Tasa de Falla'!BO32)</f>
      </c>
      <c r="K32" s="448">
        <f>IF('[1]Tasa de Falla'!BP32=0,"",'[1]Tasa de Falla'!BP32)</f>
      </c>
      <c r="L32" s="448">
        <f>IF('[1]Tasa de Falla'!BQ32=0,"",'[1]Tasa de Falla'!BQ32)</f>
        <v>1</v>
      </c>
      <c r="M32" s="448">
        <f>IF('[1]Tasa de Falla'!BR32=0,"",'[1]Tasa de Falla'!BR32)</f>
      </c>
      <c r="N32" s="448">
        <f>IF('[1]Tasa de Falla'!BS32=0,"",'[1]Tasa de Falla'!BS32)</f>
      </c>
      <c r="O32" s="448">
        <f>IF('[1]Tasa de Falla'!BT32=0,"",'[1]Tasa de Falla'!BT32)</f>
      </c>
      <c r="P32" s="448">
        <f>IF('[1]Tasa de Falla'!BU32=0,"",'[1]Tasa de Falla'!BU32)</f>
        <v>1</v>
      </c>
      <c r="Q32" s="448">
        <f>IF('[1]Tasa de Falla'!BV32=0,"",'[1]Tasa de Falla'!BV32)</f>
      </c>
      <c r="R32" s="448">
        <f>IF('[1]Tasa de Falla'!BW32=0,"",'[1]Tasa de Falla'!BW32)</f>
        <v>1</v>
      </c>
      <c r="S32" s="443"/>
      <c r="T32" s="444"/>
    </row>
    <row r="33" spans="2:20" s="431" customFormat="1" ht="19.5" customHeight="1">
      <c r="B33" s="432"/>
      <c r="C33" s="439">
        <f>'[1]Tasa de Falla'!C33</f>
        <v>17</v>
      </c>
      <c r="D33" s="440" t="str">
        <f>'[1]Tasa de Falla'!D33</f>
        <v>INDEPENDENCIA - PAPEL DEL TUCUMAN</v>
      </c>
      <c r="E33" s="440">
        <f>'[1]Tasa de Falla'!E33</f>
        <v>132</v>
      </c>
      <c r="F33" s="441">
        <f>'[1]Tasa de Falla'!F33</f>
        <v>19.3</v>
      </c>
      <c r="G33" s="449">
        <f>IF('[1]Tasa de Falla'!BL33=0,"",'[1]Tasa de Falla'!BL33)</f>
      </c>
      <c r="H33" s="449">
        <f>IF('[1]Tasa de Falla'!BM33=0,"",'[1]Tasa de Falla'!BM33)</f>
      </c>
      <c r="I33" s="449">
        <f>IF('[1]Tasa de Falla'!BN33=0,"",'[1]Tasa de Falla'!BN33)</f>
      </c>
      <c r="J33" s="449">
        <f>IF('[1]Tasa de Falla'!BO33=0,"",'[1]Tasa de Falla'!BO33)</f>
      </c>
      <c r="K33" s="449">
        <f>IF('[1]Tasa de Falla'!BP33=0,"",'[1]Tasa de Falla'!BP33)</f>
      </c>
      <c r="L33" s="449">
        <f>IF('[1]Tasa de Falla'!BQ33=0,"",'[1]Tasa de Falla'!BQ33)</f>
      </c>
      <c r="M33" s="449">
        <f>IF('[1]Tasa de Falla'!BR33=0,"",'[1]Tasa de Falla'!BR33)</f>
      </c>
      <c r="N33" s="449">
        <f>IF('[1]Tasa de Falla'!BS33=0,"",'[1]Tasa de Falla'!BS33)</f>
      </c>
      <c r="O33" s="449">
        <f>IF('[1]Tasa de Falla'!BT33=0,"",'[1]Tasa de Falla'!BT33)</f>
      </c>
      <c r="P33" s="449">
        <f>IF('[1]Tasa de Falla'!BU33=0,"",'[1]Tasa de Falla'!BU33)</f>
        <v>1</v>
      </c>
      <c r="Q33" s="449">
        <f>IF('[1]Tasa de Falla'!BV33=0,"",'[1]Tasa de Falla'!BV33)</f>
      </c>
      <c r="R33" s="449">
        <f>IF('[1]Tasa de Falla'!BW33=0,"",'[1]Tasa de Falla'!BW33)</f>
      </c>
      <c r="S33" s="443"/>
      <c r="T33" s="444"/>
    </row>
    <row r="34" spans="2:20" s="431" customFormat="1" ht="19.5" customHeight="1">
      <c r="B34" s="432"/>
      <c r="C34" s="445">
        <f>'[1]Tasa de Falla'!C34</f>
        <v>18</v>
      </c>
      <c r="D34" s="450" t="str">
        <f>'[1]Tasa de Falla'!D34</f>
        <v>LA CALERA - FRIAS</v>
      </c>
      <c r="E34" s="450">
        <f>'[1]Tasa de Falla'!E34</f>
        <v>132</v>
      </c>
      <c r="F34" s="451">
        <f>'[1]Tasa de Falla'!F34</f>
        <v>27.3</v>
      </c>
      <c r="G34" s="448">
        <f>IF('[1]Tasa de Falla'!BL34=0,"",'[1]Tasa de Falla'!BL34)</f>
        <v>1</v>
      </c>
      <c r="H34" s="448">
        <f>IF('[1]Tasa de Falla'!BM34=0,"",'[1]Tasa de Falla'!BM34)</f>
        <v>1</v>
      </c>
      <c r="I34" s="448">
        <f>IF('[1]Tasa de Falla'!BN34=0,"",'[1]Tasa de Falla'!BN34)</f>
      </c>
      <c r="J34" s="448">
        <f>IF('[1]Tasa de Falla'!BO34=0,"",'[1]Tasa de Falla'!BO34)</f>
      </c>
      <c r="K34" s="448">
        <f>IF('[1]Tasa de Falla'!BP34=0,"",'[1]Tasa de Falla'!BP34)</f>
      </c>
      <c r="L34" s="448">
        <f>IF('[1]Tasa de Falla'!BQ34=0,"",'[1]Tasa de Falla'!BQ34)</f>
      </c>
      <c r="M34" s="448">
        <f>IF('[1]Tasa de Falla'!BR34=0,"",'[1]Tasa de Falla'!BR34)</f>
        <v>1</v>
      </c>
      <c r="N34" s="448">
        <f>IF('[1]Tasa de Falla'!BS34=0,"",'[1]Tasa de Falla'!BS34)</f>
      </c>
      <c r="O34" s="448">
        <f>IF('[1]Tasa de Falla'!BT34=0,"",'[1]Tasa de Falla'!BT34)</f>
      </c>
      <c r="P34" s="448">
        <f>IF('[1]Tasa de Falla'!BU34=0,"",'[1]Tasa de Falla'!BU34)</f>
      </c>
      <c r="Q34" s="448">
        <f>IF('[1]Tasa de Falla'!BV34=0,"",'[1]Tasa de Falla'!BV34)</f>
      </c>
      <c r="R34" s="448">
        <f>IF('[1]Tasa de Falla'!BW34=0,"",'[1]Tasa de Falla'!BW34)</f>
      </c>
      <c r="S34" s="443"/>
      <c r="T34" s="444"/>
    </row>
    <row r="35" spans="2:20" s="431" customFormat="1" ht="19.5" customHeight="1">
      <c r="B35" s="432"/>
      <c r="C35" s="439">
        <f>'[1]Tasa de Falla'!C35</f>
        <v>19</v>
      </c>
      <c r="D35" s="440" t="str">
        <f>'[1]Tasa de Falla'!D35</f>
        <v>LA BANDA - SANTIAGO CENTRO</v>
      </c>
      <c r="E35" s="440">
        <f>'[1]Tasa de Falla'!E35</f>
        <v>132</v>
      </c>
      <c r="F35" s="441">
        <f>'[1]Tasa de Falla'!F35</f>
        <v>10.9</v>
      </c>
      <c r="G35" s="449">
        <f>IF('[1]Tasa de Falla'!BL35=0,"",'[1]Tasa de Falla'!BL35)</f>
      </c>
      <c r="H35" s="449">
        <f>IF('[1]Tasa de Falla'!BM35=0,"",'[1]Tasa de Falla'!BM35)</f>
      </c>
      <c r="I35" s="449">
        <f>IF('[1]Tasa de Falla'!BN35=0,"",'[1]Tasa de Falla'!BN35)</f>
      </c>
      <c r="J35" s="449">
        <f>IF('[1]Tasa de Falla'!BO35=0,"",'[1]Tasa de Falla'!BO35)</f>
      </c>
      <c r="K35" s="449">
        <f>IF('[1]Tasa de Falla'!BP35=0,"",'[1]Tasa de Falla'!BP35)</f>
      </c>
      <c r="L35" s="449">
        <f>IF('[1]Tasa de Falla'!BQ35=0,"",'[1]Tasa de Falla'!BQ35)</f>
      </c>
      <c r="M35" s="449">
        <f>IF('[1]Tasa de Falla'!BR35=0,"",'[1]Tasa de Falla'!BR35)</f>
      </c>
      <c r="N35" s="449">
        <f>IF('[1]Tasa de Falla'!BS35=0,"",'[1]Tasa de Falla'!BS35)</f>
      </c>
      <c r="O35" s="449">
        <f>IF('[1]Tasa de Falla'!BT35=0,"",'[1]Tasa de Falla'!BT35)</f>
      </c>
      <c r="P35" s="449">
        <f>IF('[1]Tasa de Falla'!BU35=0,"",'[1]Tasa de Falla'!BU35)</f>
      </c>
      <c r="Q35" s="449">
        <f>IF('[1]Tasa de Falla'!BV35=0,"",'[1]Tasa de Falla'!BV35)</f>
      </c>
      <c r="R35" s="449">
        <f>IF('[1]Tasa de Falla'!BW35=0,"",'[1]Tasa de Falla'!BW35)</f>
      </c>
      <c r="S35" s="443"/>
      <c r="T35" s="444"/>
    </row>
    <row r="36" spans="2:20" s="431" customFormat="1" ht="19.5" customHeight="1">
      <c r="B36" s="432"/>
      <c r="C36" s="445">
        <f>'[1]Tasa de Falla'!C36</f>
        <v>20</v>
      </c>
      <c r="D36" s="450" t="str">
        <f>'[1]Tasa de Falla'!D36</f>
        <v>LIBERTADOR - PICHANAL</v>
      </c>
      <c r="E36" s="450">
        <f>'[1]Tasa de Falla'!E36</f>
        <v>132</v>
      </c>
      <c r="F36" s="451">
        <f>'[1]Tasa de Falla'!F36</f>
        <v>76</v>
      </c>
      <c r="G36" s="448">
        <f>IF('[1]Tasa de Falla'!BL36=0,"",'[1]Tasa de Falla'!BL36)</f>
      </c>
      <c r="H36" s="448">
        <f>IF('[1]Tasa de Falla'!BM36=0,"",'[1]Tasa de Falla'!BM36)</f>
      </c>
      <c r="I36" s="448">
        <f>IF('[1]Tasa de Falla'!BN36=0,"",'[1]Tasa de Falla'!BN36)</f>
      </c>
      <c r="J36" s="448">
        <f>IF('[1]Tasa de Falla'!BO36=0,"",'[1]Tasa de Falla'!BO36)</f>
      </c>
      <c r="K36" s="448">
        <f>IF('[1]Tasa de Falla'!BP36=0,"",'[1]Tasa de Falla'!BP36)</f>
      </c>
      <c r="L36" s="448">
        <f>IF('[1]Tasa de Falla'!BQ36=0,"",'[1]Tasa de Falla'!BQ36)</f>
      </c>
      <c r="M36" s="448">
        <f>IF('[1]Tasa de Falla'!BR36=0,"",'[1]Tasa de Falla'!BR36)</f>
      </c>
      <c r="N36" s="448">
        <f>IF('[1]Tasa de Falla'!BS36=0,"",'[1]Tasa de Falla'!BS36)</f>
      </c>
      <c r="O36" s="448">
        <f>IF('[1]Tasa de Falla'!BT36=0,"",'[1]Tasa de Falla'!BT36)</f>
      </c>
      <c r="P36" s="448">
        <f>IF('[1]Tasa de Falla'!BU36=0,"",'[1]Tasa de Falla'!BU36)</f>
      </c>
      <c r="Q36" s="448">
        <f>IF('[1]Tasa de Falla'!BV36=0,"",'[1]Tasa de Falla'!BV36)</f>
      </c>
      <c r="R36" s="448">
        <f>IF('[1]Tasa de Falla'!BW36=0,"",'[1]Tasa de Falla'!BW36)</f>
      </c>
      <c r="S36" s="443"/>
      <c r="T36" s="444"/>
    </row>
    <row r="37" spans="2:20" s="431" customFormat="1" ht="19.5" customHeight="1">
      <c r="B37" s="432"/>
      <c r="C37" s="439">
        <f>'[1]Tasa de Falla'!C37</f>
        <v>21</v>
      </c>
      <c r="D37" s="440" t="str">
        <f>'[1]Tasa de Falla'!D37</f>
        <v>METAN - GÜEMES</v>
      </c>
      <c r="E37" s="440">
        <f>'[1]Tasa de Falla'!E37</f>
        <v>132</v>
      </c>
      <c r="F37" s="441">
        <f>'[1]Tasa de Falla'!F37</f>
        <v>97.1</v>
      </c>
      <c r="G37" s="449">
        <f>IF('[1]Tasa de Falla'!BL37=0,"",'[1]Tasa de Falla'!BL37)</f>
      </c>
      <c r="H37" s="449">
        <f>IF('[1]Tasa de Falla'!BM37=0,"",'[1]Tasa de Falla'!BM37)</f>
      </c>
      <c r="I37" s="449">
        <f>IF('[1]Tasa de Falla'!BN37=0,"",'[1]Tasa de Falla'!BN37)</f>
      </c>
      <c r="J37" s="449">
        <f>IF('[1]Tasa de Falla'!BO37=0,"",'[1]Tasa de Falla'!BO37)</f>
        <v>1</v>
      </c>
      <c r="K37" s="449">
        <f>IF('[1]Tasa de Falla'!BP37=0,"",'[1]Tasa de Falla'!BP37)</f>
      </c>
      <c r="L37" s="449">
        <f>IF('[1]Tasa de Falla'!BQ37=0,"",'[1]Tasa de Falla'!BQ37)</f>
        <v>1</v>
      </c>
      <c r="M37" s="449">
        <f>IF('[1]Tasa de Falla'!BR37=0,"",'[1]Tasa de Falla'!BR37)</f>
        <v>1</v>
      </c>
      <c r="N37" s="449">
        <f>IF('[1]Tasa de Falla'!BS37=0,"",'[1]Tasa de Falla'!BS37)</f>
      </c>
      <c r="O37" s="449">
        <f>IF('[1]Tasa de Falla'!BT37=0,"",'[1]Tasa de Falla'!BT37)</f>
      </c>
      <c r="P37" s="449">
        <f>IF('[1]Tasa de Falla'!BU37=0,"",'[1]Tasa de Falla'!BU37)</f>
      </c>
      <c r="Q37" s="449">
        <f>IF('[1]Tasa de Falla'!BV37=0,"",'[1]Tasa de Falla'!BV37)</f>
      </c>
      <c r="R37" s="449">
        <f>IF('[1]Tasa de Falla'!BW37=0,"",'[1]Tasa de Falla'!BW37)</f>
      </c>
      <c r="S37" s="443"/>
      <c r="T37" s="444"/>
    </row>
    <row r="38" spans="2:20" s="431" customFormat="1" ht="19.5" customHeight="1">
      <c r="B38" s="432"/>
      <c r="C38" s="445">
        <f>'[1]Tasa de Falla'!C38</f>
        <v>22</v>
      </c>
      <c r="D38" s="450" t="str">
        <f>'[1]Tasa de Falla'!D38</f>
        <v>MINETTI - SAN JUANCITO</v>
      </c>
      <c r="E38" s="450">
        <f>'[1]Tasa de Falla'!E38</f>
        <v>132</v>
      </c>
      <c r="F38" s="451">
        <f>'[1]Tasa de Falla'!F38</f>
        <v>26</v>
      </c>
      <c r="G38" s="448">
        <f>IF('[1]Tasa de Falla'!BL38=0,"",'[1]Tasa de Falla'!BL38)</f>
      </c>
      <c r="H38" s="448">
        <f>IF('[1]Tasa de Falla'!BM38=0,"",'[1]Tasa de Falla'!BM38)</f>
      </c>
      <c r="I38" s="448">
        <f>IF('[1]Tasa de Falla'!BN38=0,"",'[1]Tasa de Falla'!BN38)</f>
      </c>
      <c r="J38" s="448">
        <f>IF('[1]Tasa de Falla'!BO38=0,"",'[1]Tasa de Falla'!BO38)</f>
      </c>
      <c r="K38" s="448">
        <f>IF('[1]Tasa de Falla'!BP38=0,"",'[1]Tasa de Falla'!BP38)</f>
      </c>
      <c r="L38" s="448">
        <f>IF('[1]Tasa de Falla'!BQ38=0,"",'[1]Tasa de Falla'!BQ38)</f>
      </c>
      <c r="M38" s="448">
        <f>IF('[1]Tasa de Falla'!BR38=0,"",'[1]Tasa de Falla'!BR38)</f>
      </c>
      <c r="N38" s="448">
        <f>IF('[1]Tasa de Falla'!BS38=0,"",'[1]Tasa de Falla'!BS38)</f>
      </c>
      <c r="O38" s="448">
        <f>IF('[1]Tasa de Falla'!BT38=0,"",'[1]Tasa de Falla'!BT38)</f>
      </c>
      <c r="P38" s="448">
        <f>IF('[1]Tasa de Falla'!BU38=0,"",'[1]Tasa de Falla'!BU38)</f>
      </c>
      <c r="Q38" s="448">
        <f>IF('[1]Tasa de Falla'!BV38=0,"",'[1]Tasa de Falla'!BV38)</f>
      </c>
      <c r="R38" s="448">
        <f>IF('[1]Tasa de Falla'!BW38=0,"",'[1]Tasa de Falla'!BW38)</f>
      </c>
      <c r="S38" s="443"/>
      <c r="T38" s="444"/>
    </row>
    <row r="39" spans="2:20" s="431" customFormat="1" ht="19.5" customHeight="1">
      <c r="B39" s="432"/>
      <c r="C39" s="439">
        <f>'[1]Tasa de Falla'!C39</f>
        <v>23</v>
      </c>
      <c r="D39" s="440" t="str">
        <f>'[1]Tasa de Falla'!D39</f>
        <v>PALPALA - JUJUY SUR</v>
      </c>
      <c r="E39" s="440">
        <f>'[1]Tasa de Falla'!E39</f>
        <v>132</v>
      </c>
      <c r="F39" s="441">
        <f>'[1]Tasa de Falla'!F39</f>
        <v>14</v>
      </c>
      <c r="G39" s="449" t="str">
        <f>IF('[1]Tasa de Falla'!BL39=0,"",'[1]Tasa de Falla'!BL39)</f>
        <v>XXXX</v>
      </c>
      <c r="H39" s="449" t="str">
        <f>IF('[1]Tasa de Falla'!BM39=0,"",'[1]Tasa de Falla'!BM39)</f>
        <v>XXXX</v>
      </c>
      <c r="I39" s="449" t="str">
        <f>IF('[1]Tasa de Falla'!BN39=0,"",'[1]Tasa de Falla'!BN39)</f>
        <v>XXXX</v>
      </c>
      <c r="J39" s="449" t="str">
        <f>IF('[1]Tasa de Falla'!BO39=0,"",'[1]Tasa de Falla'!BO39)</f>
        <v>XXXX</v>
      </c>
      <c r="K39" s="449" t="str">
        <f>IF('[1]Tasa de Falla'!BP39=0,"",'[1]Tasa de Falla'!BP39)</f>
        <v>XXXX</v>
      </c>
      <c r="L39" s="449" t="str">
        <f>IF('[1]Tasa de Falla'!BQ39=0,"",'[1]Tasa de Falla'!BQ39)</f>
        <v>XXXX</v>
      </c>
      <c r="M39" s="449" t="str">
        <f>IF('[1]Tasa de Falla'!BR39=0,"",'[1]Tasa de Falla'!BR39)</f>
        <v>XXXX</v>
      </c>
      <c r="N39" s="449" t="str">
        <f>IF('[1]Tasa de Falla'!BS39=0,"",'[1]Tasa de Falla'!BS39)</f>
        <v>XXXX</v>
      </c>
      <c r="O39" s="449" t="str">
        <f>IF('[1]Tasa de Falla'!BT39=0,"",'[1]Tasa de Falla'!BT39)</f>
        <v>XXXX</v>
      </c>
      <c r="P39" s="449" t="str">
        <f>IF('[1]Tasa de Falla'!BU39=0,"",'[1]Tasa de Falla'!BU39)</f>
        <v>XXXX</v>
      </c>
      <c r="Q39" s="449" t="str">
        <f>IF('[1]Tasa de Falla'!BV39=0,"",'[1]Tasa de Falla'!BV39)</f>
        <v>XXXX</v>
      </c>
      <c r="R39" s="449" t="str">
        <f>IF('[1]Tasa de Falla'!BW39=0,"",'[1]Tasa de Falla'!BW39)</f>
        <v>XXXX</v>
      </c>
      <c r="S39" s="443"/>
      <c r="T39" s="444"/>
    </row>
    <row r="40" spans="2:20" s="431" customFormat="1" ht="19.5" customHeight="1">
      <c r="B40" s="432"/>
      <c r="C40" s="445">
        <f>'[1]Tasa de Falla'!C40</f>
        <v>24</v>
      </c>
      <c r="D40" s="450" t="str">
        <f>'[1]Tasa de Falla'!D40</f>
        <v>PICHANAL - ORAN</v>
      </c>
      <c r="E40" s="450">
        <f>'[1]Tasa de Falla'!E40</f>
        <v>132</v>
      </c>
      <c r="F40" s="451">
        <f>'[1]Tasa de Falla'!F40</f>
        <v>17</v>
      </c>
      <c r="G40" s="448">
        <f>IF('[1]Tasa de Falla'!BL40=0,"",'[1]Tasa de Falla'!BL40)</f>
      </c>
      <c r="H40" s="448">
        <f>IF('[1]Tasa de Falla'!BM40=0,"",'[1]Tasa de Falla'!BM40)</f>
      </c>
      <c r="I40" s="448">
        <f>IF('[1]Tasa de Falla'!BN40=0,"",'[1]Tasa de Falla'!BN40)</f>
      </c>
      <c r="J40" s="448">
        <f>IF('[1]Tasa de Falla'!BO40=0,"",'[1]Tasa de Falla'!BO40)</f>
      </c>
      <c r="K40" s="448">
        <f>IF('[1]Tasa de Falla'!BP40=0,"",'[1]Tasa de Falla'!BP40)</f>
      </c>
      <c r="L40" s="448">
        <f>IF('[1]Tasa de Falla'!BQ40=0,"",'[1]Tasa de Falla'!BQ40)</f>
      </c>
      <c r="M40" s="448">
        <f>IF('[1]Tasa de Falla'!BR40=0,"",'[1]Tasa de Falla'!BR40)</f>
      </c>
      <c r="N40" s="448">
        <f>IF('[1]Tasa de Falla'!BS40=0,"",'[1]Tasa de Falla'!BS40)</f>
      </c>
      <c r="O40" s="448">
        <f>IF('[1]Tasa de Falla'!BT40=0,"",'[1]Tasa de Falla'!BT40)</f>
      </c>
      <c r="P40" s="448">
        <f>IF('[1]Tasa de Falla'!BU40=0,"",'[1]Tasa de Falla'!BU40)</f>
      </c>
      <c r="Q40" s="448">
        <f>IF('[1]Tasa de Falla'!BV40=0,"",'[1]Tasa de Falla'!BV40)</f>
      </c>
      <c r="R40" s="448">
        <f>IF('[1]Tasa de Falla'!BW40=0,"",'[1]Tasa de Falla'!BW40)</f>
      </c>
      <c r="S40" s="443"/>
      <c r="T40" s="444"/>
    </row>
    <row r="41" spans="2:20" s="431" customFormat="1" ht="19.5" customHeight="1">
      <c r="B41" s="432"/>
      <c r="C41" s="439">
        <f>'[1]Tasa de Falla'!C41</f>
        <v>25</v>
      </c>
      <c r="D41" s="440" t="str">
        <f>'[1]Tasa de Falla'!D41</f>
        <v>PICHANAL - TARTAGAL</v>
      </c>
      <c r="E41" s="440">
        <f>'[1]Tasa de Falla'!E41</f>
        <v>132</v>
      </c>
      <c r="F41" s="441">
        <f>'[1]Tasa de Falla'!F41</f>
        <v>105</v>
      </c>
      <c r="G41" s="449">
        <f>IF('[1]Tasa de Falla'!BL41=0,"",'[1]Tasa de Falla'!BL41)</f>
      </c>
      <c r="H41" s="449">
        <f>IF('[1]Tasa de Falla'!BM41=0,"",'[1]Tasa de Falla'!BM41)</f>
      </c>
      <c r="I41" s="449">
        <f>IF('[1]Tasa de Falla'!BN41=0,"",'[1]Tasa de Falla'!BN41)</f>
      </c>
      <c r="J41" s="449">
        <f>IF('[1]Tasa de Falla'!BO41=0,"",'[1]Tasa de Falla'!BO41)</f>
      </c>
      <c r="K41" s="449">
        <f>IF('[1]Tasa de Falla'!BP41=0,"",'[1]Tasa de Falla'!BP41)</f>
      </c>
      <c r="L41" s="449">
        <f>IF('[1]Tasa de Falla'!BQ41=0,"",'[1]Tasa de Falla'!BQ41)</f>
      </c>
      <c r="M41" s="449">
        <f>IF('[1]Tasa de Falla'!BR41=0,"",'[1]Tasa de Falla'!BR41)</f>
      </c>
      <c r="N41" s="449">
        <f>IF('[1]Tasa de Falla'!BS41=0,"",'[1]Tasa de Falla'!BS41)</f>
      </c>
      <c r="O41" s="449">
        <f>IF('[1]Tasa de Falla'!BT41=0,"",'[1]Tasa de Falla'!BT41)</f>
      </c>
      <c r="P41" s="449">
        <f>IF('[1]Tasa de Falla'!BU41=0,"",'[1]Tasa de Falla'!BU41)</f>
      </c>
      <c r="Q41" s="449">
        <f>IF('[1]Tasa de Falla'!BV41=0,"",'[1]Tasa de Falla'!BV41)</f>
      </c>
      <c r="R41" s="449">
        <f>IF('[1]Tasa de Falla'!BW41=0,"",'[1]Tasa de Falla'!BW41)</f>
      </c>
      <c r="S41" s="443"/>
      <c r="T41" s="444"/>
    </row>
    <row r="42" spans="2:20" s="431" customFormat="1" ht="19.5" customHeight="1">
      <c r="B42" s="432"/>
      <c r="C42" s="445">
        <f>'[1]Tasa de Falla'!C42</f>
        <v>26</v>
      </c>
      <c r="D42" s="450" t="str">
        <f>'[1]Tasa de Falla'!D42</f>
        <v>RIO HONDO - LA BANDA</v>
      </c>
      <c r="E42" s="450">
        <f>'[1]Tasa de Falla'!E42</f>
        <v>132</v>
      </c>
      <c r="F42" s="451">
        <f>'[1]Tasa de Falla'!F42</f>
        <v>76.5</v>
      </c>
      <c r="G42" s="448">
        <f>IF('[1]Tasa de Falla'!BL42=0,"",'[1]Tasa de Falla'!BL42)</f>
      </c>
      <c r="H42" s="448">
        <f>IF('[1]Tasa de Falla'!BM42=0,"",'[1]Tasa de Falla'!BM42)</f>
      </c>
      <c r="I42" s="448">
        <f>IF('[1]Tasa de Falla'!BN42=0,"",'[1]Tasa de Falla'!BN42)</f>
      </c>
      <c r="J42" s="448">
        <f>IF('[1]Tasa de Falla'!BO42=0,"",'[1]Tasa de Falla'!BO42)</f>
      </c>
      <c r="K42" s="448">
        <f>IF('[1]Tasa de Falla'!BP42=0,"",'[1]Tasa de Falla'!BP42)</f>
      </c>
      <c r="L42" s="448">
        <f>IF('[1]Tasa de Falla'!BQ42=0,"",'[1]Tasa de Falla'!BQ42)</f>
      </c>
      <c r="M42" s="448">
        <f>IF('[1]Tasa de Falla'!BR42=0,"",'[1]Tasa de Falla'!BR42)</f>
      </c>
      <c r="N42" s="448">
        <f>IF('[1]Tasa de Falla'!BS42=0,"",'[1]Tasa de Falla'!BS42)</f>
      </c>
      <c r="O42" s="448">
        <f>IF('[1]Tasa de Falla'!BT42=0,"",'[1]Tasa de Falla'!BT42)</f>
      </c>
      <c r="P42" s="448">
        <f>IF('[1]Tasa de Falla'!BU42=0,"",'[1]Tasa de Falla'!BU42)</f>
      </c>
      <c r="Q42" s="448">
        <f>IF('[1]Tasa de Falla'!BV42=0,"",'[1]Tasa de Falla'!BV42)</f>
      </c>
      <c r="R42" s="448">
        <f>IF('[1]Tasa de Falla'!BW42=0,"",'[1]Tasa de Falla'!BW42)</f>
      </c>
      <c r="S42" s="443"/>
      <c r="T42" s="444"/>
    </row>
    <row r="43" spans="2:20" s="431" customFormat="1" ht="19.5" customHeight="1">
      <c r="B43" s="432"/>
      <c r="C43" s="439">
        <f>'[1]Tasa de Falla'!C43</f>
        <v>27</v>
      </c>
      <c r="D43" s="440" t="str">
        <f>'[1]Tasa de Falla'!D43</f>
        <v>LA RIOJA - RECREO  2</v>
      </c>
      <c r="E43" s="440">
        <f>'[1]Tasa de Falla'!E43</f>
        <v>132</v>
      </c>
      <c r="F43" s="441">
        <f>'[1]Tasa de Falla'!F43</f>
        <v>220</v>
      </c>
      <c r="G43" s="449">
        <f>IF('[1]Tasa de Falla'!BL43=0,"",'[1]Tasa de Falla'!BL43)</f>
      </c>
      <c r="H43" s="449">
        <f>IF('[1]Tasa de Falla'!BM43=0,"",'[1]Tasa de Falla'!BM43)</f>
      </c>
      <c r="I43" s="449">
        <f>IF('[1]Tasa de Falla'!BN43=0,"",'[1]Tasa de Falla'!BN43)</f>
        <v>1</v>
      </c>
      <c r="J43" s="449">
        <f>IF('[1]Tasa de Falla'!BO43=0,"",'[1]Tasa de Falla'!BO43)</f>
      </c>
      <c r="K43" s="449">
        <f>IF('[1]Tasa de Falla'!BP43=0,"",'[1]Tasa de Falla'!BP43)</f>
      </c>
      <c r="L43" s="449">
        <f>IF('[1]Tasa de Falla'!BQ43=0,"",'[1]Tasa de Falla'!BQ43)</f>
        <v>1</v>
      </c>
      <c r="M43" s="449">
        <f>IF('[1]Tasa de Falla'!BR43=0,"",'[1]Tasa de Falla'!BR43)</f>
      </c>
      <c r="N43" s="449">
        <f>IF('[1]Tasa de Falla'!BS43=0,"",'[1]Tasa de Falla'!BS43)</f>
      </c>
      <c r="O43" s="449">
        <f>IF('[1]Tasa de Falla'!BT43=0,"",'[1]Tasa de Falla'!BT43)</f>
      </c>
      <c r="P43" s="449">
        <f>IF('[1]Tasa de Falla'!BU43=0,"",'[1]Tasa de Falla'!BU43)</f>
        <v>1</v>
      </c>
      <c r="Q43" s="449">
        <f>IF('[1]Tasa de Falla'!BV43=0,"",'[1]Tasa de Falla'!BV43)</f>
      </c>
      <c r="R43" s="449">
        <f>IF('[1]Tasa de Falla'!BW43=0,"",'[1]Tasa de Falla'!BW43)</f>
      </c>
      <c r="S43" s="443"/>
      <c r="T43" s="444"/>
    </row>
    <row r="44" spans="2:20" s="431" customFormat="1" ht="19.5" customHeight="1">
      <c r="B44" s="432"/>
      <c r="C44" s="445">
        <f>'[1]Tasa de Falla'!C44</f>
        <v>28</v>
      </c>
      <c r="D44" s="450" t="str">
        <f>'[1]Tasa de Falla'!D44</f>
        <v>SALTA SUR - CAMPO SANTO</v>
      </c>
      <c r="E44" s="450">
        <f>'[1]Tasa de Falla'!E44</f>
        <v>132</v>
      </c>
      <c r="F44" s="451">
        <f>'[1]Tasa de Falla'!F44</f>
        <v>40.9</v>
      </c>
      <c r="G44" s="448">
        <f>IF('[1]Tasa de Falla'!BL44=0,"",'[1]Tasa de Falla'!BL44)</f>
      </c>
      <c r="H44" s="448">
        <f>IF('[1]Tasa de Falla'!BM44=0,"",'[1]Tasa de Falla'!BM44)</f>
      </c>
      <c r="I44" s="448">
        <f>IF('[1]Tasa de Falla'!BN44=0,"",'[1]Tasa de Falla'!BN44)</f>
      </c>
      <c r="J44" s="448">
        <f>IF('[1]Tasa de Falla'!BO44=0,"",'[1]Tasa de Falla'!BO44)</f>
      </c>
      <c r="K44" s="448">
        <f>IF('[1]Tasa de Falla'!BP44=0,"",'[1]Tasa de Falla'!BP44)</f>
        <v>1</v>
      </c>
      <c r="L44" s="448">
        <f>IF('[1]Tasa de Falla'!BQ44=0,"",'[1]Tasa de Falla'!BQ44)</f>
        <v>1</v>
      </c>
      <c r="M44" s="448">
        <f>IF('[1]Tasa de Falla'!BR44=0,"",'[1]Tasa de Falla'!BR44)</f>
      </c>
      <c r="N44" s="448">
        <f>IF('[1]Tasa de Falla'!BS44=0,"",'[1]Tasa de Falla'!BS44)</f>
      </c>
      <c r="O44" s="448">
        <f>IF('[1]Tasa de Falla'!BT44=0,"",'[1]Tasa de Falla'!BT44)</f>
      </c>
      <c r="P44" s="448">
        <f>IF('[1]Tasa de Falla'!BU44=0,"",'[1]Tasa de Falla'!BU44)</f>
      </c>
      <c r="Q44" s="448">
        <f>IF('[1]Tasa de Falla'!BV44=0,"",'[1]Tasa de Falla'!BV44)</f>
      </c>
      <c r="R44" s="448">
        <f>IF('[1]Tasa de Falla'!BW44=0,"",'[1]Tasa de Falla'!BW44)</f>
      </c>
      <c r="S44" s="443"/>
      <c r="T44" s="444"/>
    </row>
    <row r="45" spans="2:20" s="431" customFormat="1" ht="19.5" customHeight="1">
      <c r="B45" s="432"/>
      <c r="C45" s="439">
        <f>'[1]Tasa de Falla'!C45</f>
        <v>29</v>
      </c>
      <c r="D45" s="440" t="str">
        <f>'[1]Tasa de Falla'!D45</f>
        <v>SAN JUANCITO - PALPALA</v>
      </c>
      <c r="E45" s="440">
        <f>'[1]Tasa de Falla'!E45</f>
        <v>132</v>
      </c>
      <c r="F45" s="441">
        <f>'[1]Tasa de Falla'!F45</f>
        <v>23.9</v>
      </c>
      <c r="G45" s="449">
        <f>IF('[1]Tasa de Falla'!BL45=0,"",'[1]Tasa de Falla'!BL45)</f>
        <v>1</v>
      </c>
      <c r="H45" s="449">
        <f>IF('[1]Tasa de Falla'!BM45=0,"",'[1]Tasa de Falla'!BM45)</f>
      </c>
      <c r="I45" s="449">
        <f>IF('[1]Tasa de Falla'!BN45=0,"",'[1]Tasa de Falla'!BN45)</f>
      </c>
      <c r="J45" s="449">
        <f>IF('[1]Tasa de Falla'!BO45=0,"",'[1]Tasa de Falla'!BO45)</f>
      </c>
      <c r="K45" s="449">
        <f>IF('[1]Tasa de Falla'!BP45=0,"",'[1]Tasa de Falla'!BP45)</f>
      </c>
      <c r="L45" s="449">
        <f>IF('[1]Tasa de Falla'!BQ45=0,"",'[1]Tasa de Falla'!BQ45)</f>
      </c>
      <c r="M45" s="449">
        <f>IF('[1]Tasa de Falla'!BR45=0,"",'[1]Tasa de Falla'!BR45)</f>
        <v>1</v>
      </c>
      <c r="N45" s="449">
        <f>IF('[1]Tasa de Falla'!BS45=0,"",'[1]Tasa de Falla'!BS45)</f>
      </c>
      <c r="O45" s="449">
        <f>IF('[1]Tasa de Falla'!BT45=0,"",'[1]Tasa de Falla'!BT45)</f>
      </c>
      <c r="P45" s="449">
        <f>IF('[1]Tasa de Falla'!BU45=0,"",'[1]Tasa de Falla'!BU45)</f>
      </c>
      <c r="Q45" s="449">
        <f>IF('[1]Tasa de Falla'!BV45=0,"",'[1]Tasa de Falla'!BV45)</f>
      </c>
      <c r="R45" s="449">
        <f>IF('[1]Tasa de Falla'!BW45=0,"",'[1]Tasa de Falla'!BW45)</f>
        <v>1</v>
      </c>
      <c r="S45" s="443"/>
      <c r="T45" s="444"/>
    </row>
    <row r="46" spans="2:20" s="431" customFormat="1" ht="19.5" customHeight="1">
      <c r="B46" s="432"/>
      <c r="C46" s="445">
        <f>'[1]Tasa de Falla'!C46</f>
        <v>30</v>
      </c>
      <c r="D46" s="450" t="str">
        <f>'[1]Tasa de Falla'!D46</f>
        <v>SAN JUANCITO - SAN PEDRO</v>
      </c>
      <c r="E46" s="450">
        <f>'[1]Tasa de Falla'!E46</f>
        <v>132</v>
      </c>
      <c r="F46" s="451">
        <f>'[1]Tasa de Falla'!F46</f>
        <v>27</v>
      </c>
      <c r="G46" s="448">
        <f>IF('[1]Tasa de Falla'!BL46=0,"",'[1]Tasa de Falla'!BL46)</f>
      </c>
      <c r="H46" s="448">
        <f>IF('[1]Tasa de Falla'!BM46=0,"",'[1]Tasa de Falla'!BM46)</f>
      </c>
      <c r="I46" s="448">
        <f>IF('[1]Tasa de Falla'!BN46=0,"",'[1]Tasa de Falla'!BN46)</f>
      </c>
      <c r="J46" s="448">
        <f>IF('[1]Tasa de Falla'!BO46=0,"",'[1]Tasa de Falla'!BO46)</f>
      </c>
      <c r="K46" s="448">
        <f>IF('[1]Tasa de Falla'!BP46=0,"",'[1]Tasa de Falla'!BP46)</f>
      </c>
      <c r="L46" s="448">
        <f>IF('[1]Tasa de Falla'!BQ46=0,"",'[1]Tasa de Falla'!BQ46)</f>
      </c>
      <c r="M46" s="448">
        <f>IF('[1]Tasa de Falla'!BR46=0,"",'[1]Tasa de Falla'!BR46)</f>
        <v>1</v>
      </c>
      <c r="N46" s="448">
        <f>IF('[1]Tasa de Falla'!BS46=0,"",'[1]Tasa de Falla'!BS46)</f>
      </c>
      <c r="O46" s="448">
        <f>IF('[1]Tasa de Falla'!BT46=0,"",'[1]Tasa de Falla'!BT46)</f>
      </c>
      <c r="P46" s="448">
        <f>IF('[1]Tasa de Falla'!BU46=0,"",'[1]Tasa de Falla'!BU46)</f>
      </c>
      <c r="Q46" s="448">
        <f>IF('[1]Tasa de Falla'!BV46=0,"",'[1]Tasa de Falla'!BV46)</f>
      </c>
      <c r="R46" s="448">
        <f>IF('[1]Tasa de Falla'!BW46=0,"",'[1]Tasa de Falla'!BW46)</f>
        <v>1</v>
      </c>
      <c r="S46" s="443"/>
      <c r="T46" s="444"/>
    </row>
    <row r="47" spans="2:20" s="431" customFormat="1" ht="19.5" customHeight="1">
      <c r="B47" s="432"/>
      <c r="C47" s="439">
        <f>'[1]Tasa de Falla'!C47</f>
        <v>31</v>
      </c>
      <c r="D47" s="440" t="str">
        <f>'[1]Tasa de Falla'!D47</f>
        <v>SAN MARTIN C. - CATAMARCA</v>
      </c>
      <c r="E47" s="440">
        <f>'[1]Tasa de Falla'!E47</f>
        <v>132</v>
      </c>
      <c r="F47" s="441">
        <f>'[1]Tasa de Falla'!F47</f>
        <v>88</v>
      </c>
      <c r="G47" s="449">
        <f>IF('[1]Tasa de Falla'!BL47=0,"",'[1]Tasa de Falla'!BL47)</f>
      </c>
      <c r="H47" s="449">
        <f>IF('[1]Tasa de Falla'!BM47=0,"",'[1]Tasa de Falla'!BM47)</f>
      </c>
      <c r="I47" s="449">
        <f>IF('[1]Tasa de Falla'!BN47=0,"",'[1]Tasa de Falla'!BN47)</f>
      </c>
      <c r="J47" s="449">
        <f>IF('[1]Tasa de Falla'!BO47=0,"",'[1]Tasa de Falla'!BO47)</f>
      </c>
      <c r="K47" s="449">
        <f>IF('[1]Tasa de Falla'!BP47=0,"",'[1]Tasa de Falla'!BP47)</f>
      </c>
      <c r="L47" s="449">
        <f>IF('[1]Tasa de Falla'!BQ47=0,"",'[1]Tasa de Falla'!BQ47)</f>
      </c>
      <c r="M47" s="449">
        <f>IF('[1]Tasa de Falla'!BR47=0,"",'[1]Tasa de Falla'!BR47)</f>
      </c>
      <c r="N47" s="449">
        <f>IF('[1]Tasa de Falla'!BS47=0,"",'[1]Tasa de Falla'!BS47)</f>
      </c>
      <c r="O47" s="449">
        <f>IF('[1]Tasa de Falla'!BT47=0,"",'[1]Tasa de Falla'!BT47)</f>
      </c>
      <c r="P47" s="449">
        <f>IF('[1]Tasa de Falla'!BU47=0,"",'[1]Tasa de Falla'!BU47)</f>
      </c>
      <c r="Q47" s="449">
        <f>IF('[1]Tasa de Falla'!BV47=0,"",'[1]Tasa de Falla'!BV47)</f>
      </c>
      <c r="R47" s="449">
        <f>IF('[1]Tasa de Falla'!BW47=0,"",'[1]Tasa de Falla'!BW47)</f>
      </c>
      <c r="S47" s="443"/>
      <c r="T47" s="444"/>
    </row>
    <row r="48" spans="2:20" s="431" customFormat="1" ht="19.5" customHeight="1">
      <c r="B48" s="432"/>
      <c r="C48" s="445">
        <f>'[1]Tasa de Falla'!C48</f>
        <v>32</v>
      </c>
      <c r="D48" s="450" t="str">
        <f>'[1]Tasa de Falla'!D48</f>
        <v>SAN MARTIN C. - RECREO</v>
      </c>
      <c r="E48" s="450">
        <f>'[1]Tasa de Falla'!E48</f>
        <v>132</v>
      </c>
      <c r="F48" s="451">
        <f>'[1]Tasa de Falla'!F48</f>
        <v>115</v>
      </c>
      <c r="G48" s="448">
        <f>IF('[1]Tasa de Falla'!BL48=0,"",'[1]Tasa de Falla'!BL48)</f>
      </c>
      <c r="H48" s="448">
        <f>IF('[1]Tasa de Falla'!BM48=0,"",'[1]Tasa de Falla'!BM48)</f>
      </c>
      <c r="I48" s="448">
        <f>IF('[1]Tasa de Falla'!BN48=0,"",'[1]Tasa de Falla'!BN48)</f>
      </c>
      <c r="J48" s="448">
        <f>IF('[1]Tasa de Falla'!BO48=0,"",'[1]Tasa de Falla'!BO48)</f>
      </c>
      <c r="K48" s="448">
        <f>IF('[1]Tasa de Falla'!BP48=0,"",'[1]Tasa de Falla'!BP48)</f>
      </c>
      <c r="L48" s="448">
        <f>IF('[1]Tasa de Falla'!BQ48=0,"",'[1]Tasa de Falla'!BQ48)</f>
      </c>
      <c r="M48" s="448">
        <f>IF('[1]Tasa de Falla'!BR48=0,"",'[1]Tasa de Falla'!BR48)</f>
      </c>
      <c r="N48" s="448">
        <f>IF('[1]Tasa de Falla'!BS48=0,"",'[1]Tasa de Falla'!BS48)</f>
      </c>
      <c r="O48" s="448">
        <f>IF('[1]Tasa de Falla'!BT48=0,"",'[1]Tasa de Falla'!BT48)</f>
      </c>
      <c r="P48" s="448">
        <f>IF('[1]Tasa de Falla'!BU48=0,"",'[1]Tasa de Falla'!BU48)</f>
      </c>
      <c r="Q48" s="448">
        <f>IF('[1]Tasa de Falla'!BV48=0,"",'[1]Tasa de Falla'!BV48)</f>
      </c>
      <c r="R48" s="448">
        <f>IF('[1]Tasa de Falla'!BW48=0,"",'[1]Tasa de Falla'!BW48)</f>
      </c>
      <c r="S48" s="443"/>
      <c r="T48" s="444"/>
    </row>
    <row r="49" spans="2:20" s="431" customFormat="1" ht="19.5" customHeight="1">
      <c r="B49" s="432"/>
      <c r="C49" s="439">
        <f>'[1]Tasa de Falla'!C49</f>
        <v>33</v>
      </c>
      <c r="D49" s="440" t="str">
        <f>'[1]Tasa de Falla'!D49</f>
        <v>SAN MARTIN C. - LA RIOJA</v>
      </c>
      <c r="E49" s="440">
        <f>'[1]Tasa de Falla'!E49</f>
        <v>132</v>
      </c>
      <c r="F49" s="441">
        <f>'[1]Tasa de Falla'!F49</f>
        <v>105</v>
      </c>
      <c r="G49" s="449">
        <f>IF('[1]Tasa de Falla'!BL49=0,"",'[1]Tasa de Falla'!BL49)</f>
      </c>
      <c r="H49" s="449">
        <f>IF('[1]Tasa de Falla'!BM49=0,"",'[1]Tasa de Falla'!BM49)</f>
        <v>1</v>
      </c>
      <c r="I49" s="449">
        <f>IF('[1]Tasa de Falla'!BN49=0,"",'[1]Tasa de Falla'!BN49)</f>
      </c>
      <c r="J49" s="449">
        <f>IF('[1]Tasa de Falla'!BO49=0,"",'[1]Tasa de Falla'!BO49)</f>
      </c>
      <c r="K49" s="449">
        <f>IF('[1]Tasa de Falla'!BP49=0,"",'[1]Tasa de Falla'!BP49)</f>
      </c>
      <c r="L49" s="449">
        <f>IF('[1]Tasa de Falla'!BQ49=0,"",'[1]Tasa de Falla'!BQ49)</f>
      </c>
      <c r="M49" s="449">
        <f>IF('[1]Tasa de Falla'!BR49=0,"",'[1]Tasa de Falla'!BR49)</f>
      </c>
      <c r="N49" s="449">
        <f>IF('[1]Tasa de Falla'!BS49=0,"",'[1]Tasa de Falla'!BS49)</f>
      </c>
      <c r="O49" s="449">
        <f>IF('[1]Tasa de Falla'!BT49=0,"",'[1]Tasa de Falla'!BT49)</f>
      </c>
      <c r="P49" s="449">
        <f>IF('[1]Tasa de Falla'!BU49=0,"",'[1]Tasa de Falla'!BU49)</f>
      </c>
      <c r="Q49" s="449">
        <f>IF('[1]Tasa de Falla'!BV49=0,"",'[1]Tasa de Falla'!BV49)</f>
      </c>
      <c r="R49" s="449">
        <f>IF('[1]Tasa de Falla'!BW49=0,"",'[1]Tasa de Falla'!BW49)</f>
      </c>
      <c r="S49" s="443"/>
      <c r="T49" s="444"/>
    </row>
    <row r="50" spans="2:20" s="431" customFormat="1" ht="19.5" customHeight="1">
      <c r="B50" s="432"/>
      <c r="C50" s="445">
        <f>'[1]Tasa de Falla'!C50</f>
        <v>34</v>
      </c>
      <c r="D50" s="450" t="str">
        <f>'[1]Tasa de Falla'!D50</f>
        <v>SAN PEDRO - LIBERTADOR</v>
      </c>
      <c r="E50" s="450">
        <f>'[1]Tasa de Falla'!E50</f>
        <v>132</v>
      </c>
      <c r="F50" s="451">
        <f>'[1]Tasa de Falla'!F50</f>
        <v>49</v>
      </c>
      <c r="G50" s="448">
        <f>IF('[1]Tasa de Falla'!BL50=0,"",'[1]Tasa de Falla'!BL50)</f>
      </c>
      <c r="H50" s="448">
        <f>IF('[1]Tasa de Falla'!BM50=0,"",'[1]Tasa de Falla'!BM50)</f>
      </c>
      <c r="I50" s="448">
        <f>IF('[1]Tasa de Falla'!BN50=0,"",'[1]Tasa de Falla'!BN50)</f>
      </c>
      <c r="J50" s="448">
        <f>IF('[1]Tasa de Falla'!BO50=0,"",'[1]Tasa de Falla'!BO50)</f>
      </c>
      <c r="K50" s="448">
        <f>IF('[1]Tasa de Falla'!BP50=0,"",'[1]Tasa de Falla'!BP50)</f>
      </c>
      <c r="L50" s="448">
        <f>IF('[1]Tasa de Falla'!BQ50=0,"",'[1]Tasa de Falla'!BQ50)</f>
      </c>
      <c r="M50" s="448">
        <f>IF('[1]Tasa de Falla'!BR50=0,"",'[1]Tasa de Falla'!BR50)</f>
        <v>1</v>
      </c>
      <c r="N50" s="448">
        <f>IF('[1]Tasa de Falla'!BS50=0,"",'[1]Tasa de Falla'!BS50)</f>
      </c>
      <c r="O50" s="448">
        <f>IF('[1]Tasa de Falla'!BT50=0,"",'[1]Tasa de Falla'!BT50)</f>
      </c>
      <c r="P50" s="448">
        <f>IF('[1]Tasa de Falla'!BU50=0,"",'[1]Tasa de Falla'!BU50)</f>
      </c>
      <c r="Q50" s="448">
        <f>IF('[1]Tasa de Falla'!BV50=0,"",'[1]Tasa de Falla'!BV50)</f>
        <v>1</v>
      </c>
      <c r="R50" s="448">
        <f>IF('[1]Tasa de Falla'!BW50=0,"",'[1]Tasa de Falla'!BW50)</f>
        <v>1</v>
      </c>
      <c r="S50" s="443"/>
      <c r="T50" s="444"/>
    </row>
    <row r="51" spans="2:20" s="431" customFormat="1" ht="19.5" customHeight="1">
      <c r="B51" s="432"/>
      <c r="C51" s="439">
        <f>'[1]Tasa de Falla'!C51</f>
        <v>35</v>
      </c>
      <c r="D51" s="440" t="str">
        <f>'[1]Tasa de Falla'!D51</f>
        <v>TUCUMAN NORTE - EL BRACHO</v>
      </c>
      <c r="E51" s="440">
        <f>'[1]Tasa de Falla'!E51</f>
        <v>132</v>
      </c>
      <c r="F51" s="441">
        <f>'[1]Tasa de Falla'!F51</f>
        <v>31.5</v>
      </c>
      <c r="G51" s="449">
        <f>IF('[1]Tasa de Falla'!BL51=0,"",'[1]Tasa de Falla'!BL51)</f>
      </c>
      <c r="H51" s="449">
        <f>IF('[1]Tasa de Falla'!BM51=0,"",'[1]Tasa de Falla'!BM51)</f>
      </c>
      <c r="I51" s="449">
        <f>IF('[1]Tasa de Falla'!BN51=0,"",'[1]Tasa de Falla'!BN51)</f>
        <v>1</v>
      </c>
      <c r="J51" s="449">
        <f>IF('[1]Tasa de Falla'!BO51=0,"",'[1]Tasa de Falla'!BO51)</f>
        <v>1</v>
      </c>
      <c r="K51" s="449">
        <f>IF('[1]Tasa de Falla'!BP51=0,"",'[1]Tasa de Falla'!BP51)</f>
      </c>
      <c r="L51" s="449">
        <f>IF('[1]Tasa de Falla'!BQ51=0,"",'[1]Tasa de Falla'!BQ51)</f>
      </c>
      <c r="M51" s="449">
        <f>IF('[1]Tasa de Falla'!BR51=0,"",'[1]Tasa de Falla'!BR51)</f>
      </c>
      <c r="N51" s="449">
        <f>IF('[1]Tasa de Falla'!BS51=0,"",'[1]Tasa de Falla'!BS51)</f>
      </c>
      <c r="O51" s="449">
        <f>IF('[1]Tasa de Falla'!BT51=0,"",'[1]Tasa de Falla'!BT51)</f>
        <v>1</v>
      </c>
      <c r="P51" s="449">
        <f>IF('[1]Tasa de Falla'!BU51=0,"",'[1]Tasa de Falla'!BU51)</f>
      </c>
      <c r="Q51" s="449">
        <f>IF('[1]Tasa de Falla'!BV51=0,"",'[1]Tasa de Falla'!BV51)</f>
      </c>
      <c r="R51" s="449">
        <f>IF('[1]Tasa de Falla'!BW51=0,"",'[1]Tasa de Falla'!BW51)</f>
      </c>
      <c r="S51" s="443"/>
      <c r="T51" s="444"/>
    </row>
    <row r="52" spans="2:20" s="431" customFormat="1" ht="19.5" customHeight="1">
      <c r="B52" s="432"/>
      <c r="C52" s="445">
        <f>'[1]Tasa de Falla'!C52</f>
        <v>36</v>
      </c>
      <c r="D52" s="450" t="str">
        <f>'[1]Tasa de Falla'!D52</f>
        <v>TUCUMAN NORTE - EL CADILLAL</v>
      </c>
      <c r="E52" s="450">
        <f>'[1]Tasa de Falla'!E52</f>
        <v>132</v>
      </c>
      <c r="F52" s="451">
        <f>'[1]Tasa de Falla'!F52</f>
        <v>21.8</v>
      </c>
      <c r="G52" s="448">
        <f>IF('[1]Tasa de Falla'!BL52=0,"",'[1]Tasa de Falla'!BL52)</f>
      </c>
      <c r="H52" s="448">
        <f>IF('[1]Tasa de Falla'!BM52=0,"",'[1]Tasa de Falla'!BM52)</f>
      </c>
      <c r="I52" s="448">
        <f>IF('[1]Tasa de Falla'!BN52=0,"",'[1]Tasa de Falla'!BN52)</f>
      </c>
      <c r="J52" s="448">
        <f>IF('[1]Tasa de Falla'!BO52=0,"",'[1]Tasa de Falla'!BO52)</f>
      </c>
      <c r="K52" s="448">
        <f>IF('[1]Tasa de Falla'!BP52=0,"",'[1]Tasa de Falla'!BP52)</f>
      </c>
      <c r="L52" s="448">
        <f>IF('[1]Tasa de Falla'!BQ52=0,"",'[1]Tasa de Falla'!BQ52)</f>
      </c>
      <c r="M52" s="448">
        <f>IF('[1]Tasa de Falla'!BR52=0,"",'[1]Tasa de Falla'!BR52)</f>
      </c>
      <c r="N52" s="448">
        <f>IF('[1]Tasa de Falla'!BS52=0,"",'[1]Tasa de Falla'!BS52)</f>
      </c>
      <c r="O52" s="448">
        <f>IF('[1]Tasa de Falla'!BT52=0,"",'[1]Tasa de Falla'!BT52)</f>
      </c>
      <c r="P52" s="448">
        <f>IF('[1]Tasa de Falla'!BU52=0,"",'[1]Tasa de Falla'!BU52)</f>
      </c>
      <c r="Q52" s="448">
        <f>IF('[1]Tasa de Falla'!BV52=0,"",'[1]Tasa de Falla'!BV52)</f>
      </c>
      <c r="R52" s="448">
        <f>IF('[1]Tasa de Falla'!BW52=0,"",'[1]Tasa de Falla'!BW52)</f>
      </c>
      <c r="S52" s="443"/>
      <c r="T52" s="444"/>
    </row>
    <row r="53" spans="2:20" s="431" customFormat="1" ht="19.5" customHeight="1">
      <c r="B53" s="432"/>
      <c r="C53" s="439">
        <f>'[1]Tasa de Falla'!C53</f>
        <v>37</v>
      </c>
      <c r="D53" s="440" t="str">
        <f>'[1]Tasa de Falla'!D53</f>
        <v>TUCUMAN NORTE - CABRA CORRAL</v>
      </c>
      <c r="E53" s="440">
        <f>'[1]Tasa de Falla'!E53</f>
        <v>132</v>
      </c>
      <c r="F53" s="441">
        <f>'[1]Tasa de Falla'!F53</f>
        <v>190</v>
      </c>
      <c r="G53" s="449">
        <f>IF('[1]Tasa de Falla'!BL53=0,"",'[1]Tasa de Falla'!BL53)</f>
      </c>
      <c r="H53" s="449">
        <f>IF('[1]Tasa de Falla'!BM53=0,"",'[1]Tasa de Falla'!BM53)</f>
      </c>
      <c r="I53" s="449">
        <f>IF('[1]Tasa de Falla'!BN53=0,"",'[1]Tasa de Falla'!BN53)</f>
      </c>
      <c r="J53" s="449">
        <f>IF('[1]Tasa de Falla'!BO53=0,"",'[1]Tasa de Falla'!BO53)</f>
      </c>
      <c r="K53" s="449">
        <f>IF('[1]Tasa de Falla'!BP53=0,"",'[1]Tasa de Falla'!BP53)</f>
      </c>
      <c r="L53" s="449">
        <f>IF('[1]Tasa de Falla'!BQ53=0,"",'[1]Tasa de Falla'!BQ53)</f>
        <v>1</v>
      </c>
      <c r="M53" s="449">
        <f>IF('[1]Tasa de Falla'!BR53=0,"",'[1]Tasa de Falla'!BR53)</f>
      </c>
      <c r="N53" s="449">
        <f>IF('[1]Tasa de Falla'!BS53=0,"",'[1]Tasa de Falla'!BS53)</f>
      </c>
      <c r="O53" s="449">
        <f>IF('[1]Tasa de Falla'!BT53=0,"",'[1]Tasa de Falla'!BT53)</f>
        <v>1</v>
      </c>
      <c r="P53" s="449">
        <f>IF('[1]Tasa de Falla'!BU53=0,"",'[1]Tasa de Falla'!BU53)</f>
        <v>3</v>
      </c>
      <c r="Q53" s="449">
        <f>IF('[1]Tasa de Falla'!BV53=0,"",'[1]Tasa de Falla'!BV53)</f>
        <v>1</v>
      </c>
      <c r="R53" s="449" t="str">
        <f>IF('[1]Tasa de Falla'!BW53=0,"",'[1]Tasa de Falla'!BW53)</f>
        <v>XXXX</v>
      </c>
      <c r="S53" s="443"/>
      <c r="T53" s="444"/>
    </row>
    <row r="54" spans="2:20" s="431" customFormat="1" ht="19.5" customHeight="1">
      <c r="B54" s="432"/>
      <c r="C54" s="445">
        <f>'[1]Tasa de Falla'!C54</f>
        <v>38</v>
      </c>
      <c r="D54" s="450" t="str">
        <f>'[1]Tasa de Falla'!D54</f>
        <v>TUCUMAN NORTE - METAN</v>
      </c>
      <c r="E54" s="450">
        <f>'[1]Tasa de Falla'!E54</f>
        <v>132</v>
      </c>
      <c r="F54" s="451">
        <f>'[1]Tasa de Falla'!F54</f>
        <v>155.6</v>
      </c>
      <c r="G54" s="448">
        <f>IF('[1]Tasa de Falla'!BL54=0,"",'[1]Tasa de Falla'!BL54)</f>
      </c>
      <c r="H54" s="448">
        <f>IF('[1]Tasa de Falla'!BM54=0,"",'[1]Tasa de Falla'!BM54)</f>
      </c>
      <c r="I54" s="448">
        <f>IF('[1]Tasa de Falla'!BN54=0,"",'[1]Tasa de Falla'!BN54)</f>
      </c>
      <c r="J54" s="448">
        <f>IF('[1]Tasa de Falla'!BO54=0,"",'[1]Tasa de Falla'!BO54)</f>
        <v>1</v>
      </c>
      <c r="K54" s="448">
        <f>IF('[1]Tasa de Falla'!BP54=0,"",'[1]Tasa de Falla'!BP54)</f>
        <v>1</v>
      </c>
      <c r="L54" s="448">
        <f>IF('[1]Tasa de Falla'!BQ54=0,"",'[1]Tasa de Falla'!BQ54)</f>
        <v>1</v>
      </c>
      <c r="M54" s="448">
        <f>IF('[1]Tasa de Falla'!BR54=0,"",'[1]Tasa de Falla'!BR54)</f>
        <v>1</v>
      </c>
      <c r="N54" s="448">
        <f>IF('[1]Tasa de Falla'!BS54=0,"",'[1]Tasa de Falla'!BS54)</f>
      </c>
      <c r="O54" s="448">
        <f>IF('[1]Tasa de Falla'!BT54=0,"",'[1]Tasa de Falla'!BT54)</f>
      </c>
      <c r="P54" s="448">
        <f>IF('[1]Tasa de Falla'!BU54=0,"",'[1]Tasa de Falla'!BU54)</f>
      </c>
      <c r="Q54" s="448">
        <f>IF('[1]Tasa de Falla'!BV54=0,"",'[1]Tasa de Falla'!BV54)</f>
      </c>
      <c r="R54" s="448">
        <f>IF('[1]Tasa de Falla'!BW54=0,"",'[1]Tasa de Falla'!BW54)</f>
        <v>1</v>
      </c>
      <c r="S54" s="443"/>
      <c r="T54" s="444"/>
    </row>
    <row r="55" spans="2:20" s="431" customFormat="1" ht="19.5" customHeight="1">
      <c r="B55" s="432"/>
      <c r="C55" s="439">
        <f>'[1]Tasa de Falla'!C55</f>
        <v>39</v>
      </c>
      <c r="D55" s="440" t="str">
        <f>'[1]Tasa de Falla'!D55</f>
        <v>TUCUMAN NORTE - SARMIENTO</v>
      </c>
      <c r="E55" s="440">
        <f>'[1]Tasa de Falla'!E55</f>
        <v>132</v>
      </c>
      <c r="F55" s="441">
        <f>'[1]Tasa de Falla'!F55</f>
        <v>3.3</v>
      </c>
      <c r="G55" s="449">
        <f>IF('[1]Tasa de Falla'!BL55=0,"",'[1]Tasa de Falla'!BL55)</f>
      </c>
      <c r="H55" s="449">
        <f>IF('[1]Tasa de Falla'!BM55=0,"",'[1]Tasa de Falla'!BM55)</f>
      </c>
      <c r="I55" s="449">
        <f>IF('[1]Tasa de Falla'!BN55=0,"",'[1]Tasa de Falla'!BN55)</f>
      </c>
      <c r="J55" s="449">
        <f>IF('[1]Tasa de Falla'!BO55=0,"",'[1]Tasa de Falla'!BO55)</f>
      </c>
      <c r="K55" s="449">
        <f>IF('[1]Tasa de Falla'!BP55=0,"",'[1]Tasa de Falla'!BP55)</f>
      </c>
      <c r="L55" s="449">
        <f>IF('[1]Tasa de Falla'!BQ55=0,"",'[1]Tasa de Falla'!BQ55)</f>
      </c>
      <c r="M55" s="449">
        <f>IF('[1]Tasa de Falla'!BR55=0,"",'[1]Tasa de Falla'!BR55)</f>
      </c>
      <c r="N55" s="449">
        <f>IF('[1]Tasa de Falla'!BS55=0,"",'[1]Tasa de Falla'!BS55)</f>
      </c>
      <c r="O55" s="449">
        <f>IF('[1]Tasa de Falla'!BT55=0,"",'[1]Tasa de Falla'!BT55)</f>
      </c>
      <c r="P55" s="449">
        <f>IF('[1]Tasa de Falla'!BU55=0,"",'[1]Tasa de Falla'!BU55)</f>
      </c>
      <c r="Q55" s="449">
        <f>IF('[1]Tasa de Falla'!BV55=0,"",'[1]Tasa de Falla'!BV55)</f>
      </c>
      <c r="R55" s="449">
        <f>IF('[1]Tasa de Falla'!BW55=0,"",'[1]Tasa de Falla'!BW55)</f>
      </c>
      <c r="S55" s="443"/>
      <c r="T55" s="444"/>
    </row>
    <row r="56" spans="2:20" s="431" customFormat="1" ht="19.5" customHeight="1">
      <c r="B56" s="432"/>
      <c r="C56" s="445">
        <f>'[1]Tasa de Falla'!C56</f>
        <v>40</v>
      </c>
      <c r="D56" s="450" t="str">
        <f>'[1]Tasa de Falla'!D56</f>
        <v>TUCUMAN NORTE - TUCUMAN OESTE</v>
      </c>
      <c r="E56" s="450">
        <f>'[1]Tasa de Falla'!E56</f>
        <v>132</v>
      </c>
      <c r="F56" s="451">
        <f>'[1]Tasa de Falla'!F56</f>
        <v>7</v>
      </c>
      <c r="G56" s="448">
        <f>IF('[1]Tasa de Falla'!BL56=0,"",'[1]Tasa de Falla'!BL56)</f>
      </c>
      <c r="H56" s="448">
        <f>IF('[1]Tasa de Falla'!BM56=0,"",'[1]Tasa de Falla'!BM56)</f>
      </c>
      <c r="I56" s="448">
        <f>IF('[1]Tasa de Falla'!BN56=0,"",'[1]Tasa de Falla'!BN56)</f>
      </c>
      <c r="J56" s="448">
        <f>IF('[1]Tasa de Falla'!BO56=0,"",'[1]Tasa de Falla'!BO56)</f>
      </c>
      <c r="K56" s="448">
        <f>IF('[1]Tasa de Falla'!BP56=0,"",'[1]Tasa de Falla'!BP56)</f>
      </c>
      <c r="L56" s="448">
        <f>IF('[1]Tasa de Falla'!BQ56=0,"",'[1]Tasa de Falla'!BQ56)</f>
      </c>
      <c r="M56" s="448">
        <f>IF('[1]Tasa de Falla'!BR56=0,"",'[1]Tasa de Falla'!BR56)</f>
      </c>
      <c r="N56" s="448">
        <f>IF('[1]Tasa de Falla'!BS56=0,"",'[1]Tasa de Falla'!BS56)</f>
      </c>
      <c r="O56" s="448">
        <f>IF('[1]Tasa de Falla'!BT56=0,"",'[1]Tasa de Falla'!BT56)</f>
      </c>
      <c r="P56" s="448">
        <f>IF('[1]Tasa de Falla'!BU56=0,"",'[1]Tasa de Falla'!BU56)</f>
      </c>
      <c r="Q56" s="448">
        <f>IF('[1]Tasa de Falla'!BV56=0,"",'[1]Tasa de Falla'!BV56)</f>
      </c>
      <c r="R56" s="448">
        <f>IF('[1]Tasa de Falla'!BW56=0,"",'[1]Tasa de Falla'!BW56)</f>
      </c>
      <c r="S56" s="443"/>
      <c r="T56" s="444"/>
    </row>
    <row r="57" spans="2:20" s="431" customFormat="1" ht="19.5" customHeight="1">
      <c r="B57" s="432"/>
      <c r="C57" s="439">
        <f>'[1]Tasa de Falla'!C57</f>
        <v>41</v>
      </c>
      <c r="D57" s="440" t="str">
        <f>'[1]Tasa de Falla'!D57</f>
        <v>VILLA QUINTEROS - AGUILARES</v>
      </c>
      <c r="E57" s="440">
        <f>'[1]Tasa de Falla'!E57</f>
        <v>132</v>
      </c>
      <c r="F57" s="441">
        <f>'[1]Tasa de Falla'!F57</f>
        <v>21</v>
      </c>
      <c r="G57" s="449">
        <f>IF('[1]Tasa de Falla'!BL57=0,"",'[1]Tasa de Falla'!BL57)</f>
      </c>
      <c r="H57" s="449">
        <f>IF('[1]Tasa de Falla'!BM57=0,"",'[1]Tasa de Falla'!BM57)</f>
      </c>
      <c r="I57" s="449">
        <f>IF('[1]Tasa de Falla'!BN57=0,"",'[1]Tasa de Falla'!BN57)</f>
      </c>
      <c r="J57" s="449">
        <f>IF('[1]Tasa de Falla'!BO57=0,"",'[1]Tasa de Falla'!BO57)</f>
        <v>1</v>
      </c>
      <c r="K57" s="449">
        <f>IF('[1]Tasa de Falla'!BP57=0,"",'[1]Tasa de Falla'!BP57)</f>
      </c>
      <c r="L57" s="449">
        <f>IF('[1]Tasa de Falla'!BQ57=0,"",'[1]Tasa de Falla'!BQ57)</f>
      </c>
      <c r="M57" s="449">
        <f>IF('[1]Tasa de Falla'!BR57=0,"",'[1]Tasa de Falla'!BR57)</f>
      </c>
      <c r="N57" s="449">
        <f>IF('[1]Tasa de Falla'!BS57=0,"",'[1]Tasa de Falla'!BS57)</f>
      </c>
      <c r="O57" s="449">
        <f>IF('[1]Tasa de Falla'!BT57=0,"",'[1]Tasa de Falla'!BT57)</f>
      </c>
      <c r="P57" s="449">
        <f>IF('[1]Tasa de Falla'!BU57=0,"",'[1]Tasa de Falla'!BU57)</f>
      </c>
      <c r="Q57" s="449">
        <f>IF('[1]Tasa de Falla'!BV57=0,"",'[1]Tasa de Falla'!BV57)</f>
      </c>
      <c r="R57" s="449">
        <f>IF('[1]Tasa de Falla'!BW57=0,"",'[1]Tasa de Falla'!BW57)</f>
      </c>
      <c r="S57" s="443"/>
      <c r="T57" s="444"/>
    </row>
    <row r="58" spans="2:20" s="431" customFormat="1" ht="19.5" customHeight="1">
      <c r="B58" s="432"/>
      <c r="C58" s="445">
        <f>'[1]Tasa de Falla'!C58</f>
        <v>42</v>
      </c>
      <c r="D58" s="446" t="str">
        <f>'[1]Tasa de Falla'!D58</f>
        <v>VILLA QUINTEROS - PUEBLO VIEJO</v>
      </c>
      <c r="E58" s="446">
        <f>'[1]Tasa de Falla'!E58</f>
        <v>132</v>
      </c>
      <c r="F58" s="447">
        <f>'[1]Tasa de Falla'!F58</f>
        <v>24.5</v>
      </c>
      <c r="G58" s="448">
        <f>IF('[1]Tasa de Falla'!BL58=0,"",'[1]Tasa de Falla'!BL58)</f>
      </c>
      <c r="H58" s="448">
        <f>IF('[1]Tasa de Falla'!BM58=0,"",'[1]Tasa de Falla'!BM58)</f>
      </c>
      <c r="I58" s="448">
        <f>IF('[1]Tasa de Falla'!BN58=0,"",'[1]Tasa de Falla'!BN58)</f>
      </c>
      <c r="J58" s="448">
        <f>IF('[1]Tasa de Falla'!BO58=0,"",'[1]Tasa de Falla'!BO58)</f>
      </c>
      <c r="K58" s="448">
        <f>IF('[1]Tasa de Falla'!BP58=0,"",'[1]Tasa de Falla'!BP58)</f>
      </c>
      <c r="L58" s="448">
        <f>IF('[1]Tasa de Falla'!BQ58=0,"",'[1]Tasa de Falla'!BQ58)</f>
      </c>
      <c r="M58" s="448">
        <f>IF('[1]Tasa de Falla'!BR58=0,"",'[1]Tasa de Falla'!BR58)</f>
      </c>
      <c r="N58" s="448">
        <f>IF('[1]Tasa de Falla'!BS58=0,"",'[1]Tasa de Falla'!BS58)</f>
      </c>
      <c r="O58" s="448">
        <f>IF('[1]Tasa de Falla'!BT58=0,"",'[1]Tasa de Falla'!BT58)</f>
      </c>
      <c r="P58" s="448">
        <f>IF('[1]Tasa de Falla'!BU58=0,"",'[1]Tasa de Falla'!BU58)</f>
      </c>
      <c r="Q58" s="448">
        <f>IF('[1]Tasa de Falla'!BV58=0,"",'[1]Tasa de Falla'!BV58)</f>
      </c>
      <c r="R58" s="448">
        <f>IF('[1]Tasa de Falla'!BW58=0,"",'[1]Tasa de Falla'!BW58)</f>
        <v>1</v>
      </c>
      <c r="S58" s="443"/>
      <c r="T58" s="444"/>
    </row>
    <row r="59" spans="2:20" s="431" customFormat="1" ht="19.5" customHeight="1">
      <c r="B59" s="432"/>
      <c r="C59" s="439">
        <f>'[1]Tasa de Falla'!C59</f>
        <v>43</v>
      </c>
      <c r="D59" s="440" t="str">
        <f>'[1]Tasa de Falla'!D59</f>
        <v>RIO HONDO - VILLA QUINTEROS</v>
      </c>
      <c r="E59" s="440">
        <f>'[1]Tasa de Falla'!E59</f>
        <v>132</v>
      </c>
      <c r="F59" s="441">
        <f>'[1]Tasa de Falla'!F59</f>
        <v>75.4</v>
      </c>
      <c r="G59" s="449">
        <f>IF('[1]Tasa de Falla'!BL59=0,"",'[1]Tasa de Falla'!BL59)</f>
        <v>1</v>
      </c>
      <c r="H59" s="449">
        <f>IF('[1]Tasa de Falla'!BM59=0,"",'[1]Tasa de Falla'!BM59)</f>
      </c>
      <c r="I59" s="449">
        <f>IF('[1]Tasa de Falla'!BN59=0,"",'[1]Tasa de Falla'!BN59)</f>
      </c>
      <c r="J59" s="449">
        <f>IF('[1]Tasa de Falla'!BO59=0,"",'[1]Tasa de Falla'!BO59)</f>
      </c>
      <c r="K59" s="449">
        <f>IF('[1]Tasa de Falla'!BP59=0,"",'[1]Tasa de Falla'!BP59)</f>
      </c>
      <c r="L59" s="449">
        <f>IF('[1]Tasa de Falla'!BQ59=0,"",'[1]Tasa de Falla'!BQ59)</f>
        <v>1</v>
      </c>
      <c r="M59" s="449">
        <f>IF('[1]Tasa de Falla'!BR59=0,"",'[1]Tasa de Falla'!BR59)</f>
      </c>
      <c r="N59" s="449">
        <f>IF('[1]Tasa de Falla'!BS59=0,"",'[1]Tasa de Falla'!BS59)</f>
      </c>
      <c r="O59" s="449">
        <f>IF('[1]Tasa de Falla'!BT59=0,"",'[1]Tasa de Falla'!BT59)</f>
      </c>
      <c r="P59" s="449">
        <f>IF('[1]Tasa de Falla'!BU59=0,"",'[1]Tasa de Falla'!BU59)</f>
      </c>
      <c r="Q59" s="449">
        <f>IF('[1]Tasa de Falla'!BV59=0,"",'[1]Tasa de Falla'!BV59)</f>
      </c>
      <c r="R59" s="449">
        <f>IF('[1]Tasa de Falla'!BW59=0,"",'[1]Tasa de Falla'!BW59)</f>
      </c>
      <c r="S59" s="443"/>
      <c r="T59" s="444"/>
    </row>
    <row r="60" spans="2:20" s="431" customFormat="1" ht="19.5" customHeight="1">
      <c r="B60" s="432"/>
      <c r="C60" s="445">
        <f>'[1]Tasa de Falla'!C60</f>
        <v>44</v>
      </c>
      <c r="D60" s="446" t="str">
        <f>'[1]Tasa de Falla'!D60</f>
        <v>RIO HONDO - SANTIAGO CENTRO</v>
      </c>
      <c r="E60" s="446">
        <f>'[1]Tasa de Falla'!E60</f>
        <v>132</v>
      </c>
      <c r="F60" s="447">
        <f>'[1]Tasa de Falla'!F60</f>
        <v>79</v>
      </c>
      <c r="G60" s="448">
        <f>IF('[1]Tasa de Falla'!BL60=0,"",'[1]Tasa de Falla'!BL60)</f>
      </c>
      <c r="H60" s="448">
        <f>IF('[1]Tasa de Falla'!BM60=0,"",'[1]Tasa de Falla'!BM60)</f>
        <v>1</v>
      </c>
      <c r="I60" s="448">
        <f>IF('[1]Tasa de Falla'!BN60=0,"",'[1]Tasa de Falla'!BN60)</f>
      </c>
      <c r="J60" s="448">
        <f>IF('[1]Tasa de Falla'!BO60=0,"",'[1]Tasa de Falla'!BO60)</f>
      </c>
      <c r="K60" s="448">
        <f>IF('[1]Tasa de Falla'!BP60=0,"",'[1]Tasa de Falla'!BP60)</f>
      </c>
      <c r="L60" s="448">
        <f>IF('[1]Tasa de Falla'!BQ60=0,"",'[1]Tasa de Falla'!BQ60)</f>
        <v>1</v>
      </c>
      <c r="M60" s="448">
        <f>IF('[1]Tasa de Falla'!BR60=0,"",'[1]Tasa de Falla'!BR60)</f>
      </c>
      <c r="N60" s="448">
        <f>IF('[1]Tasa de Falla'!BS60=0,"",'[1]Tasa de Falla'!BS60)</f>
      </c>
      <c r="O60" s="448">
        <f>IF('[1]Tasa de Falla'!BT60=0,"",'[1]Tasa de Falla'!BT60)</f>
      </c>
      <c r="P60" s="448">
        <f>IF('[1]Tasa de Falla'!BU60=0,"",'[1]Tasa de Falla'!BU60)</f>
      </c>
      <c r="Q60" s="448">
        <f>IF('[1]Tasa de Falla'!BV60=0,"",'[1]Tasa de Falla'!BV60)</f>
      </c>
      <c r="R60" s="448">
        <f>IF('[1]Tasa de Falla'!BW60=0,"",'[1]Tasa de Falla'!BW60)</f>
      </c>
      <c r="S60" s="443"/>
      <c r="T60" s="444"/>
    </row>
    <row r="61" spans="2:20" s="431" customFormat="1" ht="19.5" customHeight="1">
      <c r="B61" s="432"/>
      <c r="C61" s="439">
        <f>'[1]Tasa de Falla'!C61</f>
        <v>45</v>
      </c>
      <c r="D61" s="440" t="str">
        <f>'[1]Tasa de Falla'!D61</f>
        <v>EL BRACHO - RIO HONDO</v>
      </c>
      <c r="E61" s="440">
        <f>'[1]Tasa de Falla'!E61</f>
        <v>132</v>
      </c>
      <c r="F61" s="441">
        <f>'[1]Tasa de Falla'!F61</f>
        <v>80.66</v>
      </c>
      <c r="G61" s="449">
        <f>IF('[1]Tasa de Falla'!BL61=0,"",'[1]Tasa de Falla'!BL61)</f>
      </c>
      <c r="H61" s="449">
        <f>IF('[1]Tasa de Falla'!BM61=0,"",'[1]Tasa de Falla'!BM61)</f>
      </c>
      <c r="I61" s="449">
        <f>IF('[1]Tasa de Falla'!BN61=0,"",'[1]Tasa de Falla'!BN61)</f>
      </c>
      <c r="J61" s="449">
        <f>IF('[1]Tasa de Falla'!BO61=0,"",'[1]Tasa de Falla'!BO61)</f>
      </c>
      <c r="K61" s="449">
        <f>IF('[1]Tasa de Falla'!BP61=0,"",'[1]Tasa de Falla'!BP61)</f>
      </c>
      <c r="L61" s="449">
        <f>IF('[1]Tasa de Falla'!BQ61=0,"",'[1]Tasa de Falla'!BQ61)</f>
      </c>
      <c r="M61" s="449">
        <f>IF('[1]Tasa de Falla'!BR61=0,"",'[1]Tasa de Falla'!BR61)</f>
      </c>
      <c r="N61" s="449">
        <f>IF('[1]Tasa de Falla'!BS61=0,"",'[1]Tasa de Falla'!BS61)</f>
      </c>
      <c r="O61" s="449">
        <f>IF('[1]Tasa de Falla'!BT61=0,"",'[1]Tasa de Falla'!BT61)</f>
      </c>
      <c r="P61" s="449">
        <f>IF('[1]Tasa de Falla'!BU61=0,"",'[1]Tasa de Falla'!BU61)</f>
      </c>
      <c r="Q61" s="449">
        <f>IF('[1]Tasa de Falla'!BV61=0,"",'[1]Tasa de Falla'!BV61)</f>
      </c>
      <c r="R61" s="449">
        <f>IF('[1]Tasa de Falla'!BW61=0,"",'[1]Tasa de Falla'!BW61)</f>
      </c>
      <c r="S61" s="443"/>
      <c r="T61" s="444"/>
    </row>
    <row r="62" spans="2:20" s="431" customFormat="1" ht="19.5" customHeight="1">
      <c r="B62" s="432"/>
      <c r="C62" s="445">
        <f>'[1]Tasa de Falla'!C62</f>
        <v>46</v>
      </c>
      <c r="D62" s="446" t="str">
        <f>'[1]Tasa de Falla'!D62</f>
        <v>SALTA SUR - SALTA NORTE</v>
      </c>
      <c r="E62" s="446">
        <f>'[1]Tasa de Falla'!E62</f>
        <v>132</v>
      </c>
      <c r="F62" s="447">
        <f>'[1]Tasa de Falla'!F62</f>
        <v>10</v>
      </c>
      <c r="G62" s="448">
        <f>IF('[1]Tasa de Falla'!BL62=0,"",'[1]Tasa de Falla'!BL62)</f>
      </c>
      <c r="H62" s="448">
        <f>IF('[1]Tasa de Falla'!BM62=0,"",'[1]Tasa de Falla'!BM62)</f>
      </c>
      <c r="I62" s="448">
        <f>IF('[1]Tasa de Falla'!BN62=0,"",'[1]Tasa de Falla'!BN62)</f>
      </c>
      <c r="J62" s="448">
        <f>IF('[1]Tasa de Falla'!BO62=0,"",'[1]Tasa de Falla'!BO62)</f>
      </c>
      <c r="K62" s="448">
        <f>IF('[1]Tasa de Falla'!BP62=0,"",'[1]Tasa de Falla'!BP62)</f>
        <v>1</v>
      </c>
      <c r="L62" s="448">
        <f>IF('[1]Tasa de Falla'!BQ62=0,"",'[1]Tasa de Falla'!BQ62)</f>
      </c>
      <c r="M62" s="448">
        <f>IF('[1]Tasa de Falla'!BR62=0,"",'[1]Tasa de Falla'!BR62)</f>
      </c>
      <c r="N62" s="448">
        <f>IF('[1]Tasa de Falla'!BS62=0,"",'[1]Tasa de Falla'!BS62)</f>
      </c>
      <c r="O62" s="448">
        <f>IF('[1]Tasa de Falla'!BT62=0,"",'[1]Tasa de Falla'!BT62)</f>
        <v>1</v>
      </c>
      <c r="P62" s="448">
        <f>IF('[1]Tasa de Falla'!BU62=0,"",'[1]Tasa de Falla'!BU62)</f>
      </c>
      <c r="Q62" s="448">
        <f>IF('[1]Tasa de Falla'!BV62=0,"",'[1]Tasa de Falla'!BV62)</f>
      </c>
      <c r="R62" s="448">
        <f>IF('[1]Tasa de Falla'!BW62=0,"",'[1]Tasa de Falla'!BW62)</f>
      </c>
      <c r="S62" s="443"/>
      <c r="T62" s="444"/>
    </row>
    <row r="63" spans="2:20" s="431" customFormat="1" ht="19.5" customHeight="1">
      <c r="B63" s="432"/>
      <c r="C63" s="439">
        <f>'[1]Tasa de Falla'!C63</f>
        <v>47</v>
      </c>
      <c r="D63" s="440" t="str">
        <f>'[1]Tasa de Falla'!D63</f>
        <v>PALPALA - JUJUY ESTE</v>
      </c>
      <c r="E63" s="440">
        <f>'[1]Tasa de Falla'!E63</f>
        <v>132</v>
      </c>
      <c r="F63" s="441">
        <f>'[1]Tasa de Falla'!F63</f>
        <v>12.25</v>
      </c>
      <c r="G63" s="449">
        <f>IF('[1]Tasa de Falla'!BL63=0,"",'[1]Tasa de Falla'!BL63)</f>
      </c>
      <c r="H63" s="449">
        <f>IF('[1]Tasa de Falla'!BM63=0,"",'[1]Tasa de Falla'!BM63)</f>
      </c>
      <c r="I63" s="449">
        <f>IF('[1]Tasa de Falla'!BN63=0,"",'[1]Tasa de Falla'!BN63)</f>
      </c>
      <c r="J63" s="449">
        <f>IF('[1]Tasa de Falla'!BO63=0,"",'[1]Tasa de Falla'!BO63)</f>
      </c>
      <c r="K63" s="449">
        <f>IF('[1]Tasa de Falla'!BP63=0,"",'[1]Tasa de Falla'!BP63)</f>
      </c>
      <c r="L63" s="449">
        <f>IF('[1]Tasa de Falla'!BQ63=0,"",'[1]Tasa de Falla'!BQ63)</f>
      </c>
      <c r="M63" s="449">
        <f>IF('[1]Tasa de Falla'!BR63=0,"",'[1]Tasa de Falla'!BR63)</f>
      </c>
      <c r="N63" s="449">
        <f>IF('[1]Tasa de Falla'!BS63=0,"",'[1]Tasa de Falla'!BS63)</f>
      </c>
      <c r="O63" s="449">
        <f>IF('[1]Tasa de Falla'!BT63=0,"",'[1]Tasa de Falla'!BT63)</f>
      </c>
      <c r="P63" s="449">
        <f>IF('[1]Tasa de Falla'!BU63=0,"",'[1]Tasa de Falla'!BU63)</f>
      </c>
      <c r="Q63" s="449">
        <f>IF('[1]Tasa de Falla'!BV63=0,"",'[1]Tasa de Falla'!BV63)</f>
      </c>
      <c r="R63" s="449">
        <f>IF('[1]Tasa de Falla'!BW63=0,"",'[1]Tasa de Falla'!BW63)</f>
      </c>
      <c r="S63" s="443"/>
      <c r="T63" s="444"/>
    </row>
    <row r="64" spans="2:20" s="431" customFormat="1" ht="19.5" customHeight="1">
      <c r="B64" s="432"/>
      <c r="C64" s="445">
        <f>'[1]Tasa de Falla'!C64</f>
        <v>48</v>
      </c>
      <c r="D64" s="446" t="str">
        <f>'[1]Tasa de Falla'!D64</f>
        <v>JUJUY ESTE - JUJUY SUR</v>
      </c>
      <c r="E64" s="446">
        <f>'[1]Tasa de Falla'!E64</f>
        <v>132</v>
      </c>
      <c r="F64" s="447">
        <f>'[1]Tasa de Falla'!F64</f>
        <v>4.25</v>
      </c>
      <c r="G64" s="448">
        <f>IF('[1]Tasa de Falla'!BL64=0,"",'[1]Tasa de Falla'!BL64)</f>
      </c>
      <c r="H64" s="448">
        <f>IF('[1]Tasa de Falla'!BM64=0,"",'[1]Tasa de Falla'!BM64)</f>
      </c>
      <c r="I64" s="448">
        <f>IF('[1]Tasa de Falla'!BN64=0,"",'[1]Tasa de Falla'!BN64)</f>
      </c>
      <c r="J64" s="448">
        <f>IF('[1]Tasa de Falla'!BO64=0,"",'[1]Tasa de Falla'!BO64)</f>
      </c>
      <c r="K64" s="448">
        <f>IF('[1]Tasa de Falla'!BP64=0,"",'[1]Tasa de Falla'!BP64)</f>
      </c>
      <c r="L64" s="448">
        <f>IF('[1]Tasa de Falla'!BQ64=0,"",'[1]Tasa de Falla'!BQ64)</f>
      </c>
      <c r="M64" s="448">
        <f>IF('[1]Tasa de Falla'!BR64=0,"",'[1]Tasa de Falla'!BR64)</f>
      </c>
      <c r="N64" s="448">
        <f>IF('[1]Tasa de Falla'!BS64=0,"",'[1]Tasa de Falla'!BS64)</f>
      </c>
      <c r="O64" s="448">
        <f>IF('[1]Tasa de Falla'!BT64=0,"",'[1]Tasa de Falla'!BT64)</f>
      </c>
      <c r="P64" s="448">
        <f>IF('[1]Tasa de Falla'!BU64=0,"",'[1]Tasa de Falla'!BU64)</f>
      </c>
      <c r="Q64" s="448">
        <f>IF('[1]Tasa de Falla'!BV64=0,"",'[1]Tasa de Falla'!BV64)</f>
      </c>
      <c r="R64" s="448">
        <f>IF('[1]Tasa de Falla'!BW64=0,"",'[1]Tasa de Falla'!BW64)</f>
      </c>
      <c r="S64" s="443"/>
      <c r="T64" s="444"/>
    </row>
    <row r="65" spans="2:20" s="431" customFormat="1" ht="19.5" customHeight="1">
      <c r="B65" s="432"/>
      <c r="C65" s="439">
        <f>'[1]Tasa de Falla'!C65</f>
        <v>49</v>
      </c>
      <c r="D65" s="440" t="str">
        <f>'[1]Tasa de Falla'!D65</f>
        <v>CEVIL POZO - GUEMES</v>
      </c>
      <c r="E65" s="440">
        <f>'[1]Tasa de Falla'!E65</f>
        <v>132</v>
      </c>
      <c r="F65" s="441">
        <f>'[1]Tasa de Falla'!F65</f>
        <v>291</v>
      </c>
      <c r="G65" s="449">
        <f>IF('[1]Tasa de Falla'!BL65=0,"",'[1]Tasa de Falla'!BL65)</f>
        <v>1</v>
      </c>
      <c r="H65" s="449">
        <f>IF('[1]Tasa de Falla'!BM65=0,"",'[1]Tasa de Falla'!BM65)</f>
        <v>1</v>
      </c>
      <c r="I65" s="449">
        <f>IF('[1]Tasa de Falla'!BN65=0,"",'[1]Tasa de Falla'!BN65)</f>
      </c>
      <c r="J65" s="449">
        <f>IF('[1]Tasa de Falla'!BO65=0,"",'[1]Tasa de Falla'!BO65)</f>
      </c>
      <c r="K65" s="449">
        <f>IF('[1]Tasa de Falla'!BP65=0,"",'[1]Tasa de Falla'!BP65)</f>
      </c>
      <c r="L65" s="449">
        <f>IF('[1]Tasa de Falla'!BQ65=0,"",'[1]Tasa de Falla'!BQ65)</f>
        <v>1</v>
      </c>
      <c r="M65" s="449">
        <f>IF('[1]Tasa de Falla'!BR65=0,"",'[1]Tasa de Falla'!BR65)</f>
      </c>
      <c r="N65" s="449">
        <f>IF('[1]Tasa de Falla'!BS65=0,"",'[1]Tasa de Falla'!BS65)</f>
      </c>
      <c r="O65" s="449">
        <f>IF('[1]Tasa de Falla'!BT65=0,"",'[1]Tasa de Falla'!BT65)</f>
      </c>
      <c r="P65" s="449">
        <f>IF('[1]Tasa de Falla'!BU65=0,"",'[1]Tasa de Falla'!BU65)</f>
      </c>
      <c r="Q65" s="449">
        <f>IF('[1]Tasa de Falla'!BV65=0,"",'[1]Tasa de Falla'!BV65)</f>
        <v>1</v>
      </c>
      <c r="R65" s="449">
        <f>IF('[1]Tasa de Falla'!BW65=0,"",'[1]Tasa de Falla'!BW65)</f>
        <v>2</v>
      </c>
      <c r="S65" s="443"/>
      <c r="T65" s="444"/>
    </row>
    <row r="66" spans="2:20" s="431" customFormat="1" ht="19.5" customHeight="1">
      <c r="B66" s="432"/>
      <c r="C66" s="445">
        <f>'[1]Tasa de Falla'!C66</f>
        <v>50</v>
      </c>
      <c r="D66" s="450" t="str">
        <f>'[1]Tasa de Falla'!D66</f>
        <v>CEVIL POZO - EL BRACHO</v>
      </c>
      <c r="E66" s="450">
        <f>'[1]Tasa de Falla'!E66</f>
        <v>132</v>
      </c>
      <c r="F66" s="451">
        <f>'[1]Tasa de Falla'!F66</f>
        <v>17</v>
      </c>
      <c r="G66" s="448">
        <f>IF('[1]Tasa de Falla'!BL66=0,"",'[1]Tasa de Falla'!BL66)</f>
      </c>
      <c r="H66" s="448">
        <f>IF('[1]Tasa de Falla'!BM66=0,"",'[1]Tasa de Falla'!BM66)</f>
      </c>
      <c r="I66" s="448">
        <f>IF('[1]Tasa de Falla'!BN66=0,"",'[1]Tasa de Falla'!BN66)</f>
      </c>
      <c r="J66" s="448">
        <f>IF('[1]Tasa de Falla'!BO66=0,"",'[1]Tasa de Falla'!BO66)</f>
      </c>
      <c r="K66" s="448">
        <f>IF('[1]Tasa de Falla'!BP66=0,"",'[1]Tasa de Falla'!BP66)</f>
      </c>
      <c r="L66" s="448">
        <f>IF('[1]Tasa de Falla'!BQ66=0,"",'[1]Tasa de Falla'!BQ66)</f>
      </c>
      <c r="M66" s="448">
        <f>IF('[1]Tasa de Falla'!BR66=0,"",'[1]Tasa de Falla'!BR66)</f>
      </c>
      <c r="N66" s="448">
        <f>IF('[1]Tasa de Falla'!BS66=0,"",'[1]Tasa de Falla'!BS66)</f>
      </c>
      <c r="O66" s="448">
        <f>IF('[1]Tasa de Falla'!BT66=0,"",'[1]Tasa de Falla'!BT66)</f>
      </c>
      <c r="P66" s="448">
        <f>IF('[1]Tasa de Falla'!BU66=0,"",'[1]Tasa de Falla'!BU66)</f>
      </c>
      <c r="Q66" s="448">
        <f>IF('[1]Tasa de Falla'!BV66=0,"",'[1]Tasa de Falla'!BV66)</f>
      </c>
      <c r="R66" s="448">
        <f>IF('[1]Tasa de Falla'!BW66=0,"",'[1]Tasa de Falla'!BW66)</f>
      </c>
      <c r="S66" s="443"/>
      <c r="T66" s="444"/>
    </row>
    <row r="67" spans="2:20" s="431" customFormat="1" ht="19.5" customHeight="1">
      <c r="B67" s="432"/>
      <c r="C67" s="439"/>
      <c r="D67" s="440"/>
      <c r="E67" s="440"/>
      <c r="F67" s="441"/>
      <c r="G67" s="449">
        <f>IF('[1]Tasa de Falla'!BL67=0,"",'[1]Tasa de Falla'!BL67)</f>
      </c>
      <c r="H67" s="449">
        <f>IF('[1]Tasa de Falla'!BM67=0,"",'[1]Tasa de Falla'!BM67)</f>
      </c>
      <c r="I67" s="449">
        <f>IF('[1]Tasa de Falla'!BN67=0,"",'[1]Tasa de Falla'!BN67)</f>
      </c>
      <c r="J67" s="449">
        <f>IF('[1]Tasa de Falla'!BO67=0,"",'[1]Tasa de Falla'!BO67)</f>
      </c>
      <c r="K67" s="449">
        <f>IF('[1]Tasa de Falla'!BP67=0,"",'[1]Tasa de Falla'!BP67)</f>
      </c>
      <c r="L67" s="449">
        <f>IF('[1]Tasa de Falla'!BQ67=0,"",'[1]Tasa de Falla'!BQ67)</f>
      </c>
      <c r="M67" s="449">
        <f>IF('[1]Tasa de Falla'!BR67=0,"",'[1]Tasa de Falla'!BR67)</f>
      </c>
      <c r="N67" s="449">
        <f>IF('[1]Tasa de Falla'!BS67=0,"",'[1]Tasa de Falla'!BS67)</f>
      </c>
      <c r="O67" s="449">
        <f>IF('[1]Tasa de Falla'!BT67=0,"",'[1]Tasa de Falla'!BT67)</f>
      </c>
      <c r="P67" s="449">
        <f>IF('[1]Tasa de Falla'!BU67=0,"",'[1]Tasa de Falla'!BU67)</f>
      </c>
      <c r="Q67" s="449">
        <f>IF('[1]Tasa de Falla'!BV67=0,"",'[1]Tasa de Falla'!BV67)</f>
      </c>
      <c r="R67" s="449">
        <f>IF('[1]Tasa de Falla'!BW67=0,"",'[1]Tasa de Falla'!BW67)</f>
      </c>
      <c r="S67" s="443"/>
      <c r="T67" s="444"/>
    </row>
    <row r="68" spans="2:20" s="431" customFormat="1" ht="19.5" customHeight="1">
      <c r="B68" s="432"/>
      <c r="C68" s="445">
        <f>'[1]Tasa de Falla'!C68</f>
        <v>51</v>
      </c>
      <c r="D68" s="446" t="str">
        <f>'[1]Tasa de Falla'!D68</f>
        <v>METAN - EL TUNAL</v>
      </c>
      <c r="E68" s="446">
        <f>'[1]Tasa de Falla'!E68</f>
        <v>132</v>
      </c>
      <c r="F68" s="447">
        <f>'[1]Tasa de Falla'!F68</f>
        <v>75.6</v>
      </c>
      <c r="G68" s="448">
        <f>IF('[1]Tasa de Falla'!BL68=0,"",'[1]Tasa de Falla'!BL68)</f>
        <v>1</v>
      </c>
      <c r="H68" s="448">
        <f>IF('[1]Tasa de Falla'!BM68=0,"",'[1]Tasa de Falla'!BM68)</f>
      </c>
      <c r="I68" s="448">
        <f>IF('[1]Tasa de Falla'!BN68=0,"",'[1]Tasa de Falla'!BN68)</f>
      </c>
      <c r="J68" s="448">
        <f>IF('[1]Tasa de Falla'!BO68=0,"",'[1]Tasa de Falla'!BO68)</f>
      </c>
      <c r="K68" s="448">
        <f>IF('[1]Tasa de Falla'!BP68=0,"",'[1]Tasa de Falla'!BP68)</f>
      </c>
      <c r="L68" s="448">
        <f>IF('[1]Tasa de Falla'!BQ68=0,"",'[1]Tasa de Falla'!BQ68)</f>
        <v>1</v>
      </c>
      <c r="M68" s="448">
        <f>IF('[1]Tasa de Falla'!BR68=0,"",'[1]Tasa de Falla'!BR68)</f>
      </c>
      <c r="N68" s="448">
        <f>IF('[1]Tasa de Falla'!BS68=0,"",'[1]Tasa de Falla'!BS68)</f>
      </c>
      <c r="O68" s="448">
        <f>IF('[1]Tasa de Falla'!BT68=0,"",'[1]Tasa de Falla'!BT68)</f>
      </c>
      <c r="P68" s="448">
        <f>IF('[1]Tasa de Falla'!BU68=0,"",'[1]Tasa de Falla'!BU68)</f>
      </c>
      <c r="Q68" s="448">
        <f>IF('[1]Tasa de Falla'!BV68=0,"",'[1]Tasa de Falla'!BV68)</f>
      </c>
      <c r="R68" s="448">
        <f>IF('[1]Tasa de Falla'!BW68=0,"",'[1]Tasa de Falla'!BW68)</f>
      </c>
      <c r="S68" s="443"/>
      <c r="T68" s="444"/>
    </row>
    <row r="69" spans="2:20" s="431" customFormat="1" ht="19.5" customHeight="1">
      <c r="B69" s="432"/>
      <c r="C69" s="439">
        <f>'[1]Tasa de Falla'!C69</f>
        <v>52</v>
      </c>
      <c r="D69" s="440" t="str">
        <f>'[1]Tasa de Falla'!D69</f>
        <v>J.V. GONZALEZ - EL TUNAL</v>
      </c>
      <c r="E69" s="440">
        <f>'[1]Tasa de Falla'!E69</f>
        <v>132</v>
      </c>
      <c r="F69" s="441">
        <f>'[1]Tasa de Falla'!F69</f>
        <v>41.4</v>
      </c>
      <c r="G69" s="449">
        <f>IF('[1]Tasa de Falla'!BL69=0,"",'[1]Tasa de Falla'!BL69)</f>
        <v>1</v>
      </c>
      <c r="H69" s="449">
        <f>IF('[1]Tasa de Falla'!BM69=0,"",'[1]Tasa de Falla'!BM69)</f>
      </c>
      <c r="I69" s="449">
        <f>IF('[1]Tasa de Falla'!BN69=0,"",'[1]Tasa de Falla'!BN69)</f>
      </c>
      <c r="J69" s="449">
        <f>IF('[1]Tasa de Falla'!BO69=0,"",'[1]Tasa de Falla'!BO69)</f>
      </c>
      <c r="K69" s="449">
        <f>IF('[1]Tasa de Falla'!BP69=0,"",'[1]Tasa de Falla'!BP69)</f>
      </c>
      <c r="L69" s="449">
        <f>IF('[1]Tasa de Falla'!BQ69=0,"",'[1]Tasa de Falla'!BQ69)</f>
      </c>
      <c r="M69" s="449">
        <f>IF('[1]Tasa de Falla'!BR69=0,"",'[1]Tasa de Falla'!BR69)</f>
      </c>
      <c r="N69" s="449">
        <f>IF('[1]Tasa de Falla'!BS69=0,"",'[1]Tasa de Falla'!BS69)</f>
      </c>
      <c r="O69" s="449">
        <f>IF('[1]Tasa de Falla'!BT69=0,"",'[1]Tasa de Falla'!BT69)</f>
      </c>
      <c r="P69" s="449">
        <f>IF('[1]Tasa de Falla'!BU69=0,"",'[1]Tasa de Falla'!BU69)</f>
      </c>
      <c r="Q69" s="449">
        <f>IF('[1]Tasa de Falla'!BV69=0,"",'[1]Tasa de Falla'!BV69)</f>
      </c>
      <c r="R69" s="449">
        <f>IF('[1]Tasa de Falla'!BW69=0,"",'[1]Tasa de Falla'!BW69)</f>
      </c>
      <c r="S69" s="443"/>
      <c r="T69" s="444"/>
    </row>
    <row r="70" spans="2:20" s="431" customFormat="1" ht="19.5" customHeight="1">
      <c r="B70" s="432"/>
      <c r="C70" s="445"/>
      <c r="D70" s="446"/>
      <c r="E70" s="446"/>
      <c r="F70" s="447"/>
      <c r="G70" s="448">
        <f>IF('[1]Tasa de Falla'!BL70=0,"",'[1]Tasa de Falla'!BL70)</f>
      </c>
      <c r="H70" s="448">
        <f>IF('[1]Tasa de Falla'!BM70=0,"",'[1]Tasa de Falla'!BM70)</f>
      </c>
      <c r="I70" s="448">
        <f>IF('[1]Tasa de Falla'!BN70=0,"",'[1]Tasa de Falla'!BN70)</f>
      </c>
      <c r="J70" s="448">
        <f>IF('[1]Tasa de Falla'!BO70=0,"",'[1]Tasa de Falla'!BO70)</f>
      </c>
      <c r="K70" s="448">
        <f>IF('[1]Tasa de Falla'!BP70=0,"",'[1]Tasa de Falla'!BP70)</f>
      </c>
      <c r="L70" s="448">
        <f>IF('[1]Tasa de Falla'!BQ70=0,"",'[1]Tasa de Falla'!BQ70)</f>
      </c>
      <c r="M70" s="448">
        <f>IF('[1]Tasa de Falla'!BR70=0,"",'[1]Tasa de Falla'!BR70)</f>
      </c>
      <c r="N70" s="448">
        <f>IF('[1]Tasa de Falla'!BS70=0,"",'[1]Tasa de Falla'!BS70)</f>
      </c>
      <c r="O70" s="448">
        <f>IF('[1]Tasa de Falla'!BT70=0,"",'[1]Tasa de Falla'!BT70)</f>
      </c>
      <c r="P70" s="448">
        <f>IF('[1]Tasa de Falla'!BU70=0,"",'[1]Tasa de Falla'!BU70)</f>
      </c>
      <c r="Q70" s="448">
        <f>IF('[1]Tasa de Falla'!BV70=0,"",'[1]Tasa de Falla'!BV70)</f>
      </c>
      <c r="R70" s="448">
        <f>IF('[1]Tasa de Falla'!BW70=0,"",'[1]Tasa de Falla'!BW70)</f>
      </c>
      <c r="S70" s="443"/>
      <c r="T70" s="444"/>
    </row>
    <row r="71" spans="2:20" s="431" customFormat="1" ht="19.5" customHeight="1">
      <c r="B71" s="432"/>
      <c r="C71" s="439">
        <f>'[1]Tasa de Falla'!C71</f>
        <v>53</v>
      </c>
      <c r="D71" s="440" t="str">
        <f>'[1]Tasa de Falla'!D71</f>
        <v>LOS PIZARROS - ESCABA</v>
      </c>
      <c r="E71" s="440">
        <f>'[1]Tasa de Falla'!E71</f>
        <v>132</v>
      </c>
      <c r="F71" s="441">
        <f>'[1]Tasa de Falla'!F71</f>
        <v>21.4</v>
      </c>
      <c r="G71" s="449">
        <f>IF('[1]Tasa de Falla'!BL71=0,"",'[1]Tasa de Falla'!BL71)</f>
      </c>
      <c r="H71" s="449">
        <f>IF('[1]Tasa de Falla'!BM71=0,"",'[1]Tasa de Falla'!BM71)</f>
      </c>
      <c r="I71" s="449">
        <f>IF('[1]Tasa de Falla'!BN71=0,"",'[1]Tasa de Falla'!BN71)</f>
      </c>
      <c r="J71" s="449">
        <f>IF('[1]Tasa de Falla'!BO71=0,"",'[1]Tasa de Falla'!BO71)</f>
      </c>
      <c r="K71" s="449">
        <f>IF('[1]Tasa de Falla'!BP71=0,"",'[1]Tasa de Falla'!BP71)</f>
      </c>
      <c r="L71" s="449">
        <f>IF('[1]Tasa de Falla'!BQ71=0,"",'[1]Tasa de Falla'!BQ71)</f>
      </c>
      <c r="M71" s="449">
        <f>IF('[1]Tasa de Falla'!BR71=0,"",'[1]Tasa de Falla'!BR71)</f>
      </c>
      <c r="N71" s="449">
        <f>IF('[1]Tasa de Falla'!BS71=0,"",'[1]Tasa de Falla'!BS71)</f>
      </c>
      <c r="O71" s="449">
        <f>IF('[1]Tasa de Falla'!BT71=0,"",'[1]Tasa de Falla'!BT71)</f>
      </c>
      <c r="P71" s="449">
        <f>IF('[1]Tasa de Falla'!BU71=0,"",'[1]Tasa de Falla'!BU71)</f>
      </c>
      <c r="Q71" s="449">
        <f>IF('[1]Tasa de Falla'!BV71=0,"",'[1]Tasa de Falla'!BV71)</f>
        <v>2</v>
      </c>
      <c r="R71" s="449">
        <f>IF('[1]Tasa de Falla'!BW71=0,"",'[1]Tasa de Falla'!BW71)</f>
      </c>
      <c r="S71" s="443"/>
      <c r="T71" s="444"/>
    </row>
    <row r="72" spans="2:20" s="431" customFormat="1" ht="19.5" customHeight="1">
      <c r="B72" s="432"/>
      <c r="C72" s="445">
        <f>'[1]Tasa de Falla'!C72</f>
        <v>54</v>
      </c>
      <c r="D72" s="446" t="str">
        <f>'[1]Tasa de Falla'!D72</f>
        <v>LOS PIZARROS - LA COCHA</v>
      </c>
      <c r="E72" s="446">
        <f>'[1]Tasa de Falla'!E72</f>
        <v>132</v>
      </c>
      <c r="F72" s="447">
        <f>'[1]Tasa de Falla'!F72</f>
        <v>6.5</v>
      </c>
      <c r="G72" s="448">
        <f>IF('[1]Tasa de Falla'!BL72=0,"",'[1]Tasa de Falla'!BL72)</f>
      </c>
      <c r="H72" s="448">
        <f>IF('[1]Tasa de Falla'!BM72=0,"",'[1]Tasa de Falla'!BM72)</f>
      </c>
      <c r="I72" s="448">
        <f>IF('[1]Tasa de Falla'!BN72=0,"",'[1]Tasa de Falla'!BN72)</f>
      </c>
      <c r="J72" s="448">
        <f>IF('[1]Tasa de Falla'!BO72=0,"",'[1]Tasa de Falla'!BO72)</f>
      </c>
      <c r="K72" s="448">
        <f>IF('[1]Tasa de Falla'!BP72=0,"",'[1]Tasa de Falla'!BP72)</f>
      </c>
      <c r="L72" s="448">
        <f>IF('[1]Tasa de Falla'!BQ72=0,"",'[1]Tasa de Falla'!BQ72)</f>
      </c>
      <c r="M72" s="448">
        <f>IF('[1]Tasa de Falla'!BR72=0,"",'[1]Tasa de Falla'!BR72)</f>
      </c>
      <c r="N72" s="448">
        <f>IF('[1]Tasa de Falla'!BS72=0,"",'[1]Tasa de Falla'!BS72)</f>
      </c>
      <c r="O72" s="448">
        <f>IF('[1]Tasa de Falla'!BT72=0,"",'[1]Tasa de Falla'!BT72)</f>
      </c>
      <c r="P72" s="448">
        <f>IF('[1]Tasa de Falla'!BU72=0,"",'[1]Tasa de Falla'!BU72)</f>
      </c>
      <c r="Q72" s="448">
        <f>IF('[1]Tasa de Falla'!BV72=0,"",'[1]Tasa de Falla'!BV72)</f>
      </c>
      <c r="R72" s="448">
        <f>IF('[1]Tasa de Falla'!BW72=0,"",'[1]Tasa de Falla'!BW72)</f>
      </c>
      <c r="S72" s="443"/>
      <c r="T72" s="444"/>
    </row>
    <row r="73" spans="2:20" s="431" customFormat="1" ht="19.5" customHeight="1">
      <c r="B73" s="432"/>
      <c r="C73" s="439">
        <f>'[1]Tasa de Falla'!C73</f>
        <v>55</v>
      </c>
      <c r="D73" s="440" t="str">
        <f>'[1]Tasa de Falla'!D73</f>
        <v>HUACRA - LOS PIZARROS</v>
      </c>
      <c r="E73" s="440">
        <f>'[1]Tasa de Falla'!E73</f>
        <v>132</v>
      </c>
      <c r="F73" s="441">
        <f>'[1]Tasa de Falla'!F73</f>
        <v>28.5</v>
      </c>
      <c r="G73" s="449">
        <f>IF('[1]Tasa de Falla'!BL73=0,"",'[1]Tasa de Falla'!BL73)</f>
        <v>1</v>
      </c>
      <c r="H73" s="449">
        <f>IF('[1]Tasa de Falla'!BM73=0,"",'[1]Tasa de Falla'!BM73)</f>
      </c>
      <c r="I73" s="449">
        <f>IF('[1]Tasa de Falla'!BN73=0,"",'[1]Tasa de Falla'!BN73)</f>
      </c>
      <c r="J73" s="449">
        <f>IF('[1]Tasa de Falla'!BO73=0,"",'[1]Tasa de Falla'!BO73)</f>
      </c>
      <c r="K73" s="449">
        <f>IF('[1]Tasa de Falla'!BP73=0,"",'[1]Tasa de Falla'!BP73)</f>
      </c>
      <c r="L73" s="449">
        <f>IF('[1]Tasa de Falla'!BQ73=0,"",'[1]Tasa de Falla'!BQ73)</f>
      </c>
      <c r="M73" s="449">
        <f>IF('[1]Tasa de Falla'!BR73=0,"",'[1]Tasa de Falla'!BR73)</f>
      </c>
      <c r="N73" s="449">
        <f>IF('[1]Tasa de Falla'!BS73=0,"",'[1]Tasa de Falla'!BS73)</f>
      </c>
      <c r="O73" s="449">
        <f>IF('[1]Tasa de Falla'!BT73=0,"",'[1]Tasa de Falla'!BT73)</f>
      </c>
      <c r="P73" s="449">
        <f>IF('[1]Tasa de Falla'!BU73=0,"",'[1]Tasa de Falla'!BU73)</f>
      </c>
      <c r="Q73" s="449">
        <f>IF('[1]Tasa de Falla'!BV73=0,"",'[1]Tasa de Falla'!BV73)</f>
      </c>
      <c r="R73" s="449">
        <f>IF('[1]Tasa de Falla'!BW73=0,"",'[1]Tasa de Falla'!BW73)</f>
      </c>
      <c r="S73" s="443"/>
      <c r="T73" s="444"/>
    </row>
    <row r="74" spans="2:20" s="431" customFormat="1" ht="19.5" customHeight="1">
      <c r="B74" s="432"/>
      <c r="C74" s="445">
        <f>'[1]Tasa de Falla'!C74</f>
        <v>56</v>
      </c>
      <c r="D74" s="450" t="str">
        <f>'[1]Tasa de Falla'!D74</f>
        <v>CEVIL POZO - AVELLANEDA</v>
      </c>
      <c r="E74" s="450">
        <f>'[1]Tasa de Falla'!E74</f>
        <v>132</v>
      </c>
      <c r="F74" s="451">
        <f>'[1]Tasa de Falla'!F74</f>
        <v>8</v>
      </c>
      <c r="G74" s="448">
        <f>IF('[1]Tasa de Falla'!BL74=0,"",'[1]Tasa de Falla'!BL74)</f>
      </c>
      <c r="H74" s="448">
        <f>IF('[1]Tasa de Falla'!BM74=0,"",'[1]Tasa de Falla'!BM74)</f>
      </c>
      <c r="I74" s="448">
        <f>IF('[1]Tasa de Falla'!BN74=0,"",'[1]Tasa de Falla'!BN74)</f>
      </c>
      <c r="J74" s="448">
        <f>IF('[1]Tasa de Falla'!BO74=0,"",'[1]Tasa de Falla'!BO74)</f>
      </c>
      <c r="K74" s="448">
        <f>IF('[1]Tasa de Falla'!BP74=0,"",'[1]Tasa de Falla'!BP74)</f>
      </c>
      <c r="L74" s="448">
        <f>IF('[1]Tasa de Falla'!BQ74=0,"",'[1]Tasa de Falla'!BQ74)</f>
      </c>
      <c r="M74" s="448">
        <f>IF('[1]Tasa de Falla'!BR74=0,"",'[1]Tasa de Falla'!BR74)</f>
      </c>
      <c r="N74" s="448">
        <f>IF('[1]Tasa de Falla'!BS74=0,"",'[1]Tasa de Falla'!BS74)</f>
      </c>
      <c r="O74" s="448">
        <f>IF('[1]Tasa de Falla'!BT74=0,"",'[1]Tasa de Falla'!BT74)</f>
      </c>
      <c r="P74" s="448">
        <f>IF('[1]Tasa de Falla'!BU74=0,"",'[1]Tasa de Falla'!BU74)</f>
      </c>
      <c r="Q74" s="448">
        <f>IF('[1]Tasa de Falla'!BV74=0,"",'[1]Tasa de Falla'!BV74)</f>
      </c>
      <c r="R74" s="448">
        <f>IF('[1]Tasa de Falla'!BW74=0,"",'[1]Tasa de Falla'!BW74)</f>
      </c>
      <c r="S74" s="443"/>
      <c r="T74" s="444"/>
    </row>
    <row r="75" spans="2:20" s="431" customFormat="1" ht="19.5" customHeight="1">
      <c r="B75" s="432"/>
      <c r="C75" s="439">
        <f>'[1]Tasa de Falla'!C75</f>
        <v>57</v>
      </c>
      <c r="D75" s="440" t="str">
        <f>'[1]Tasa de Falla'!D75</f>
        <v>CABRA CORRAL - SALTA ESTE</v>
      </c>
      <c r="E75" s="440">
        <f>'[1]Tasa de Falla'!E75</f>
        <v>132</v>
      </c>
      <c r="F75" s="441">
        <f>'[1]Tasa de Falla'!F75</f>
        <v>55</v>
      </c>
      <c r="G75" s="449" t="str">
        <f>IF('[1]Tasa de Falla'!BL75=0,"",'[1]Tasa de Falla'!BL75)</f>
        <v>XXXX</v>
      </c>
      <c r="H75" s="449" t="str">
        <f>IF('[1]Tasa de Falla'!BM75=0,"",'[1]Tasa de Falla'!BM75)</f>
        <v>XXXX</v>
      </c>
      <c r="I75" s="449" t="str">
        <f>IF('[1]Tasa de Falla'!BN75=0,"",'[1]Tasa de Falla'!BN75)</f>
        <v>XXXX</v>
      </c>
      <c r="J75" s="449" t="str">
        <f>IF('[1]Tasa de Falla'!BO75=0,"",'[1]Tasa de Falla'!BO75)</f>
        <v>XXXX</v>
      </c>
      <c r="K75" s="449" t="str">
        <f>IF('[1]Tasa de Falla'!BP75=0,"",'[1]Tasa de Falla'!BP75)</f>
        <v>XXXX</v>
      </c>
      <c r="L75" s="449" t="str">
        <f>IF('[1]Tasa de Falla'!BQ75=0,"",'[1]Tasa de Falla'!BQ75)</f>
        <v>XXXX</v>
      </c>
      <c r="M75" s="449" t="str">
        <f>IF('[1]Tasa de Falla'!BR75=0,"",'[1]Tasa de Falla'!BR75)</f>
        <v>XXXX</v>
      </c>
      <c r="N75" s="449" t="str">
        <f>IF('[1]Tasa de Falla'!BS75=0,"",'[1]Tasa de Falla'!BS75)</f>
        <v>XXXX</v>
      </c>
      <c r="O75" s="449" t="str">
        <f>IF('[1]Tasa de Falla'!BT75=0,"",'[1]Tasa de Falla'!BT75)</f>
        <v>XXXX</v>
      </c>
      <c r="P75" s="449" t="str">
        <f>IF('[1]Tasa de Falla'!BU75=0,"",'[1]Tasa de Falla'!BU75)</f>
        <v>XXXX</v>
      </c>
      <c r="Q75" s="449">
        <f>IF('[1]Tasa de Falla'!BV75=0,"",'[1]Tasa de Falla'!BV75)</f>
      </c>
      <c r="R75" s="449">
        <f>IF('[1]Tasa de Falla'!BW75=0,"",'[1]Tasa de Falla'!BW75)</f>
      </c>
      <c r="S75" s="443"/>
      <c r="T75" s="444"/>
    </row>
    <row r="76" spans="2:20" s="431" customFormat="1" ht="19.5" customHeight="1">
      <c r="B76" s="432"/>
      <c r="C76" s="445">
        <f>'[1]Tasa de Falla'!C76</f>
        <v>58</v>
      </c>
      <c r="D76" s="446" t="str">
        <f>'[1]Tasa de Falla'!D76</f>
        <v>SALTA ESTE - SALTA SUR</v>
      </c>
      <c r="E76" s="446">
        <f>'[1]Tasa de Falla'!E76</f>
        <v>132</v>
      </c>
      <c r="F76" s="447">
        <f>'[1]Tasa de Falla'!F76</f>
        <v>7</v>
      </c>
      <c r="G76" s="448" t="str">
        <f>IF('[1]Tasa de Falla'!BL76=0,"",'[1]Tasa de Falla'!BL76)</f>
        <v>XXXX</v>
      </c>
      <c r="H76" s="448" t="str">
        <f>IF('[1]Tasa de Falla'!BM76=0,"",'[1]Tasa de Falla'!BM76)</f>
        <v>XXXX</v>
      </c>
      <c r="I76" s="448" t="str">
        <f>IF('[1]Tasa de Falla'!BN76=0,"",'[1]Tasa de Falla'!BN76)</f>
        <v>XXXX</v>
      </c>
      <c r="J76" s="448" t="str">
        <f>IF('[1]Tasa de Falla'!BO76=0,"",'[1]Tasa de Falla'!BO76)</f>
        <v>XXXX</v>
      </c>
      <c r="K76" s="448" t="str">
        <f>IF('[1]Tasa de Falla'!BP76=0,"",'[1]Tasa de Falla'!BP76)</f>
        <v>XXXX</v>
      </c>
      <c r="L76" s="448" t="str">
        <f>IF('[1]Tasa de Falla'!BQ76=0,"",'[1]Tasa de Falla'!BQ76)</f>
        <v>XXXX</v>
      </c>
      <c r="M76" s="448" t="str">
        <f>IF('[1]Tasa de Falla'!BR76=0,"",'[1]Tasa de Falla'!BR76)</f>
        <v>XXXX</v>
      </c>
      <c r="N76" s="448" t="str">
        <f>IF('[1]Tasa de Falla'!BS76=0,"",'[1]Tasa de Falla'!BS76)</f>
        <v>XXXX</v>
      </c>
      <c r="O76" s="448" t="str">
        <f>IF('[1]Tasa de Falla'!BT76=0,"",'[1]Tasa de Falla'!BT76)</f>
        <v>XXXX</v>
      </c>
      <c r="P76" s="448" t="str">
        <f>IF('[1]Tasa de Falla'!BU76=0,"",'[1]Tasa de Falla'!BU76)</f>
        <v>XXXX</v>
      </c>
      <c r="Q76" s="448">
        <f>IF('[1]Tasa de Falla'!BV76=0,"",'[1]Tasa de Falla'!BV76)</f>
      </c>
      <c r="R76" s="448">
        <f>IF('[1]Tasa de Falla'!BW76=0,"",'[1]Tasa de Falla'!BW76)</f>
      </c>
      <c r="S76" s="443"/>
      <c r="T76" s="444"/>
    </row>
    <row r="77" spans="2:20" s="431" customFormat="1" ht="19.5" customHeight="1">
      <c r="B77" s="432"/>
      <c r="C77" s="439">
        <f>'[1]Tasa de Falla'!C77</f>
        <v>59</v>
      </c>
      <c r="D77" s="440" t="str">
        <f>'[1]Tasa de Falla'!D77</f>
        <v>VILLA QUINTEROS - ANDALGALA</v>
      </c>
      <c r="E77" s="440">
        <f>'[1]Tasa de Falla'!E77</f>
        <v>132</v>
      </c>
      <c r="F77" s="441">
        <f>'[1]Tasa de Falla'!F77</f>
        <v>102</v>
      </c>
      <c r="G77" s="449" t="str">
        <f>IF('[1]Tasa de Falla'!BL77=0,"",'[1]Tasa de Falla'!BL77)</f>
        <v>XXXX</v>
      </c>
      <c r="H77" s="449" t="str">
        <f>IF('[1]Tasa de Falla'!BM77=0,"",'[1]Tasa de Falla'!BM77)</f>
        <v>XXXX</v>
      </c>
      <c r="I77" s="449" t="str">
        <f>IF('[1]Tasa de Falla'!BN77=0,"",'[1]Tasa de Falla'!BN77)</f>
        <v>XXXX</v>
      </c>
      <c r="J77" s="449" t="str">
        <f>IF('[1]Tasa de Falla'!BO77=0,"",'[1]Tasa de Falla'!BO77)</f>
        <v>XXXX</v>
      </c>
      <c r="K77" s="449" t="str">
        <f>IF('[1]Tasa de Falla'!BP77=0,"",'[1]Tasa de Falla'!BP77)</f>
        <v>XXXX</v>
      </c>
      <c r="L77" s="449" t="str">
        <f>IF('[1]Tasa de Falla'!BQ77=0,"",'[1]Tasa de Falla'!BQ77)</f>
        <v>XXXX</v>
      </c>
      <c r="M77" s="449" t="str">
        <f>IF('[1]Tasa de Falla'!BR77=0,"",'[1]Tasa de Falla'!BR77)</f>
        <v>XXXX</v>
      </c>
      <c r="N77" s="449" t="str">
        <f>IF('[1]Tasa de Falla'!BS77=0,"",'[1]Tasa de Falla'!BS77)</f>
        <v>XXXX</v>
      </c>
      <c r="O77" s="449" t="str">
        <f>IF('[1]Tasa de Falla'!BT77=0,"",'[1]Tasa de Falla'!BT77)</f>
        <v>XXXX</v>
      </c>
      <c r="P77" s="449">
        <f>IF('[1]Tasa de Falla'!BU77=0,"",'[1]Tasa de Falla'!BU77)</f>
      </c>
      <c r="Q77" s="449">
        <f>IF('[1]Tasa de Falla'!BV77=0,"",'[1]Tasa de Falla'!BV77)</f>
        <v>1</v>
      </c>
      <c r="R77" s="449">
        <f>IF('[1]Tasa de Falla'!BW77=0,"",'[1]Tasa de Falla'!BW77)</f>
        <v>1</v>
      </c>
      <c r="S77" s="443"/>
      <c r="T77" s="444"/>
    </row>
    <row r="78" spans="2:20" s="431" customFormat="1" ht="19.5" customHeight="1">
      <c r="B78" s="432"/>
      <c r="C78" s="445"/>
      <c r="D78" s="446"/>
      <c r="E78" s="446"/>
      <c r="F78" s="447"/>
      <c r="G78" s="448" t="str">
        <f>IF('[1]Tasa de Falla'!BL78=0,"",'[1]Tasa de Falla'!BL78)</f>
        <v>XXXX</v>
      </c>
      <c r="H78" s="448" t="str">
        <f>IF('[1]Tasa de Falla'!BM78=0,"",'[1]Tasa de Falla'!BM78)</f>
        <v>XXXX</v>
      </c>
      <c r="I78" s="448" t="str">
        <f>IF('[1]Tasa de Falla'!BN78=0,"",'[1]Tasa de Falla'!BN78)</f>
        <v>XXXX</v>
      </c>
      <c r="J78" s="448" t="str">
        <f>IF('[1]Tasa de Falla'!BO78=0,"",'[1]Tasa de Falla'!BO78)</f>
        <v>XXXX</v>
      </c>
      <c r="K78" s="448" t="str">
        <f>IF('[1]Tasa de Falla'!BP78=0,"",'[1]Tasa de Falla'!BP78)</f>
        <v>XXXX</v>
      </c>
      <c r="L78" s="448" t="str">
        <f>IF('[1]Tasa de Falla'!BQ78=0,"",'[1]Tasa de Falla'!BQ78)</f>
        <v>XXXX</v>
      </c>
      <c r="M78" s="448" t="str">
        <f>IF('[1]Tasa de Falla'!BR78=0,"",'[1]Tasa de Falla'!BR78)</f>
        <v>XXXX</v>
      </c>
      <c r="N78" s="448" t="str">
        <f>IF('[1]Tasa de Falla'!BS78=0,"",'[1]Tasa de Falla'!BS78)</f>
        <v>XXXX</v>
      </c>
      <c r="O78" s="448" t="str">
        <f>IF('[1]Tasa de Falla'!BT78=0,"",'[1]Tasa de Falla'!BT78)</f>
        <v>XXXX</v>
      </c>
      <c r="P78" s="448">
        <f>IF('[1]Tasa de Falla'!BU78=0,"",'[1]Tasa de Falla'!BU78)</f>
      </c>
      <c r="Q78" s="448">
        <f>IF('[1]Tasa de Falla'!BV78=0,"",'[1]Tasa de Falla'!BV78)</f>
      </c>
      <c r="R78" s="448">
        <f>IF('[1]Tasa de Falla'!BW78=0,"",'[1]Tasa de Falla'!BW78)</f>
        <v>1</v>
      </c>
      <c r="S78" s="443"/>
      <c r="T78" s="444"/>
    </row>
    <row r="79" spans="2:20" s="431" customFormat="1" ht="19.5" customHeight="1">
      <c r="B79" s="432"/>
      <c r="C79" s="445">
        <f>'[1]Tasa de Falla'!C78</f>
        <v>60</v>
      </c>
      <c r="D79" s="446" t="str">
        <f>'[1]Tasa de Falla'!D78</f>
        <v>ANDALGALA - BELEN</v>
      </c>
      <c r="E79" s="446">
        <f>'[1]Tasa de Falla'!E78</f>
        <v>132</v>
      </c>
      <c r="F79" s="447">
        <f>'[1]Tasa de Falla'!F78</f>
        <v>80.3</v>
      </c>
      <c r="G79" s="448" t="str">
        <f>IF('[1]Tasa de Falla'!BL79=0,"",'[1]Tasa de Falla'!BL79)</f>
        <v>XXXX</v>
      </c>
      <c r="H79" s="448" t="str">
        <f>IF('[1]Tasa de Falla'!BM79=0,"",'[1]Tasa de Falla'!BM79)</f>
        <v>XXXX</v>
      </c>
      <c r="I79" s="448" t="str">
        <f>IF('[1]Tasa de Falla'!BN79=0,"",'[1]Tasa de Falla'!BN79)</f>
        <v>XXXX</v>
      </c>
      <c r="J79" s="448" t="str">
        <f>IF('[1]Tasa de Falla'!BO79=0,"",'[1]Tasa de Falla'!BO79)</f>
        <v>XXXX</v>
      </c>
      <c r="K79" s="448" t="str">
        <f>IF('[1]Tasa de Falla'!BP79=0,"",'[1]Tasa de Falla'!BP79)</f>
        <v>XXXX</v>
      </c>
      <c r="L79" s="448" t="str">
        <f>IF('[1]Tasa de Falla'!BQ79=0,"",'[1]Tasa de Falla'!BQ79)</f>
        <v>XXXX</v>
      </c>
      <c r="M79" s="448" t="str">
        <f>IF('[1]Tasa de Falla'!BR79=0,"",'[1]Tasa de Falla'!BR79)</f>
        <v>XXXX</v>
      </c>
      <c r="N79" s="448" t="str">
        <f>IF('[1]Tasa de Falla'!BS79=0,"",'[1]Tasa de Falla'!BS79)</f>
        <v>XXXX</v>
      </c>
      <c r="O79" s="448" t="str">
        <f>IF('[1]Tasa de Falla'!BT79=0,"",'[1]Tasa de Falla'!BT79)</f>
        <v>XXXX</v>
      </c>
      <c r="P79" s="448" t="str">
        <f>IF('[1]Tasa de Falla'!BU79=0,"",'[1]Tasa de Falla'!BU79)</f>
        <v>XXXX</v>
      </c>
      <c r="Q79" s="448" t="str">
        <f>IF('[1]Tasa de Falla'!BV79=0,"",'[1]Tasa de Falla'!BV79)</f>
        <v>XXXX</v>
      </c>
      <c r="R79" s="448">
        <f>IF('[1]Tasa de Falla'!BW79=0,"",'[1]Tasa de Falla'!BW79)</f>
      </c>
      <c r="S79" s="443"/>
      <c r="T79" s="444"/>
    </row>
    <row r="80" spans="2:20" s="431" customFormat="1" ht="19.5" customHeight="1">
      <c r="B80" s="432"/>
      <c r="C80" s="439">
        <f>'[1]Tasa de Falla'!C79</f>
        <v>61</v>
      </c>
      <c r="D80" s="440" t="str">
        <f>'[1]Tasa de Falla'!D79</f>
        <v>TUCUMAN NORTE - TRANCAS</v>
      </c>
      <c r="E80" s="440">
        <f>'[1]Tasa de Falla'!E79</f>
        <v>132</v>
      </c>
      <c r="F80" s="441">
        <f>'[1]Tasa de Falla'!F79</f>
        <v>75</v>
      </c>
      <c r="G80" s="449" t="str">
        <f>IF('[1]Tasa de Falla'!BL80=0,"",'[1]Tasa de Falla'!BL80)</f>
        <v>XXXX</v>
      </c>
      <c r="H80" s="449" t="str">
        <f>IF('[1]Tasa de Falla'!BM80=0,"",'[1]Tasa de Falla'!BM80)</f>
        <v>XXXX</v>
      </c>
      <c r="I80" s="449" t="str">
        <f>IF('[1]Tasa de Falla'!BN80=0,"",'[1]Tasa de Falla'!BN80)</f>
        <v>XXXX</v>
      </c>
      <c r="J80" s="449" t="str">
        <f>IF('[1]Tasa de Falla'!BO80=0,"",'[1]Tasa de Falla'!BO80)</f>
        <v>XXXX</v>
      </c>
      <c r="K80" s="449" t="str">
        <f>IF('[1]Tasa de Falla'!BP80=0,"",'[1]Tasa de Falla'!BP80)</f>
        <v>XXXX</v>
      </c>
      <c r="L80" s="449" t="str">
        <f>IF('[1]Tasa de Falla'!BQ80=0,"",'[1]Tasa de Falla'!BQ80)</f>
        <v>XXXX</v>
      </c>
      <c r="M80" s="449" t="str">
        <f>IF('[1]Tasa de Falla'!BR80=0,"",'[1]Tasa de Falla'!BR80)</f>
        <v>XXXX</v>
      </c>
      <c r="N80" s="449" t="str">
        <f>IF('[1]Tasa de Falla'!BS80=0,"",'[1]Tasa de Falla'!BS80)</f>
        <v>XXXX</v>
      </c>
      <c r="O80" s="449" t="str">
        <f>IF('[1]Tasa de Falla'!BT80=0,"",'[1]Tasa de Falla'!BT80)</f>
        <v>XXXX</v>
      </c>
      <c r="P80" s="449" t="str">
        <f>IF('[1]Tasa de Falla'!BU80=0,"",'[1]Tasa de Falla'!BU80)</f>
        <v>XXXX</v>
      </c>
      <c r="Q80" s="449" t="str">
        <f>IF('[1]Tasa de Falla'!BV80=0,"",'[1]Tasa de Falla'!BV80)</f>
        <v>XXXX</v>
      </c>
      <c r="R80" s="449">
        <f>IF('[1]Tasa de Falla'!BW80=0,"",'[1]Tasa de Falla'!BW80)</f>
      </c>
      <c r="S80" s="443"/>
      <c r="T80" s="444"/>
    </row>
    <row r="81" spans="2:20" s="431" customFormat="1" ht="19.5" customHeight="1">
      <c r="B81" s="432"/>
      <c r="C81" s="445">
        <f>'[1]Tasa de Falla'!C80</f>
        <v>62</v>
      </c>
      <c r="D81" s="446" t="str">
        <f>'[1]Tasa de Falla'!D80</f>
        <v>CABRA CORRAL - TRANCAS</v>
      </c>
      <c r="E81" s="446">
        <f>'[1]Tasa de Falla'!E80</f>
        <v>132</v>
      </c>
      <c r="F81" s="447">
        <f>'[1]Tasa de Falla'!F80</f>
        <v>115</v>
      </c>
      <c r="G81" s="448">
        <f>IF('[1]Tasa de Falla'!BL81=0,"",'[1]Tasa de Falla'!BL81)</f>
      </c>
      <c r="H81" s="448">
        <f>IF('[1]Tasa de Falla'!BM81=0,"",'[1]Tasa de Falla'!BM81)</f>
      </c>
      <c r="I81" s="448">
        <f>IF('[1]Tasa de Falla'!BN81=0,"",'[1]Tasa de Falla'!BN81)</f>
      </c>
      <c r="J81" s="448">
        <f>IF('[1]Tasa de Falla'!BO81=0,"",'[1]Tasa de Falla'!BO81)</f>
      </c>
      <c r="K81" s="448">
        <f>IF('[1]Tasa de Falla'!BP81=0,"",'[1]Tasa de Falla'!BP81)</f>
      </c>
      <c r="L81" s="448">
        <f>IF('[1]Tasa de Falla'!BQ81=0,"",'[1]Tasa de Falla'!BQ81)</f>
      </c>
      <c r="M81" s="448">
        <f>IF('[1]Tasa de Falla'!BR81=0,"",'[1]Tasa de Falla'!BR81)</f>
      </c>
      <c r="N81" s="448">
        <f>IF('[1]Tasa de Falla'!BS81=0,"",'[1]Tasa de Falla'!BS81)</f>
      </c>
      <c r="O81" s="448">
        <f>IF('[1]Tasa de Falla'!BT81=0,"",'[1]Tasa de Falla'!BT81)</f>
      </c>
      <c r="P81" s="448">
        <f>IF('[1]Tasa de Falla'!BU81=0,"",'[1]Tasa de Falla'!BU81)</f>
      </c>
      <c r="Q81" s="448">
        <f>IF('[1]Tasa de Falla'!BV81=0,"",'[1]Tasa de Falla'!BV81)</f>
      </c>
      <c r="R81" s="448">
        <f>IF('[1]Tasa de Falla'!BW81=0,"",'[1]Tasa de Falla'!BW81)</f>
      </c>
      <c r="S81" s="443"/>
      <c r="T81" s="444"/>
    </row>
    <row r="82" spans="2:20" s="431" customFormat="1" ht="19.5" customHeight="1" thickBot="1">
      <c r="B82" s="432"/>
      <c r="C82" s="452"/>
      <c r="D82" s="453"/>
      <c r="E82" s="454"/>
      <c r="F82" s="455"/>
      <c r="G82" s="456"/>
      <c r="H82" s="456"/>
      <c r="I82" s="456"/>
      <c r="J82" s="456"/>
      <c r="K82" s="456"/>
      <c r="L82" s="456"/>
      <c r="M82" s="456"/>
      <c r="N82" s="456"/>
      <c r="O82" s="456"/>
      <c r="P82" s="456"/>
      <c r="Q82" s="456"/>
      <c r="R82" s="456"/>
      <c r="S82" s="443"/>
      <c r="T82" s="444"/>
    </row>
    <row r="83" spans="2:20" ht="15" customHeight="1" thickBot="1" thickTop="1">
      <c r="B83" s="417"/>
      <c r="C83" s="123"/>
      <c r="D83" s="205"/>
      <c r="E83" s="457" t="s">
        <v>119</v>
      </c>
      <c r="F83" s="458">
        <f>SUM(F17:F82)-F19-F22-F26-F39-F80-F81</f>
        <v>2947.76</v>
      </c>
      <c r="G83" s="459"/>
      <c r="H83" s="460"/>
      <c r="I83" s="460"/>
      <c r="J83" s="460"/>
      <c r="K83" s="460"/>
      <c r="L83" s="460"/>
      <c r="M83" s="460"/>
      <c r="N83" s="460"/>
      <c r="O83" s="460"/>
      <c r="P83" s="460"/>
      <c r="Q83" s="460"/>
      <c r="R83" s="461"/>
      <c r="S83" s="462"/>
      <c r="T83" s="463"/>
    </row>
    <row r="84" spans="2:20" ht="15" customHeight="1" thickBot="1" thickTop="1">
      <c r="B84" s="417"/>
      <c r="C84" s="7"/>
      <c r="D84" s="464"/>
      <c r="F84" s="465" t="s">
        <v>120</v>
      </c>
      <c r="G84" s="466">
        <f aca="true" t="shared" si="0" ref="G84:R84">SUM(G17:G82)</f>
        <v>8</v>
      </c>
      <c r="H84" s="466">
        <f t="shared" si="0"/>
        <v>5</v>
      </c>
      <c r="I84" s="466">
        <f t="shared" si="0"/>
        <v>2</v>
      </c>
      <c r="J84" s="466">
        <f t="shared" si="0"/>
        <v>5</v>
      </c>
      <c r="K84" s="466">
        <f t="shared" si="0"/>
        <v>3</v>
      </c>
      <c r="L84" s="466">
        <f t="shared" si="0"/>
        <v>15</v>
      </c>
      <c r="M84" s="466">
        <f t="shared" si="0"/>
        <v>10</v>
      </c>
      <c r="N84" s="466">
        <f t="shared" si="0"/>
        <v>0</v>
      </c>
      <c r="O84" s="466">
        <f t="shared" si="0"/>
        <v>6</v>
      </c>
      <c r="P84" s="466">
        <f t="shared" si="0"/>
        <v>8</v>
      </c>
      <c r="Q84" s="466">
        <f t="shared" si="0"/>
        <v>11</v>
      </c>
      <c r="R84" s="466">
        <f t="shared" si="0"/>
        <v>16</v>
      </c>
      <c r="S84" s="467"/>
      <c r="T84" s="468"/>
    </row>
    <row r="85" spans="2:20" ht="17.25" thickBot="1" thickTop="1">
      <c r="B85" s="417"/>
      <c r="C85" s="7"/>
      <c r="D85" s="7"/>
      <c r="E85" s="7"/>
      <c r="F85" s="469" t="s">
        <v>121</v>
      </c>
      <c r="G85" s="470">
        <f>+'[1]Tasa de Falla'!BL100</f>
        <v>3.04</v>
      </c>
      <c r="H85" s="470">
        <f>+'[1]Tasa de Falla'!BM100</f>
        <v>2.75</v>
      </c>
      <c r="I85" s="470">
        <f>+'[1]Tasa de Falla'!BN100</f>
        <v>2.93</v>
      </c>
      <c r="J85" s="470">
        <f>+'[1]Tasa de Falla'!BO100</f>
        <v>2.89</v>
      </c>
      <c r="K85" s="470">
        <f>+'[1]Tasa de Falla'!BP100</f>
        <v>2.86</v>
      </c>
      <c r="L85" s="470">
        <f>+'[1]Tasa de Falla'!BQ100</f>
        <v>2.71</v>
      </c>
      <c r="M85" s="470">
        <f>+'[1]Tasa de Falla'!BR100</f>
        <v>3.25</v>
      </c>
      <c r="N85" s="470">
        <f>+'[1]Tasa de Falla'!BS100</f>
        <v>3.22</v>
      </c>
      <c r="O85" s="470">
        <f>+'[1]Tasa de Falla'!BT100</f>
        <v>3</v>
      </c>
      <c r="P85" s="470">
        <f>+'[1]Tasa de Falla'!BU100</f>
        <v>2.93</v>
      </c>
      <c r="Q85" s="470">
        <f>+'[1]Tasa de Falla'!BV100</f>
        <v>2.92</v>
      </c>
      <c r="R85" s="470">
        <f>+'[1]Tasa de Falla'!BW100</f>
        <v>3.02</v>
      </c>
      <c r="S85" s="470">
        <f>ROUND(SUM(G84:R84)/$F$83*100,2)</f>
        <v>3.02</v>
      </c>
      <c r="T85" s="471"/>
    </row>
    <row r="86" spans="2:21" ht="18.75" customHeight="1" thickBot="1" thickTop="1">
      <c r="B86" s="417"/>
      <c r="C86" s="472"/>
      <c r="D86" s="86" t="s">
        <v>122</v>
      </c>
      <c r="E86" s="473"/>
      <c r="F86" s="474"/>
      <c r="G86" s="475"/>
      <c r="H86" s="475"/>
      <c r="I86" s="475"/>
      <c r="J86" s="475"/>
      <c r="K86" s="476"/>
      <c r="L86" s="476"/>
      <c r="M86" s="476"/>
      <c r="N86" s="476"/>
      <c r="O86" s="477"/>
      <c r="P86" s="476"/>
      <c r="Q86" s="476"/>
      <c r="R86" s="478"/>
      <c r="S86" s="478"/>
      <c r="T86" s="479"/>
      <c r="U86" s="480"/>
    </row>
    <row r="87" spans="2:20" ht="21.75" thickBot="1" thickTop="1">
      <c r="B87" s="481"/>
      <c r="C87" s="482" t="s">
        <v>123</v>
      </c>
      <c r="D87" s="86" t="s">
        <v>124</v>
      </c>
      <c r="E87" s="7"/>
      <c r="F87" s="483"/>
      <c r="G87" s="484"/>
      <c r="H87" s="484"/>
      <c r="I87" s="485" t="s">
        <v>125</v>
      </c>
      <c r="J87" s="486">
        <f>+S85</f>
        <v>3.02</v>
      </c>
      <c r="K87" s="487" t="s">
        <v>126</v>
      </c>
      <c r="L87" s="484"/>
      <c r="M87" s="484"/>
      <c r="N87" s="488"/>
      <c r="P87" s="489"/>
      <c r="Q87" s="1"/>
      <c r="R87" s="1"/>
      <c r="S87" s="1"/>
      <c r="T87" s="421"/>
    </row>
    <row r="88" spans="2:20" ht="18.75" customHeight="1" thickBot="1">
      <c r="B88" s="490"/>
      <c r="C88" s="491"/>
      <c r="D88" s="133"/>
      <c r="E88" s="133"/>
      <c r="F88" s="492"/>
      <c r="G88" s="493"/>
      <c r="H88" s="493"/>
      <c r="I88" s="493"/>
      <c r="J88" s="493"/>
      <c r="K88" s="493"/>
      <c r="L88" s="493"/>
      <c r="M88" s="493"/>
      <c r="N88" s="493"/>
      <c r="O88" s="493"/>
      <c r="P88" s="493"/>
      <c r="Q88" s="494"/>
      <c r="R88" s="494"/>
      <c r="S88" s="494"/>
      <c r="T88" s="495"/>
    </row>
    <row r="89" spans="2:21" ht="15" customHeight="1" thickTop="1">
      <c r="B89" s="496"/>
      <c r="C89" s="1"/>
      <c r="D89" s="1"/>
      <c r="E89" s="1"/>
      <c r="F89" s="497"/>
      <c r="G89" s="489"/>
      <c r="H89" s="489"/>
      <c r="I89" s="489"/>
      <c r="J89" s="489"/>
      <c r="K89" s="489"/>
      <c r="L89" s="489"/>
      <c r="M89" s="489"/>
      <c r="N89" s="489"/>
      <c r="O89" s="489"/>
      <c r="P89" s="489"/>
      <c r="Q89" s="1"/>
      <c r="R89" s="1"/>
      <c r="S89" s="1"/>
      <c r="T89" s="1"/>
      <c r="U89" s="1"/>
    </row>
    <row r="90" spans="2:21" ht="12.75">
      <c r="B90" s="498"/>
      <c r="C90" s="499"/>
      <c r="D90" s="499"/>
      <c r="E90" s="499"/>
      <c r="F90" s="499"/>
      <c r="G90" s="499"/>
      <c r="H90" s="499"/>
      <c r="I90" s="499"/>
      <c r="J90" s="499"/>
      <c r="K90" s="499"/>
      <c r="L90" s="499"/>
      <c r="M90" s="499"/>
      <c r="N90" s="499"/>
      <c r="O90" s="499"/>
      <c r="P90" s="499"/>
      <c r="Q90" s="499"/>
      <c r="R90" s="499"/>
      <c r="S90" s="499"/>
      <c r="T90" s="499"/>
      <c r="U90" s="499"/>
    </row>
    <row r="91" ht="12.75">
      <c r="B91" s="500"/>
    </row>
    <row r="92" spans="2:21" ht="22.5" customHeight="1">
      <c r="B92" s="1"/>
      <c r="D92" s="1"/>
      <c r="E92" s="1"/>
      <c r="F92" s="1"/>
      <c r="G92" s="501"/>
      <c r="H92" s="489"/>
      <c r="I92" s="489"/>
      <c r="J92" s="489"/>
      <c r="K92" s="489"/>
      <c r="L92" s="489"/>
      <c r="M92" s="489"/>
      <c r="N92" s="489"/>
      <c r="O92" s="489"/>
      <c r="P92" s="489"/>
      <c r="Q92" s="1"/>
      <c r="R92" s="1"/>
      <c r="S92" s="1"/>
      <c r="T92" s="1"/>
      <c r="U92" s="1"/>
    </row>
    <row r="93" spans="2:21" ht="22.5" customHeight="1">
      <c r="B93" s="1"/>
      <c r="C93" s="1"/>
      <c r="D93" s="502"/>
      <c r="E93" s="502"/>
      <c r="F93" s="419"/>
      <c r="G93" s="501"/>
      <c r="H93" s="501"/>
      <c r="I93" s="501"/>
      <c r="J93" s="501"/>
      <c r="K93" s="501"/>
      <c r="L93" s="501"/>
      <c r="M93" s="501"/>
      <c r="N93" s="501"/>
      <c r="O93" s="501"/>
      <c r="P93" s="501"/>
      <c r="Q93" s="501"/>
      <c r="R93" s="501"/>
      <c r="S93" s="501"/>
      <c r="T93" s="501"/>
      <c r="U93" s="501"/>
    </row>
    <row r="94" spans="2:21" ht="22.5" customHeight="1">
      <c r="B94" s="1"/>
      <c r="C94" s="1"/>
      <c r="D94" s="502"/>
      <c r="E94" s="502"/>
      <c r="F94" s="503"/>
      <c r="G94" s="501"/>
      <c r="H94" s="489"/>
      <c r="I94" s="489"/>
      <c r="J94" s="489"/>
      <c r="K94" s="489"/>
      <c r="L94" s="489"/>
      <c r="M94" s="489"/>
      <c r="N94" s="489"/>
      <c r="O94" s="489"/>
      <c r="P94" s="489"/>
      <c r="Q94" s="1"/>
      <c r="R94" s="1"/>
      <c r="S94" s="1"/>
      <c r="T94" s="1"/>
      <c r="U94" s="1"/>
    </row>
    <row r="95" spans="2:21" ht="22.5" customHeight="1">
      <c r="B95" s="1"/>
      <c r="C95" s="1"/>
      <c r="D95" s="420"/>
      <c r="E95" s="420"/>
      <c r="F95" s="420"/>
      <c r="G95" s="504"/>
      <c r="H95" s="489"/>
      <c r="I95" s="489"/>
      <c r="J95" s="489"/>
      <c r="K95" s="489"/>
      <c r="L95" s="489"/>
      <c r="M95" s="489"/>
      <c r="N95" s="489"/>
      <c r="O95" s="489"/>
      <c r="P95" s="489"/>
      <c r="Q95" s="1"/>
      <c r="R95" s="1"/>
      <c r="S95" s="1"/>
      <c r="T95" s="1"/>
      <c r="U95" s="1"/>
    </row>
    <row r="96" spans="2:21" ht="22.5" customHeight="1">
      <c r="B96" s="1"/>
      <c r="C96" s="1"/>
      <c r="D96" s="502"/>
      <c r="E96" s="502"/>
      <c r="F96" s="420"/>
      <c r="G96" s="504"/>
      <c r="H96" s="489"/>
      <c r="I96" s="489"/>
      <c r="J96" s="489"/>
      <c r="K96" s="489"/>
      <c r="L96" s="489"/>
      <c r="M96" s="489"/>
      <c r="N96" s="489"/>
      <c r="O96" s="489"/>
      <c r="P96" s="489"/>
      <c r="Q96" s="1"/>
      <c r="R96" s="1"/>
      <c r="S96" s="1"/>
      <c r="T96" s="1"/>
      <c r="U96" s="1"/>
    </row>
    <row r="97" spans="7:16" ht="22.5" customHeight="1">
      <c r="G97" s="489"/>
      <c r="H97" s="505"/>
      <c r="I97" s="505"/>
      <c r="J97" s="505"/>
      <c r="K97" s="505"/>
      <c r="L97" s="505"/>
      <c r="M97" s="505"/>
      <c r="N97" s="505"/>
      <c r="O97" s="505"/>
      <c r="P97" s="505"/>
    </row>
    <row r="98" spans="7:16" ht="22.5" customHeight="1">
      <c r="G98" s="489"/>
      <c r="H98" s="505"/>
      <c r="I98" s="505"/>
      <c r="J98" s="505"/>
      <c r="K98" s="505"/>
      <c r="L98" s="505"/>
      <c r="M98" s="505"/>
      <c r="N98" s="505"/>
      <c r="O98" s="505"/>
      <c r="P98" s="505"/>
    </row>
    <row r="99" ht="22.5" customHeight="1">
      <c r="G99" s="1"/>
    </row>
    <row r="100" ht="22.5" customHeight="1">
      <c r="G100" s="1"/>
    </row>
    <row r="101" ht="22.5" customHeight="1">
      <c r="G101" s="1"/>
    </row>
    <row r="102" ht="22.5" customHeight="1">
      <c r="G102" s="1"/>
    </row>
    <row r="103" ht="22.5" customHeight="1">
      <c r="G103" s="1"/>
    </row>
    <row r="104" ht="22.5" customHeight="1">
      <c r="G104" s="1"/>
    </row>
    <row r="105" ht="22.5" customHeight="1">
      <c r="G105" s="1"/>
    </row>
    <row r="106" ht="22.5" customHeight="1">
      <c r="G106" s="1"/>
    </row>
    <row r="107" ht="22.5" customHeight="1">
      <c r="G107" s="1"/>
    </row>
    <row r="108" ht="22.5" customHeight="1">
      <c r="G108" s="1"/>
    </row>
    <row r="109" ht="22.5" customHeight="1"/>
    <row r="110" ht="22.5" customHeight="1"/>
    <row r="111" ht="22.5" customHeight="1"/>
    <row r="112" ht="22.5" customHeight="1">
      <c r="G112" s="1"/>
    </row>
    <row r="113" ht="12.75"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  <row r="118" ht="12.75">
      <c r="G118" s="1"/>
    </row>
  </sheetData>
  <mergeCells count="2">
    <mergeCell ref="A3:C3"/>
    <mergeCell ref="A4:C4"/>
  </mergeCells>
  <printOptions/>
  <pageMargins left="0.67" right="0.3937007874015748" top="0.5905511811023623" bottom="0.5905511811023623" header="0.5118110236220472" footer="0.3937007874015748"/>
  <pageSetup fitToHeight="1" fitToWidth="1" horizontalDpi="300" verticalDpi="300" orientation="portrait" paperSize="9" scale="43" r:id="rId2"/>
  <headerFooter alignWithMargins="0">
    <oddFooter xml:space="preserve">&amp;L&amp;"Times New Roman,Normal"&amp;6&amp;F - TRANSPORTE de ENERGÍA ELÉCTRICA - AJF/fb - &amp;P/&amp;N&amp;C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Juan Pablo Llorens</cp:lastModifiedBy>
  <cp:lastPrinted>2001-02-09T19:31:29Z</cp:lastPrinted>
  <dcterms:created xsi:type="dcterms:W3CDTF">1998-04-21T14:04:37Z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