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213" sheetId="1" r:id="rId1"/>
    <sheet name="LI-02 (1)" sheetId="2" r:id="rId2"/>
    <sheet name="T-02 (1)" sheetId="3" r:id="rId3"/>
    <sheet name="SA-02 (1)" sheetId="4" r:id="rId4"/>
    <sheet name="TASA FALLA" sheetId="5" r:id="rId5"/>
  </sheets>
  <externalReferences>
    <externalReference r:id="rId8"/>
    <externalReference r:id="rId9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<sst xmlns="http://schemas.openxmlformats.org/spreadsheetml/2006/main" count="167" uniqueCount="104">
  <si>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</si>
  <si>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</si>
  <si>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</si>
  <si>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</si>
  <si>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</si>
  <si>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</si>
  <si>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</si>
  <si>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</si>
  <si>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</si>
  <si>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</si>
  <si>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</si>
  <si>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</si>
  <si>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</si>
  <si>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</si>
  <si>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</si>
  <si>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</si>
  <si>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</si>
  <si>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</si>
  <si>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</si>
  <si>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</si>
  <si>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</si>
  <si>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</si>
  <si>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</si>
  <si>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</si>
  <si>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</si>
  <si>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</si>
  <si>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</si>
  <si>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</si>
  <si>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</si>
  <si>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</si>
  <si>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</si>
  <si>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</si>
  <si>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</si>
  <si>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</si>
  <si>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</si>
  <si>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</si>
  <si>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</si>
  <si>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</si>
  <si>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</si>
  <si>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</si>
  <si>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</si>
  <si>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</si>
  <si>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</si>
  <si>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</si>
  <si>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</si>
  <si>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</si>
  <si>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</si>
  <si>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</si>
  <si>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</si>
  <si>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</si>
  <si>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</si>
  <si>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</si>
  <si>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</si>
  <si>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</si>
  <si>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</si>
  <si>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</si>
  <si>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</si>
  <si>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</si>
  <si>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</si>
  <si>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</si>
  <si>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</si>
  <si>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</si>
  <si>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Valores remuneratorios según Res. ENRE 425/06</t>
  </si>
  <si>
    <t>INDISP</t>
  </si>
  <si>
    <t>ID EQUIPO</t>
  </si>
  <si>
    <t>Desde el 01 al 28 de febrero de 2013</t>
  </si>
  <si>
    <t>LOS REYUNOS - GRAN MENDOZA</t>
  </si>
  <si>
    <t>P</t>
  </si>
  <si>
    <t>PEDRO VARGAS - CAPIZ</t>
  </si>
  <si>
    <t>MONTE CASEROS MZA. - GRAN MZA.  1</t>
  </si>
  <si>
    <t>SAN JUAN</t>
  </si>
  <si>
    <t>TRAFO 1</t>
  </si>
  <si>
    <t>132/66/13,2</t>
  </si>
  <si>
    <t>TRAFO 4</t>
  </si>
  <si>
    <t>132/33/13,2</t>
  </si>
  <si>
    <t>F</t>
  </si>
  <si>
    <t>SI</t>
  </si>
  <si>
    <t>MONTE CASEROS MZA.</t>
  </si>
  <si>
    <t>TRAFO 2</t>
  </si>
  <si>
    <t>RP</t>
  </si>
  <si>
    <t>TRAFO 3</t>
  </si>
  <si>
    <t>CAPIZ</t>
  </si>
  <si>
    <t>SALIDA LINEA TUNUYAN</t>
  </si>
  <si>
    <t>MONTECASEROS MZA.</t>
  </si>
  <si>
    <t>SALIDA JUNIN</t>
  </si>
  <si>
    <t>SALIDA CHIMBAS</t>
  </si>
  <si>
    <t>SALIDA LAS MARGARITAS</t>
  </si>
  <si>
    <t>P - PROGRAMADA</t>
  </si>
  <si>
    <t>P - PROGRAMADA  ; F - FORZADA  ; RP - REDUCCCION PROGRAMADA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</si>
  <si>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</si>
  <si>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Res SE 01-03</t>
  </si>
  <si>
    <t xml:space="preserve">        DE LA ELECTRICIDAD</t>
  </si>
  <si>
    <t>TOTAL DE PENALIZACIONES A APLICAR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</si>
  <si>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</si>
  <si>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</si>
  <si>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</si>
  <si>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</si>
  <si>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</si>
  <si>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</si>
  <si>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</si>
  <si>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</si>
  <si>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</si>
  <si>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Febrero de 2013 </t>
  </si>
  <si>
    <t>ANEXO III al Memorándum  D.T.E.E.  N° 376/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</si>
</sst>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93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Times New Roman"/>
      <family val="1"/>
    </font>
    <font>
      <b/>
      <u val="single"/>
      <sz val="24"/>
      <name val="Times New Roman"/>
      <family val="1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4" borderId="0" applyNumberFormat="0" applyBorder="0" applyAlignment="0" applyProtection="0"/>
    <xf numFmtId="0" fontId="65" fillId="16" borderId="1" applyNumberFormat="0" applyAlignment="0" applyProtection="0"/>
    <xf numFmtId="0" fontId="66" fillId="1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21" borderId="0" applyNumberFormat="0" applyBorder="0" applyAlignment="0" applyProtection="0"/>
    <xf numFmtId="0" fontId="6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2" fillId="16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492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ill="1" applyBorder="1">
      <alignment/>
      <protection/>
    </xf>
    <xf numFmtId="0" fontId="6" fillId="0" borderId="0" xfId="53" applyFont="1" applyBorder="1" applyAlignment="1" applyProtection="1">
      <alignment horizontal="center"/>
      <protection/>
    </xf>
    <xf numFmtId="0" fontId="6" fillId="0" borderId="0" xfId="53" applyFont="1" applyBorder="1" applyAlignment="1">
      <alignment horizontal="center"/>
      <protection/>
    </xf>
    <xf numFmtId="2" fontId="6" fillId="0" borderId="0" xfId="53" applyNumberFormat="1" applyFont="1" applyBorder="1" applyAlignment="1" applyProtection="1">
      <alignment horizontal="center"/>
      <protection/>
    </xf>
    <xf numFmtId="0" fontId="8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10" fillId="0" borderId="0" xfId="53" applyFont="1" applyAlignment="1">
      <alignment horizontal="centerContinuous"/>
      <protection/>
    </xf>
    <xf numFmtId="0" fontId="8" fillId="0" borderId="0" xfId="53" applyFont="1" applyAlignment="1">
      <alignment horizontal="centerContinuous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Continuous"/>
      <protection/>
    </xf>
    <xf numFmtId="0" fontId="6" fillId="0" borderId="0" xfId="53" applyFont="1" applyBorder="1">
      <alignment/>
      <protection/>
    </xf>
    <xf numFmtId="0" fontId="11" fillId="0" borderId="0" xfId="53" applyFont="1">
      <alignment/>
      <protection/>
    </xf>
    <xf numFmtId="0" fontId="11" fillId="0" borderId="0" xfId="53" applyFont="1" applyBorder="1">
      <alignment/>
      <protection/>
    </xf>
    <xf numFmtId="0" fontId="12" fillId="0" borderId="0" xfId="53" applyFont="1" applyFill="1" applyBorder="1" applyAlignment="1" applyProtection="1">
      <alignment horizontal="left"/>
      <protection/>
    </xf>
    <xf numFmtId="0" fontId="8" fillId="0" borderId="0" xfId="53" applyFont="1" applyBorder="1">
      <alignment/>
      <protection/>
    </xf>
    <xf numFmtId="0" fontId="13" fillId="0" borderId="0" xfId="53" applyFont="1">
      <alignment/>
      <protection/>
    </xf>
    <xf numFmtId="0" fontId="14" fillId="0" borderId="0" xfId="53" applyFont="1" applyBorder="1" applyAlignment="1">
      <alignment horizontal="centerContinuous"/>
      <protection/>
    </xf>
    <xf numFmtId="0" fontId="15" fillId="0" borderId="0" xfId="53" applyFont="1" applyAlignment="1">
      <alignment horizontal="centerContinuous"/>
      <protection/>
    </xf>
    <xf numFmtId="0" fontId="13" fillId="0" borderId="0" xfId="53" applyFont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13" fillId="0" borderId="0" xfId="53" applyFont="1" applyBorder="1">
      <alignment/>
      <protection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0" fontId="18" fillId="0" borderId="0" xfId="53" applyFont="1" applyBorder="1">
      <alignment/>
      <protection/>
    </xf>
    <xf numFmtId="0" fontId="17" fillId="0" borderId="0" xfId="53" applyFont="1" applyBorder="1">
      <alignment/>
      <protection/>
    </xf>
    <xf numFmtId="0" fontId="19" fillId="0" borderId="10" xfId="53" applyFont="1" applyBorder="1">
      <alignment/>
      <protection/>
    </xf>
    <xf numFmtId="0" fontId="19" fillId="0" borderId="11" xfId="53" applyFont="1" applyBorder="1">
      <alignment/>
      <protection/>
    </xf>
    <xf numFmtId="0" fontId="17" fillId="0" borderId="11" xfId="53" applyFont="1" applyBorder="1">
      <alignment/>
      <protection/>
    </xf>
    <xf numFmtId="0" fontId="17" fillId="0" borderId="12" xfId="53" applyFont="1" applyBorder="1">
      <alignment/>
      <protection/>
    </xf>
    <xf numFmtId="0" fontId="20" fillId="0" borderId="13" xfId="53" applyFont="1" applyBorder="1" applyAlignment="1">
      <alignment horizontal="centerContinuous"/>
      <protection/>
    </xf>
    <xf numFmtId="0" fontId="1" fillId="0" borderId="0" xfId="53" applyNumberFormat="1" applyAlignment="1">
      <alignment horizontal="centerContinuous"/>
      <protection/>
    </xf>
    <xf numFmtId="0" fontId="13" fillId="0" borderId="0" xfId="53" applyNumberFormat="1" applyFont="1" applyAlignment="1">
      <alignment horizontal="centerContinuous"/>
      <protection/>
    </xf>
    <xf numFmtId="0" fontId="20" fillId="0" borderId="0" xfId="53" applyFont="1" applyBorder="1" applyAlignment="1">
      <alignment horizontal="centerContinuous"/>
      <protection/>
    </xf>
    <xf numFmtId="0" fontId="13" fillId="0" borderId="14" xfId="53" applyFont="1" applyBorder="1" applyAlignment="1">
      <alignment horizontal="centerContinuous"/>
      <protection/>
    </xf>
    <xf numFmtId="0" fontId="13" fillId="0" borderId="13" xfId="53" applyFont="1" applyBorder="1">
      <alignment/>
      <protection/>
    </xf>
    <xf numFmtId="0" fontId="21" fillId="0" borderId="0" xfId="53" applyNumberFormat="1" applyFont="1" applyBorder="1" applyAlignment="1">
      <alignment horizontal="right"/>
      <protection/>
    </xf>
    <xf numFmtId="0" fontId="20" fillId="0" borderId="0" xfId="53" applyFont="1" applyBorder="1">
      <alignment/>
      <protection/>
    </xf>
    <xf numFmtId="0" fontId="13" fillId="0" borderId="14" xfId="53" applyFont="1" applyBorder="1">
      <alignment/>
      <protection/>
    </xf>
    <xf numFmtId="0" fontId="21" fillId="0" borderId="0" xfId="53" applyNumberFormat="1" applyFont="1" applyBorder="1" applyAlignment="1">
      <alignment horizontal="centerContinuous"/>
      <protection/>
    </xf>
    <xf numFmtId="0" fontId="21" fillId="0" borderId="0" xfId="53" applyNumberFormat="1" applyFont="1" applyBorder="1" applyAlignment="1">
      <alignment horizontal="right"/>
      <protection/>
    </xf>
    <xf numFmtId="0" fontId="21" fillId="0" borderId="0" xfId="53" applyNumberFormat="1" applyFont="1" applyBorder="1" applyAlignment="1">
      <alignment/>
      <protection/>
    </xf>
    <xf numFmtId="7" fontId="21" fillId="0" borderId="0" xfId="53" applyNumberFormat="1" applyFont="1" applyBorder="1" applyAlignment="1">
      <alignment horizontal="right"/>
      <protection/>
    </xf>
    <xf numFmtId="0" fontId="6" fillId="0" borderId="13" xfId="53" applyFont="1" applyBorder="1">
      <alignment/>
      <protection/>
    </xf>
    <xf numFmtId="0" fontId="3" fillId="0" borderId="0" xfId="53" applyNumberFormat="1" applyFont="1" applyBorder="1" applyAlignment="1">
      <alignment horizontal="right"/>
      <protection/>
    </xf>
    <xf numFmtId="0" fontId="3" fillId="0" borderId="0" xfId="53" applyNumberFormat="1" applyFont="1" applyBorder="1" applyAlignment="1">
      <alignment/>
      <protection/>
    </xf>
    <xf numFmtId="0" fontId="22" fillId="0" borderId="0" xfId="53" applyFont="1" applyBorder="1">
      <alignment/>
      <protection/>
    </xf>
    <xf numFmtId="7" fontId="3" fillId="0" borderId="0" xfId="53" applyNumberFormat="1" applyFont="1" applyBorder="1" applyAlignment="1">
      <alignment horizontal="right"/>
      <protection/>
    </xf>
    <xf numFmtId="0" fontId="6" fillId="0" borderId="14" xfId="53" applyFont="1" applyBorder="1">
      <alignment/>
      <protection/>
    </xf>
    <xf numFmtId="0" fontId="6" fillId="0" borderId="0" xfId="53" applyFont="1" applyBorder="1" applyAlignment="1">
      <alignment horizontal="right"/>
      <protection/>
    </xf>
    <xf numFmtId="0" fontId="21" fillId="0" borderId="0" xfId="53" applyFont="1" applyBorder="1">
      <alignment/>
      <protection/>
    </xf>
    <xf numFmtId="0" fontId="13" fillId="0" borderId="0" xfId="53" applyFont="1" applyBorder="1" applyAlignment="1">
      <alignment horizontal="right"/>
      <protection/>
    </xf>
    <xf numFmtId="0" fontId="21" fillId="0" borderId="15" xfId="53" applyFont="1" applyBorder="1" applyAlignment="1">
      <alignment horizontal="center"/>
      <protection/>
    </xf>
    <xf numFmtId="7" fontId="21" fillId="0" borderId="16" xfId="53" applyNumberFormat="1" applyFont="1" applyBorder="1" applyAlignment="1">
      <alignment horizontal="center"/>
      <protection/>
    </xf>
    <xf numFmtId="7" fontId="21" fillId="0" borderId="0" xfId="53" applyNumberFormat="1" applyFont="1" applyBorder="1" applyAlignment="1">
      <alignment horizontal="center"/>
      <protection/>
    </xf>
    <xf numFmtId="0" fontId="17" fillId="0" borderId="17" xfId="53" applyFont="1" applyBorder="1">
      <alignment/>
      <protection/>
    </xf>
    <xf numFmtId="0" fontId="17" fillId="0" borderId="18" xfId="53" applyNumberFormat="1" applyFont="1" applyBorder="1">
      <alignment/>
      <protection/>
    </xf>
    <xf numFmtId="0" fontId="17" fillId="0" borderId="18" xfId="53" applyFont="1" applyBorder="1">
      <alignment/>
      <protection/>
    </xf>
    <xf numFmtId="0" fontId="17" fillId="0" borderId="19" xfId="53" applyFont="1" applyBorder="1">
      <alignment/>
      <protection/>
    </xf>
    <xf numFmtId="0" fontId="17" fillId="0" borderId="0" xfId="53" applyFont="1" applyFill="1" applyBorder="1">
      <alignment/>
      <protection/>
    </xf>
    <xf numFmtId="4" fontId="17" fillId="0" borderId="0" xfId="53" applyNumberFormat="1" applyFont="1" applyFill="1" applyBorder="1">
      <alignment/>
      <protection/>
    </xf>
    <xf numFmtId="7" fontId="17" fillId="0" borderId="0" xfId="53" applyNumberFormat="1" applyFont="1" applyBorder="1">
      <alignment/>
      <protection/>
    </xf>
    <xf numFmtId="172" fontId="17" fillId="0" borderId="0" xfId="53" applyNumberFormat="1" applyFont="1" applyBorder="1" applyAlignment="1">
      <alignment horizontal="center"/>
      <protection/>
    </xf>
    <xf numFmtId="0" fontId="6" fillId="0" borderId="0" xfId="53" applyFont="1" applyFill="1" applyBorder="1">
      <alignment/>
      <protection/>
    </xf>
    <xf numFmtId="4" fontId="6" fillId="0" borderId="0" xfId="53" applyNumberFormat="1" applyFont="1" applyFill="1" applyBorder="1">
      <alignment/>
      <protection/>
    </xf>
    <xf numFmtId="4" fontId="6" fillId="0" borderId="0" xfId="53" applyNumberFormat="1" applyFont="1" applyBorder="1">
      <alignment/>
      <protection/>
    </xf>
    <xf numFmtId="4" fontId="3" fillId="0" borderId="0" xfId="53" applyNumberFormat="1" applyFont="1" applyBorder="1" applyAlignment="1">
      <alignment horizontal="center"/>
      <protection/>
    </xf>
    <xf numFmtId="0" fontId="9" fillId="0" borderId="0" xfId="53" applyFont="1" applyAlignment="1" applyProtection="1">
      <alignment horizontal="centerContinuous"/>
      <protection locked="0"/>
    </xf>
    <xf numFmtId="0" fontId="16" fillId="0" borderId="0" xfId="53" applyFont="1" applyAlignment="1" applyProtection="1">
      <alignment horizontal="centerContinuous"/>
      <protection locked="0"/>
    </xf>
    <xf numFmtId="0" fontId="4" fillId="0" borderId="0" xfId="53" applyFont="1" applyBorder="1" applyAlignment="1" applyProtection="1">
      <alignment horizontal="centerContinuous"/>
      <protection/>
    </xf>
    <xf numFmtId="0" fontId="6" fillId="0" borderId="10" xfId="53" applyFont="1" applyBorder="1">
      <alignment/>
      <protection/>
    </xf>
    <xf numFmtId="0" fontId="6" fillId="0" borderId="11" xfId="53" applyFont="1" applyBorder="1">
      <alignment/>
      <protection/>
    </xf>
    <xf numFmtId="0" fontId="6" fillId="0" borderId="12" xfId="53" applyFont="1" applyBorder="1">
      <alignment/>
      <protection/>
    </xf>
    <xf numFmtId="0" fontId="23" fillId="0" borderId="0" xfId="53" applyFont="1">
      <alignment/>
      <protection/>
    </xf>
    <xf numFmtId="0" fontId="23" fillId="0" borderId="13" xfId="53" applyFont="1" applyBorder="1">
      <alignment/>
      <protection/>
    </xf>
    <xf numFmtId="0" fontId="24" fillId="0" borderId="0" xfId="53" applyFont="1" applyBorder="1">
      <alignment/>
      <protection/>
    </xf>
    <xf numFmtId="0" fontId="23" fillId="0" borderId="0" xfId="53" applyFont="1" applyBorder="1">
      <alignment/>
      <protection/>
    </xf>
    <xf numFmtId="0" fontId="23" fillId="0" borderId="14" xfId="53" applyFont="1" applyBorder="1">
      <alignment/>
      <protection/>
    </xf>
    <xf numFmtId="0" fontId="3" fillId="0" borderId="0" xfId="53" applyFont="1" applyBorder="1">
      <alignment/>
      <protection/>
    </xf>
    <xf numFmtId="0" fontId="20" fillId="0" borderId="0" xfId="53" applyFont="1" applyFill="1" applyBorder="1" applyAlignment="1" applyProtection="1">
      <alignment horizontal="centerContinuous"/>
      <protection locked="0"/>
    </xf>
    <xf numFmtId="0" fontId="20" fillId="0" borderId="0" xfId="53" applyFont="1" applyAlignment="1">
      <alignment horizontal="centerContinuous"/>
      <protection/>
    </xf>
    <xf numFmtId="0" fontId="20" fillId="0" borderId="0" xfId="53" applyFont="1" applyBorder="1" applyAlignment="1" applyProtection="1">
      <alignment horizontal="centerContinuous"/>
      <protection/>
    </xf>
    <xf numFmtId="0" fontId="20" fillId="0" borderId="14" xfId="53" applyFont="1" applyBorder="1" applyAlignment="1">
      <alignment horizontal="centerContinuous"/>
      <protection/>
    </xf>
    <xf numFmtId="0" fontId="16" fillId="0" borderId="0" xfId="53" applyFont="1" applyBorder="1">
      <alignment/>
      <protection/>
    </xf>
    <xf numFmtId="0" fontId="3" fillId="0" borderId="0" xfId="53" applyFont="1" applyBorder="1" applyProtection="1">
      <alignment/>
      <protection/>
    </xf>
    <xf numFmtId="0" fontId="6" fillId="0" borderId="0" xfId="53" applyFont="1" applyBorder="1" applyProtection="1">
      <alignment/>
      <protection/>
    </xf>
    <xf numFmtId="0" fontId="1" fillId="0" borderId="15" xfId="53" applyFont="1" applyBorder="1" applyAlignment="1" applyProtection="1">
      <alignment horizontal="center"/>
      <protection/>
    </xf>
    <xf numFmtId="176" fontId="1" fillId="0" borderId="15" xfId="53" applyNumberFormat="1" applyFont="1" applyBorder="1" applyAlignment="1">
      <alignment horizontal="centerContinuous"/>
      <protection/>
    </xf>
    <xf numFmtId="0" fontId="3" fillId="0" borderId="16" xfId="53" applyFont="1" applyBorder="1" applyAlignment="1" applyProtection="1">
      <alignment horizontal="centerContinuous"/>
      <protection/>
    </xf>
    <xf numFmtId="171" fontId="6" fillId="0" borderId="16" xfId="53" applyNumberFormat="1" applyFont="1" applyBorder="1" applyAlignment="1">
      <alignment horizontal="centerContinuous"/>
      <protection/>
    </xf>
    <xf numFmtId="0" fontId="1" fillId="0" borderId="0" xfId="53" applyFont="1" applyAlignment="1">
      <alignment horizontal="right"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Border="1" applyAlignment="1" applyProtection="1">
      <alignment horizontal="left"/>
      <protection locked="0"/>
    </xf>
    <xf numFmtId="0" fontId="1" fillId="0" borderId="0" xfId="53" applyFont="1" applyAlignment="1" applyProtection="1">
      <alignment/>
      <protection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25" fillId="0" borderId="20" xfId="53" applyFont="1" applyBorder="1" applyAlignment="1" applyProtection="1">
      <alignment horizontal="center" vertical="center"/>
      <protection/>
    </xf>
    <xf numFmtId="0" fontId="25" fillId="0" borderId="20" xfId="53" applyFont="1" applyBorder="1" applyAlignment="1" applyProtection="1">
      <alignment horizontal="center" vertical="center" wrapText="1"/>
      <protection/>
    </xf>
    <xf numFmtId="0" fontId="26" fillId="16" borderId="20" xfId="53" applyFont="1" applyFill="1" applyBorder="1" applyAlignment="1" applyProtection="1">
      <alignment horizontal="center" vertical="center"/>
      <protection/>
    </xf>
    <xf numFmtId="0" fontId="28" fillId="24" borderId="20" xfId="53" applyFont="1" applyFill="1" applyBorder="1" applyAlignment="1">
      <alignment horizontal="center" vertical="center" wrapText="1"/>
      <protection/>
    </xf>
    <xf numFmtId="0" fontId="29" fillId="25" borderId="20" xfId="53" applyFont="1" applyFill="1" applyBorder="1" applyAlignment="1">
      <alignment horizontal="center" vertical="center" wrapText="1"/>
      <protection/>
    </xf>
    <xf numFmtId="0" fontId="30" fillId="16" borderId="15" xfId="53" applyFont="1" applyFill="1" applyBorder="1" applyAlignment="1" applyProtection="1">
      <alignment horizontal="centerContinuous" vertical="center" wrapText="1"/>
      <protection/>
    </xf>
    <xf numFmtId="0" fontId="7" fillId="16" borderId="21" xfId="53" applyFont="1" applyFill="1" applyBorder="1" applyAlignment="1">
      <alignment horizontal="centerContinuous"/>
      <protection/>
    </xf>
    <xf numFmtId="0" fontId="30" fillId="16" borderId="16" xfId="53" applyFont="1" applyFill="1" applyBorder="1" applyAlignment="1">
      <alignment horizontal="centerContinuous" vertical="center"/>
      <protection/>
    </xf>
    <xf numFmtId="0" fontId="28" fillId="6" borderId="15" xfId="53" applyFont="1" applyFill="1" applyBorder="1" applyAlignment="1" applyProtection="1">
      <alignment horizontal="centerContinuous" vertical="center" wrapText="1"/>
      <protection/>
    </xf>
    <xf numFmtId="0" fontId="28" fillId="6" borderId="21" xfId="53" applyFont="1" applyFill="1" applyBorder="1" applyAlignment="1">
      <alignment horizontal="centerContinuous" vertical="center"/>
      <protection/>
    </xf>
    <xf numFmtId="0" fontId="28" fillId="6" borderId="16" xfId="53" applyFont="1" applyFill="1" applyBorder="1" applyAlignment="1">
      <alignment horizontal="centerContinuous" vertical="center"/>
      <protection/>
    </xf>
    <xf numFmtId="0" fontId="31" fillId="4" borderId="20" xfId="53" applyFont="1" applyFill="1" applyBorder="1" applyAlignment="1">
      <alignment horizontal="center" vertical="center" wrapText="1"/>
      <protection/>
    </xf>
    <xf numFmtId="0" fontId="32" fillId="21" borderId="20" xfId="53" applyFont="1" applyFill="1" applyBorder="1" applyAlignment="1">
      <alignment horizontal="center" vertical="center" wrapText="1"/>
      <protection/>
    </xf>
    <xf numFmtId="0" fontId="25" fillId="0" borderId="20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22" xfId="53" applyFont="1" applyBorder="1" applyProtection="1">
      <alignment/>
      <protection locked="0"/>
    </xf>
    <xf numFmtId="0" fontId="6" fillId="0" borderId="22" xfId="53" applyFont="1" applyBorder="1" applyAlignment="1" applyProtection="1">
      <alignment horizontal="center"/>
      <protection locked="0"/>
    </xf>
    <xf numFmtId="0" fontId="33" fillId="16" borderId="22" xfId="53" applyFont="1" applyFill="1" applyBorder="1" applyProtection="1">
      <alignment/>
      <protection locked="0"/>
    </xf>
    <xf numFmtId="0" fontId="6" fillId="0" borderId="22" xfId="53" applyFont="1" applyBorder="1" applyAlignment="1">
      <alignment horizontal="center"/>
      <protection/>
    </xf>
    <xf numFmtId="0" fontId="34" fillId="24" borderId="22" xfId="53" applyFont="1" applyFill="1" applyBorder="1" applyProtection="1">
      <alignment/>
      <protection locked="0"/>
    </xf>
    <xf numFmtId="0" fontId="35" fillId="25" borderId="22" xfId="53" applyFont="1" applyFill="1" applyBorder="1" applyProtection="1">
      <alignment/>
      <protection locked="0"/>
    </xf>
    <xf numFmtId="0" fontId="36" fillId="16" borderId="22" xfId="53" applyFont="1" applyFill="1" applyBorder="1" applyAlignment="1" applyProtection="1">
      <alignment horizontal="center"/>
      <protection locked="0"/>
    </xf>
    <xf numFmtId="0" fontId="36" fillId="16" borderId="22" xfId="53" applyFont="1" applyFill="1" applyBorder="1" applyProtection="1">
      <alignment/>
      <protection locked="0"/>
    </xf>
    <xf numFmtId="0" fontId="34" fillId="6" borderId="22" xfId="53" applyFont="1" applyFill="1" applyBorder="1" applyProtection="1">
      <alignment/>
      <protection locked="0"/>
    </xf>
    <xf numFmtId="0" fontId="37" fillId="4" borderId="22" xfId="53" applyFont="1" applyFill="1" applyBorder="1" applyProtection="1">
      <alignment/>
      <protection locked="0"/>
    </xf>
    <xf numFmtId="0" fontId="38" fillId="21" borderId="22" xfId="53" applyFont="1" applyFill="1" applyBorder="1" applyProtection="1">
      <alignment/>
      <protection locked="0"/>
    </xf>
    <xf numFmtId="0" fontId="39" fillId="0" borderId="22" xfId="53" applyFont="1" applyBorder="1" applyAlignment="1">
      <alignment horizontal="center"/>
      <protection/>
    </xf>
    <xf numFmtId="0" fontId="6" fillId="0" borderId="23" xfId="53" applyFont="1" applyBorder="1" applyProtection="1">
      <alignment/>
      <protection locked="0"/>
    </xf>
    <xf numFmtId="0" fontId="6" fillId="0" borderId="24" xfId="53" applyFont="1" applyBorder="1" applyAlignment="1" applyProtection="1">
      <alignment horizontal="center"/>
      <protection locked="0"/>
    </xf>
    <xf numFmtId="0" fontId="33" fillId="16" borderId="23" xfId="53" applyFont="1" applyFill="1" applyBorder="1" applyProtection="1">
      <alignment/>
      <protection locked="0"/>
    </xf>
    <xf numFmtId="0" fontId="6" fillId="0" borderId="23" xfId="53" applyFont="1" applyBorder="1" applyAlignment="1" applyProtection="1">
      <alignment horizontal="center"/>
      <protection locked="0"/>
    </xf>
    <xf numFmtId="0" fontId="6" fillId="0" borderId="23" xfId="53" applyFont="1" applyBorder="1" applyAlignment="1">
      <alignment horizontal="center"/>
      <protection/>
    </xf>
    <xf numFmtId="0" fontId="34" fillId="24" borderId="23" xfId="53" applyFont="1" applyFill="1" applyBorder="1" applyProtection="1">
      <alignment/>
      <protection locked="0"/>
    </xf>
    <xf numFmtId="0" fontId="35" fillId="25" borderId="23" xfId="53" applyFont="1" applyFill="1" applyBorder="1" applyProtection="1">
      <alignment/>
      <protection locked="0"/>
    </xf>
    <xf numFmtId="0" fontId="36" fillId="16" borderId="23" xfId="53" applyFont="1" applyFill="1" applyBorder="1" applyAlignment="1" applyProtection="1">
      <alignment horizontal="center"/>
      <protection locked="0"/>
    </xf>
    <xf numFmtId="0" fontId="36" fillId="16" borderId="23" xfId="53" applyFont="1" applyFill="1" applyBorder="1" applyProtection="1">
      <alignment/>
      <protection locked="0"/>
    </xf>
    <xf numFmtId="0" fontId="34" fillId="6" borderId="23" xfId="53" applyFont="1" applyFill="1" applyBorder="1" applyProtection="1">
      <alignment/>
      <protection locked="0"/>
    </xf>
    <xf numFmtId="0" fontId="37" fillId="4" borderId="23" xfId="53" applyFont="1" applyFill="1" applyBorder="1" applyProtection="1">
      <alignment/>
      <protection locked="0"/>
    </xf>
    <xf numFmtId="0" fontId="38" fillId="21" borderId="23" xfId="53" applyFont="1" applyFill="1" applyBorder="1" applyProtection="1">
      <alignment/>
      <protection locked="0"/>
    </xf>
    <xf numFmtId="0" fontId="39" fillId="0" borderId="23" xfId="53" applyFont="1" applyBorder="1" applyAlignment="1">
      <alignment horizontal="center"/>
      <protection/>
    </xf>
    <xf numFmtId="2" fontId="6" fillId="0" borderId="24" xfId="53" applyNumberFormat="1" applyFont="1" applyBorder="1" applyAlignment="1" applyProtection="1">
      <alignment horizontal="center"/>
      <protection locked="0"/>
    </xf>
    <xf numFmtId="172" fontId="33" fillId="16" borderId="23" xfId="53" applyNumberFormat="1" applyFont="1" applyFill="1" applyBorder="1" applyAlignment="1" applyProtection="1">
      <alignment horizontal="center"/>
      <protection locked="0"/>
    </xf>
    <xf numFmtId="22" fontId="6" fillId="0" borderId="23" xfId="53" applyNumberFormat="1" applyFont="1" applyBorder="1" applyAlignment="1" applyProtection="1">
      <alignment horizontal="center"/>
      <protection locked="0"/>
    </xf>
    <xf numFmtId="2" fontId="6" fillId="0" borderId="23" xfId="53" applyNumberFormat="1" applyFont="1" applyBorder="1" applyAlignment="1" applyProtection="1">
      <alignment horizontal="center"/>
      <protection/>
    </xf>
    <xf numFmtId="1" fontId="6" fillId="0" borderId="23" xfId="53" applyNumberFormat="1" applyFont="1" applyBorder="1" applyAlignment="1" applyProtection="1">
      <alignment horizontal="center"/>
      <protection/>
    </xf>
    <xf numFmtId="172" fontId="6" fillId="0" borderId="23" xfId="53" applyNumberFormat="1" applyFont="1" applyBorder="1" applyAlignment="1" applyProtection="1">
      <alignment horizontal="center"/>
      <protection locked="0"/>
    </xf>
    <xf numFmtId="172" fontId="6" fillId="0" borderId="23" xfId="53" applyNumberFormat="1" applyFont="1" applyBorder="1" applyAlignment="1" applyProtection="1" quotePrefix="1">
      <alignment horizontal="center"/>
      <protection locked="0"/>
    </xf>
    <xf numFmtId="2" fontId="34" fillId="24" borderId="23" xfId="53" applyNumberFormat="1" applyFont="1" applyFill="1" applyBorder="1" applyAlignment="1" applyProtection="1">
      <alignment horizontal="center"/>
      <protection locked="0"/>
    </xf>
    <xf numFmtId="2" fontId="35" fillId="25" borderId="23" xfId="53" applyNumberFormat="1" applyFont="1" applyFill="1" applyBorder="1" applyAlignment="1" applyProtection="1">
      <alignment horizontal="center"/>
      <protection locked="0"/>
    </xf>
    <xf numFmtId="172" fontId="36" fillId="16" borderId="23" xfId="53" applyNumberFormat="1" applyFont="1" applyFill="1" applyBorder="1" applyAlignment="1" applyProtection="1" quotePrefix="1">
      <alignment horizontal="center"/>
      <protection locked="0"/>
    </xf>
    <xf numFmtId="4" fontId="36" fillId="16" borderId="23" xfId="53" applyNumberFormat="1" applyFont="1" applyFill="1" applyBorder="1" applyAlignment="1" applyProtection="1">
      <alignment horizontal="center"/>
      <protection locked="0"/>
    </xf>
    <xf numFmtId="172" fontId="34" fillId="6" borderId="23" xfId="53" applyNumberFormat="1" applyFont="1" applyFill="1" applyBorder="1" applyAlignment="1" applyProtection="1" quotePrefix="1">
      <alignment horizontal="center"/>
      <protection locked="0"/>
    </xf>
    <xf numFmtId="4" fontId="34" fillId="6" borderId="23" xfId="53" applyNumberFormat="1" applyFont="1" applyFill="1" applyBorder="1" applyAlignment="1" applyProtection="1">
      <alignment horizontal="center"/>
      <protection locked="0"/>
    </xf>
    <xf numFmtId="4" fontId="37" fillId="4" borderId="23" xfId="53" applyNumberFormat="1" applyFont="1" applyFill="1" applyBorder="1" applyAlignment="1" applyProtection="1">
      <alignment horizontal="center"/>
      <protection locked="0"/>
    </xf>
    <xf numFmtId="4" fontId="38" fillId="21" borderId="23" xfId="53" applyNumberFormat="1" applyFont="1" applyFill="1" applyBorder="1" applyAlignment="1" applyProtection="1">
      <alignment horizontal="center"/>
      <protection locked="0"/>
    </xf>
    <xf numFmtId="4" fontId="6" fillId="0" borderId="23" xfId="53" applyNumberFormat="1" applyFont="1" applyBorder="1" applyAlignment="1" applyProtection="1">
      <alignment horizontal="center"/>
      <protection locked="0"/>
    </xf>
    <xf numFmtId="4" fontId="39" fillId="0" borderId="23" xfId="53" applyNumberFormat="1" applyFont="1" applyBorder="1" applyAlignment="1">
      <alignment horizontal="right"/>
      <protection/>
    </xf>
    <xf numFmtId="2" fontId="6" fillId="0" borderId="14" xfId="53" applyNumberFormat="1" applyFont="1" applyBorder="1">
      <alignment/>
      <protection/>
    </xf>
    <xf numFmtId="0" fontId="6" fillId="0" borderId="13" xfId="53" applyFont="1" applyBorder="1" applyAlignment="1">
      <alignment horizontal="center"/>
      <protection/>
    </xf>
    <xf numFmtId="0" fontId="6" fillId="0" borderId="25" xfId="53" applyFont="1" applyBorder="1" applyAlignment="1" applyProtection="1">
      <alignment horizontal="center"/>
      <protection locked="0"/>
    </xf>
    <xf numFmtId="0" fontId="6" fillId="0" borderId="26" xfId="53" applyFont="1" applyBorder="1" applyAlignment="1" applyProtection="1">
      <alignment horizontal="center"/>
      <protection/>
    </xf>
    <xf numFmtId="2" fontId="6" fillId="0" borderId="26" xfId="53" applyNumberFormat="1" applyFont="1" applyBorder="1" applyAlignment="1" applyProtection="1">
      <alignment horizontal="center"/>
      <protection/>
    </xf>
    <xf numFmtId="172" fontId="6" fillId="0" borderId="25" xfId="53" applyNumberFormat="1" applyFont="1" applyBorder="1" applyAlignment="1" applyProtection="1">
      <alignment horizontal="center"/>
      <protection/>
    </xf>
    <xf numFmtId="172" fontId="33" fillId="16" borderId="25" xfId="53" applyNumberFormat="1" applyFont="1" applyFill="1" applyBorder="1" applyAlignment="1" applyProtection="1">
      <alignment horizontal="center"/>
      <protection/>
    </xf>
    <xf numFmtId="22" fontId="6" fillId="0" borderId="25" xfId="53" applyNumberFormat="1" applyFont="1" applyBorder="1" applyAlignment="1">
      <alignment horizontal="center"/>
      <protection/>
    </xf>
    <xf numFmtId="172" fontId="34" fillId="24" borderId="25" xfId="53" applyNumberFormat="1" applyFont="1" applyFill="1" applyBorder="1" applyAlignment="1" applyProtection="1" quotePrefix="1">
      <alignment horizontal="center"/>
      <protection/>
    </xf>
    <xf numFmtId="172" fontId="35" fillId="25" borderId="25" xfId="53" applyNumberFormat="1" applyFont="1" applyFill="1" applyBorder="1" applyAlignment="1" applyProtection="1" quotePrefix="1">
      <alignment horizontal="center"/>
      <protection/>
    </xf>
    <xf numFmtId="172" fontId="36" fillId="16" borderId="25" xfId="53" applyNumberFormat="1" applyFont="1" applyFill="1" applyBorder="1" applyAlignment="1" applyProtection="1" quotePrefix="1">
      <alignment horizontal="center"/>
      <protection/>
    </xf>
    <xf numFmtId="4" fontId="36" fillId="16" borderId="25" xfId="53" applyNumberFormat="1" applyFont="1" applyFill="1" applyBorder="1" applyAlignment="1">
      <alignment horizontal="center"/>
      <protection/>
    </xf>
    <xf numFmtId="4" fontId="34" fillId="6" borderId="25" xfId="53" applyNumberFormat="1" applyFont="1" applyFill="1" applyBorder="1" applyAlignment="1">
      <alignment horizontal="center"/>
      <protection/>
    </xf>
    <xf numFmtId="4" fontId="37" fillId="4" borderId="25" xfId="53" applyNumberFormat="1" applyFont="1" applyFill="1" applyBorder="1" applyAlignment="1">
      <alignment horizontal="center"/>
      <protection/>
    </xf>
    <xf numFmtId="4" fontId="38" fillId="21" borderId="25" xfId="53" applyNumberFormat="1" applyFont="1" applyFill="1" applyBorder="1" applyAlignment="1">
      <alignment horizontal="center"/>
      <protection/>
    </xf>
    <xf numFmtId="4" fontId="6" fillId="0" borderId="25" xfId="53" applyNumberFormat="1" applyFont="1" applyBorder="1" applyAlignment="1">
      <alignment horizontal="center"/>
      <protection/>
    </xf>
    <xf numFmtId="7" fontId="39" fillId="0" borderId="27" xfId="53" applyNumberFormat="1" applyFont="1" applyBorder="1" applyAlignment="1">
      <alignment horizontal="center"/>
      <protection/>
    </xf>
    <xf numFmtId="0" fontId="41" fillId="0" borderId="28" xfId="53" applyFont="1" applyBorder="1" applyAlignment="1">
      <alignment horizontal="center"/>
      <protection/>
    </xf>
    <xf numFmtId="0" fontId="42" fillId="0" borderId="0" xfId="53" applyFont="1" applyBorder="1" applyAlignment="1" applyProtection="1">
      <alignment horizontal="left"/>
      <protection/>
    </xf>
    <xf numFmtId="172" fontId="6" fillId="0" borderId="0" xfId="53" applyNumberFormat="1" applyFont="1" applyBorder="1" applyAlignment="1" applyProtection="1">
      <alignment horizontal="center"/>
      <protection/>
    </xf>
    <xf numFmtId="172" fontId="6" fillId="0" borderId="0" xfId="53" applyNumberFormat="1" applyFont="1" applyBorder="1" applyAlignment="1" applyProtection="1" quotePrefix="1">
      <alignment horizontal="center"/>
      <protection/>
    </xf>
    <xf numFmtId="2" fontId="34" fillId="24" borderId="20" xfId="53" applyNumberFormat="1" applyFont="1" applyFill="1" applyBorder="1" applyAlignment="1">
      <alignment horizontal="center"/>
      <protection/>
    </xf>
    <xf numFmtId="2" fontId="35" fillId="25" borderId="20" xfId="53" applyNumberFormat="1" applyFont="1" applyFill="1" applyBorder="1" applyAlignment="1">
      <alignment horizontal="center"/>
      <protection/>
    </xf>
    <xf numFmtId="172" fontId="36" fillId="16" borderId="20" xfId="53" applyNumberFormat="1" applyFont="1" applyFill="1" applyBorder="1" applyAlignment="1" applyProtection="1" quotePrefix="1">
      <alignment horizontal="center"/>
      <protection/>
    </xf>
    <xf numFmtId="172" fontId="34" fillId="6" borderId="20" xfId="53" applyNumberFormat="1" applyFont="1" applyFill="1" applyBorder="1" applyAlignment="1" applyProtection="1" quotePrefix="1">
      <alignment horizontal="center"/>
      <protection/>
    </xf>
    <xf numFmtId="172" fontId="37" fillId="4" borderId="20" xfId="53" applyNumberFormat="1" applyFont="1" applyFill="1" applyBorder="1" applyAlignment="1" applyProtection="1" quotePrefix="1">
      <alignment horizontal="center"/>
      <protection/>
    </xf>
    <xf numFmtId="172" fontId="38" fillId="21" borderId="20" xfId="53" applyNumberFormat="1" applyFont="1" applyFill="1" applyBorder="1" applyAlignment="1" applyProtection="1" quotePrefix="1">
      <alignment horizontal="center"/>
      <protection/>
    </xf>
    <xf numFmtId="4" fontId="5" fillId="0" borderId="0" xfId="53" applyNumberFormat="1" applyFont="1" applyBorder="1" applyAlignment="1">
      <alignment horizontal="center"/>
      <protection/>
    </xf>
    <xf numFmtId="8" fontId="2" fillId="0" borderId="20" xfId="53" applyNumberFormat="1" applyFont="1" applyBorder="1" applyAlignment="1" applyProtection="1">
      <alignment horizontal="right"/>
      <protection locked="0"/>
    </xf>
    <xf numFmtId="2" fontId="6" fillId="0" borderId="14" xfId="53" applyNumberFormat="1" applyFont="1" applyBorder="1" applyAlignment="1">
      <alignment horizontal="center"/>
      <protection/>
    </xf>
    <xf numFmtId="0" fontId="41" fillId="0" borderId="0" xfId="53" applyFont="1">
      <alignment/>
      <protection/>
    </xf>
    <xf numFmtId="0" fontId="41" fillId="0" borderId="13" xfId="53" applyFont="1" applyBorder="1">
      <alignment/>
      <protection/>
    </xf>
    <xf numFmtId="0" fontId="41" fillId="0" borderId="0" xfId="53" applyFont="1" applyBorder="1" applyAlignment="1">
      <alignment horizontal="center"/>
      <protection/>
    </xf>
    <xf numFmtId="0" fontId="42" fillId="0" borderId="0" xfId="53" applyFont="1" applyBorder="1" applyAlignment="1" applyProtection="1">
      <alignment horizontal="left" vertical="top"/>
      <protection/>
    </xf>
    <xf numFmtId="0" fontId="41" fillId="0" borderId="0" xfId="53" applyFont="1" applyBorder="1" applyAlignment="1" applyProtection="1">
      <alignment horizontal="center"/>
      <protection/>
    </xf>
    <xf numFmtId="2" fontId="41" fillId="0" borderId="0" xfId="53" applyNumberFormat="1" applyFont="1" applyBorder="1" applyAlignment="1" applyProtection="1">
      <alignment horizontal="center"/>
      <protection/>
    </xf>
    <xf numFmtId="172" fontId="41" fillId="0" borderId="0" xfId="53" applyNumberFormat="1" applyFont="1" applyBorder="1" applyAlignment="1" applyProtection="1">
      <alignment horizontal="center"/>
      <protection/>
    </xf>
    <xf numFmtId="172" fontId="41" fillId="0" borderId="0" xfId="53" applyNumberFormat="1" applyFont="1" applyBorder="1" applyAlignment="1" applyProtection="1" quotePrefix="1">
      <alignment horizontal="center"/>
      <protection/>
    </xf>
    <xf numFmtId="2" fontId="43" fillId="0" borderId="0" xfId="53" applyNumberFormat="1" applyFont="1" applyBorder="1" applyAlignment="1">
      <alignment horizontal="center"/>
      <protection/>
    </xf>
    <xf numFmtId="172" fontId="44" fillId="0" borderId="0" xfId="53" applyNumberFormat="1" applyFont="1" applyBorder="1" applyAlignment="1" applyProtection="1" quotePrefix="1">
      <alignment horizontal="center"/>
      <protection/>
    </xf>
    <xf numFmtId="4" fontId="44" fillId="0" borderId="0" xfId="53" applyNumberFormat="1" applyFont="1" applyBorder="1" applyAlignment="1">
      <alignment horizontal="center"/>
      <protection/>
    </xf>
    <xf numFmtId="8" fontId="45" fillId="0" borderId="0" xfId="53" applyNumberFormat="1" applyFont="1" applyBorder="1" applyAlignment="1" applyProtection="1">
      <alignment horizontal="right"/>
      <protection locked="0"/>
    </xf>
    <xf numFmtId="2" fontId="41" fillId="0" borderId="14" xfId="53" applyNumberFormat="1" applyFont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9" xfId="53" applyFont="1" applyBorder="1">
      <alignment/>
      <protection/>
    </xf>
    <xf numFmtId="0" fontId="1" fillId="0" borderId="0" xfId="53" applyBorder="1">
      <alignment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centerContinuous"/>
      <protection/>
    </xf>
    <xf numFmtId="0" fontId="6" fillId="0" borderId="0" xfId="53" applyFont="1" applyFill="1" applyAlignment="1">
      <alignment horizontal="centerContinuous"/>
      <protection/>
    </xf>
    <xf numFmtId="0" fontId="4" fillId="0" borderId="0" xfId="53" applyFont="1" applyFill="1" applyBorder="1" applyAlignment="1" applyProtection="1">
      <alignment horizontal="centerContinuous"/>
      <protection/>
    </xf>
    <xf numFmtId="0" fontId="11" fillId="0" borderId="0" xfId="53" applyFont="1" applyFill="1" applyAlignment="1">
      <alignment horizontal="centerContinuous"/>
      <protection/>
    </xf>
    <xf numFmtId="0" fontId="1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6" fillId="0" borderId="10" xfId="53" applyFont="1" applyFill="1" applyBorder="1">
      <alignment/>
      <protection/>
    </xf>
    <xf numFmtId="0" fontId="6" fillId="0" borderId="11" xfId="53" applyFont="1" applyFill="1" applyBorder="1">
      <alignment/>
      <protection/>
    </xf>
    <xf numFmtId="0" fontId="6" fillId="0" borderId="12" xfId="53" applyFont="1" applyFill="1" applyBorder="1">
      <alignment/>
      <protection/>
    </xf>
    <xf numFmtId="0" fontId="23" fillId="0" borderId="13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24" fillId="0" borderId="0" xfId="53" applyFont="1" applyFill="1" applyBorder="1">
      <alignment/>
      <protection/>
    </xf>
    <xf numFmtId="0" fontId="23" fillId="0" borderId="0" xfId="53" applyFont="1" applyFill="1">
      <alignment/>
      <protection/>
    </xf>
    <xf numFmtId="0" fontId="23" fillId="0" borderId="14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6" fillId="0" borderId="14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24" fillId="0" borderId="0" xfId="53" applyFont="1" applyFill="1">
      <alignment/>
      <protection/>
    </xf>
    <xf numFmtId="0" fontId="23" fillId="0" borderId="0" xfId="53" applyFont="1" applyFill="1" applyBorder="1" applyProtection="1">
      <alignment/>
      <protection/>
    </xf>
    <xf numFmtId="0" fontId="6" fillId="0" borderId="0" xfId="53" applyFont="1" applyFill="1" applyBorder="1" applyAlignment="1" applyProtection="1">
      <alignment horizontal="left"/>
      <protection/>
    </xf>
    <xf numFmtId="168" fontId="6" fillId="0" borderId="0" xfId="53" applyNumberFormat="1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/>
    </xf>
    <xf numFmtId="0" fontId="20" fillId="0" borderId="13" xfId="53" applyFont="1" applyFill="1" applyBorder="1" applyAlignment="1">
      <alignment horizontal="centerContinuous"/>
      <protection/>
    </xf>
    <xf numFmtId="0" fontId="20" fillId="0" borderId="0" xfId="53" applyFont="1" applyFill="1" applyBorder="1" applyAlignment="1">
      <alignment horizontal="centerContinuous"/>
      <protection/>
    </xf>
    <xf numFmtId="0" fontId="20" fillId="0" borderId="14" xfId="53" applyFont="1" applyFill="1" applyBorder="1" applyAlignment="1">
      <alignment horizontal="centerContinuous"/>
      <protection/>
    </xf>
    <xf numFmtId="0" fontId="6" fillId="0" borderId="0" xfId="53" applyFont="1" applyFill="1" applyBorder="1" applyAlignment="1">
      <alignment horizontal="center"/>
      <protection/>
    </xf>
    <xf numFmtId="0" fontId="22" fillId="0" borderId="0" xfId="53" applyFont="1" applyFill="1" applyBorder="1" applyAlignment="1">
      <alignment horizontal="left"/>
      <protection/>
    </xf>
    <xf numFmtId="0" fontId="1" fillId="0" borderId="15" xfId="53" applyFont="1" applyFill="1" applyBorder="1" applyAlignment="1" applyProtection="1">
      <alignment horizontal="left"/>
      <protection/>
    </xf>
    <xf numFmtId="0" fontId="1" fillId="0" borderId="28" xfId="53" applyFont="1" applyFill="1" applyBorder="1" applyAlignment="1" applyProtection="1">
      <alignment horizontal="center"/>
      <protection/>
    </xf>
    <xf numFmtId="0" fontId="1" fillId="0" borderId="28" xfId="53" applyFont="1" applyFill="1" applyBorder="1">
      <alignment/>
      <protection/>
    </xf>
    <xf numFmtId="0" fontId="1" fillId="0" borderId="20" xfId="53" applyFont="1" applyFill="1" applyBorder="1" applyAlignment="1">
      <alignment horizontal="center"/>
      <protection/>
    </xf>
    <xf numFmtId="0" fontId="1" fillId="0" borderId="15" xfId="53" applyFont="1" applyFill="1" applyBorder="1" applyAlignment="1" applyProtection="1" quotePrefix="1">
      <alignment horizontal="left"/>
      <protection/>
    </xf>
    <xf numFmtId="0" fontId="1" fillId="0" borderId="21" xfId="53" applyFont="1" applyFill="1" applyBorder="1" applyAlignment="1" applyProtection="1">
      <alignment horizontal="center"/>
      <protection/>
    </xf>
    <xf numFmtId="168" fontId="1" fillId="0" borderId="20" xfId="53" applyNumberFormat="1" applyFont="1" applyFill="1" applyBorder="1" applyAlignment="1" applyProtection="1">
      <alignment horizontal="center"/>
      <protection/>
    </xf>
    <xf numFmtId="0" fontId="6" fillId="0" borderId="0" xfId="53" applyFont="1" applyAlignment="1" applyProtection="1">
      <alignment/>
      <protection/>
    </xf>
    <xf numFmtId="22" fontId="6" fillId="0" borderId="0" xfId="53" applyNumberFormat="1" applyFont="1" applyFill="1" applyBorder="1">
      <alignment/>
      <protection/>
    </xf>
    <xf numFmtId="0" fontId="6" fillId="0" borderId="0" xfId="53" applyFont="1" applyAlignment="1">
      <alignment vertical="center"/>
      <protection/>
    </xf>
    <xf numFmtId="0" fontId="6" fillId="0" borderId="13" xfId="53" applyFont="1" applyFill="1" applyBorder="1" applyAlignment="1">
      <alignment vertical="center"/>
      <protection/>
    </xf>
    <xf numFmtId="0" fontId="25" fillId="0" borderId="20" xfId="53" applyFont="1" applyFill="1" applyBorder="1" applyAlignment="1" applyProtection="1">
      <alignment horizontal="center" vertical="center" wrapText="1"/>
      <protection/>
    </xf>
    <xf numFmtId="0" fontId="25" fillId="0" borderId="20" xfId="53" applyFont="1" applyFill="1" applyBorder="1" applyAlignment="1" applyProtection="1">
      <alignment horizontal="center" vertical="center"/>
      <protection/>
    </xf>
    <xf numFmtId="0" fontId="25" fillId="0" borderId="20" xfId="53" applyFont="1" applyFill="1" applyBorder="1" applyAlignment="1" applyProtection="1" quotePrefix="1">
      <alignment horizontal="center" vertical="center" wrapText="1"/>
      <protection/>
    </xf>
    <xf numFmtId="0" fontId="25" fillId="0" borderId="20" xfId="53" applyFont="1" applyFill="1" applyBorder="1" applyAlignment="1">
      <alignment horizontal="center" vertical="center" wrapText="1"/>
      <protection/>
    </xf>
    <xf numFmtId="0" fontId="26" fillId="16" borderId="20" xfId="53" applyFont="1" applyFill="1" applyBorder="1" applyAlignment="1" applyProtection="1">
      <alignment horizontal="center" vertical="center"/>
      <protection/>
    </xf>
    <xf numFmtId="0" fontId="32" fillId="21" borderId="20" xfId="53" applyFont="1" applyFill="1" applyBorder="1" applyAlignment="1" applyProtection="1">
      <alignment horizontal="center" vertical="center"/>
      <protection/>
    </xf>
    <xf numFmtId="0" fontId="28" fillId="6" borderId="20" xfId="53" applyFont="1" applyFill="1" applyBorder="1" applyAlignment="1">
      <alignment horizontal="center" vertical="center" wrapText="1"/>
      <protection/>
    </xf>
    <xf numFmtId="0" fontId="46" fillId="26" borderId="20" xfId="53" applyFont="1" applyFill="1" applyBorder="1" applyAlignment="1">
      <alignment horizontal="center" vertical="center" wrapText="1"/>
      <protection/>
    </xf>
    <xf numFmtId="0" fontId="46" fillId="27" borderId="15" xfId="53" applyFont="1" applyFill="1" applyBorder="1" applyAlignment="1" applyProtection="1">
      <alignment horizontal="centerContinuous" vertical="center" wrapText="1"/>
      <protection/>
    </xf>
    <xf numFmtId="0" fontId="46" fillId="27" borderId="16" xfId="53" applyFont="1" applyFill="1" applyBorder="1" applyAlignment="1">
      <alignment horizontal="centerContinuous" vertical="center"/>
      <protection/>
    </xf>
    <xf numFmtId="0" fontId="47" fillId="28" borderId="15" xfId="53" applyFont="1" applyFill="1" applyBorder="1" applyAlignment="1" applyProtection="1">
      <alignment horizontal="centerContinuous" vertical="center" wrapText="1"/>
      <protection/>
    </xf>
    <xf numFmtId="0" fontId="47" fillId="28" borderId="16" xfId="53" applyFont="1" applyFill="1" applyBorder="1" applyAlignment="1">
      <alignment horizontal="centerContinuous" vertical="center"/>
      <protection/>
    </xf>
    <xf numFmtId="0" fontId="31" fillId="23" borderId="20" xfId="53" applyFont="1" applyFill="1" applyBorder="1" applyAlignment="1">
      <alignment horizontal="center" vertical="center" wrapText="1"/>
      <protection/>
    </xf>
    <xf numFmtId="0" fontId="46" fillId="3" borderId="2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vertical="center"/>
      <protection/>
    </xf>
    <xf numFmtId="0" fontId="6" fillId="0" borderId="29" xfId="53" applyFont="1" applyFill="1" applyBorder="1" applyAlignment="1" applyProtection="1">
      <alignment horizontal="center"/>
      <protection locked="0"/>
    </xf>
    <xf numFmtId="0" fontId="6" fillId="0" borderId="22" xfId="53" applyFont="1" applyFill="1" applyBorder="1" applyAlignment="1" applyProtection="1">
      <alignment horizontal="center"/>
      <protection locked="0"/>
    </xf>
    <xf numFmtId="0" fontId="6" fillId="0" borderId="22" xfId="53" applyFont="1" applyFill="1" applyBorder="1" applyProtection="1">
      <alignment/>
      <protection locked="0"/>
    </xf>
    <xf numFmtId="0" fontId="48" fillId="16" borderId="22" xfId="53" applyFont="1" applyFill="1" applyBorder="1" applyProtection="1">
      <alignment/>
      <protection locked="0"/>
    </xf>
    <xf numFmtId="0" fontId="6" fillId="0" borderId="22" xfId="53" applyFont="1" applyFill="1" applyBorder="1" applyAlignment="1">
      <alignment horizontal="center"/>
      <protection/>
    </xf>
    <xf numFmtId="0" fontId="49" fillId="26" borderId="22" xfId="53" applyFont="1" applyFill="1" applyBorder="1" applyProtection="1">
      <alignment/>
      <protection locked="0"/>
    </xf>
    <xf numFmtId="0" fontId="49" fillId="27" borderId="30" xfId="53" applyFont="1" applyFill="1" applyBorder="1" applyAlignment="1" applyProtection="1">
      <alignment horizontal="center"/>
      <protection locked="0"/>
    </xf>
    <xf numFmtId="0" fontId="49" fillId="27" borderId="31" xfId="53" applyFont="1" applyFill="1" applyBorder="1" applyProtection="1">
      <alignment/>
      <protection locked="0"/>
    </xf>
    <xf numFmtId="0" fontId="50" fillId="28" borderId="30" xfId="53" applyFont="1" applyFill="1" applyBorder="1" applyAlignment="1" applyProtection="1">
      <alignment horizontal="center"/>
      <protection locked="0"/>
    </xf>
    <xf numFmtId="0" fontId="50" fillId="28" borderId="31" xfId="53" applyFont="1" applyFill="1" applyBorder="1" applyProtection="1">
      <alignment/>
      <protection locked="0"/>
    </xf>
    <xf numFmtId="0" fontId="37" fillId="23" borderId="22" xfId="53" applyFont="1" applyFill="1" applyBorder="1" applyProtection="1">
      <alignment/>
      <protection locked="0"/>
    </xf>
    <xf numFmtId="0" fontId="49" fillId="3" borderId="22" xfId="53" applyFont="1" applyFill="1" applyBorder="1" applyProtection="1">
      <alignment/>
      <protection locked="0"/>
    </xf>
    <xf numFmtId="0" fontId="39" fillId="0" borderId="22" xfId="53" applyFont="1" applyFill="1" applyBorder="1" applyAlignment="1">
      <alignment horizontal="right"/>
      <protection/>
    </xf>
    <xf numFmtId="0" fontId="6" fillId="0" borderId="32" xfId="53" applyFont="1" applyFill="1" applyBorder="1" applyAlignment="1" applyProtection="1">
      <alignment horizontal="center"/>
      <protection locked="0"/>
    </xf>
    <xf numFmtId="0" fontId="6" fillId="0" borderId="23" xfId="53" applyFont="1" applyFill="1" applyBorder="1" applyProtection="1">
      <alignment/>
      <protection locked="0"/>
    </xf>
    <xf numFmtId="0" fontId="48" fillId="16" borderId="23" xfId="53" applyFont="1" applyFill="1" applyBorder="1" applyProtection="1">
      <alignment/>
      <protection locked="0"/>
    </xf>
    <xf numFmtId="0" fontId="6" fillId="0" borderId="23" xfId="53" applyFont="1" applyFill="1" applyBorder="1" applyAlignment="1" applyProtection="1">
      <alignment horizontal="center"/>
      <protection locked="0"/>
    </xf>
    <xf numFmtId="0" fontId="6" fillId="0" borderId="23" xfId="53" applyFont="1" applyFill="1" applyBorder="1" applyAlignment="1">
      <alignment horizontal="center"/>
      <protection/>
    </xf>
    <xf numFmtId="0" fontId="49" fillId="26" borderId="23" xfId="53" applyFont="1" applyFill="1" applyBorder="1" applyProtection="1">
      <alignment/>
      <protection locked="0"/>
    </xf>
    <xf numFmtId="0" fontId="49" fillId="27" borderId="33" xfId="53" applyFont="1" applyFill="1" applyBorder="1" applyAlignment="1" applyProtection="1">
      <alignment horizontal="center"/>
      <protection locked="0"/>
    </xf>
    <xf numFmtId="0" fontId="49" fillId="27" borderId="34" xfId="53" applyFont="1" applyFill="1" applyBorder="1" applyProtection="1">
      <alignment/>
      <protection locked="0"/>
    </xf>
    <xf numFmtId="0" fontId="50" fillId="28" borderId="33" xfId="53" applyFont="1" applyFill="1" applyBorder="1" applyAlignment="1" applyProtection="1">
      <alignment horizontal="center"/>
      <protection locked="0"/>
    </xf>
    <xf numFmtId="0" fontId="50" fillId="28" borderId="34" xfId="53" applyFont="1" applyFill="1" applyBorder="1" applyProtection="1">
      <alignment/>
      <protection locked="0"/>
    </xf>
    <xf numFmtId="0" fontId="37" fillId="23" borderId="23" xfId="53" applyFont="1" applyFill="1" applyBorder="1" applyProtection="1">
      <alignment/>
      <protection locked="0"/>
    </xf>
    <xf numFmtId="0" fontId="49" fillId="3" borderId="23" xfId="53" applyFont="1" applyFill="1" applyBorder="1" applyProtection="1">
      <alignment/>
      <protection locked="0"/>
    </xf>
    <xf numFmtId="0" fontId="39" fillId="0" borderId="34" xfId="53" applyFont="1" applyFill="1" applyBorder="1" applyAlignment="1">
      <alignment horizontal="right"/>
      <protection/>
    </xf>
    <xf numFmtId="169" fontId="6" fillId="0" borderId="24" xfId="53" applyNumberFormat="1" applyFont="1" applyBorder="1" applyAlignment="1" applyProtection="1" quotePrefix="1">
      <alignment horizontal="center"/>
      <protection locked="0"/>
    </xf>
    <xf numFmtId="2" fontId="6" fillId="0" borderId="24" xfId="53" applyNumberFormat="1" applyFont="1" applyBorder="1" applyAlignment="1" applyProtection="1" quotePrefix="1">
      <alignment horizontal="center"/>
      <protection locked="0"/>
    </xf>
    <xf numFmtId="172" fontId="48" fillId="16" borderId="23" xfId="53" applyNumberFormat="1" applyFont="1" applyFill="1" applyBorder="1" applyAlignment="1" applyProtection="1">
      <alignment horizontal="center"/>
      <protection locked="0"/>
    </xf>
    <xf numFmtId="22" fontId="6" fillId="0" borderId="23" xfId="53" applyNumberFormat="1" applyFont="1" applyFill="1" applyBorder="1" applyAlignment="1" applyProtection="1">
      <alignment horizontal="center"/>
      <protection locked="0"/>
    </xf>
    <xf numFmtId="2" fontId="6" fillId="0" borderId="23" xfId="53" applyNumberFormat="1" applyFont="1" applyFill="1" applyBorder="1" applyAlignment="1" applyProtection="1">
      <alignment horizontal="center"/>
      <protection/>
    </xf>
    <xf numFmtId="3" fontId="6" fillId="0" borderId="23" xfId="53" applyNumberFormat="1" applyFont="1" applyFill="1" applyBorder="1" applyAlignment="1" applyProtection="1">
      <alignment horizontal="center"/>
      <protection/>
    </xf>
    <xf numFmtId="172" fontId="6" fillId="0" borderId="23" xfId="53" applyNumberFormat="1" applyFont="1" applyFill="1" applyBorder="1" applyAlignment="1" applyProtection="1">
      <alignment horizontal="center"/>
      <protection locked="0"/>
    </xf>
    <xf numFmtId="172" fontId="6" fillId="0" borderId="23" xfId="53" applyNumberFormat="1" applyFont="1" applyFill="1" applyBorder="1" applyAlignment="1" applyProtection="1" quotePrefix="1">
      <alignment horizontal="center"/>
      <protection locked="0"/>
    </xf>
    <xf numFmtId="2" fontId="34" fillId="6" borderId="23" xfId="53" applyNumberFormat="1" applyFont="1" applyFill="1" applyBorder="1" applyAlignment="1" applyProtection="1">
      <alignment horizontal="center"/>
      <protection locked="0"/>
    </xf>
    <xf numFmtId="2" fontId="49" fillId="26" borderId="23" xfId="53" applyNumberFormat="1" applyFont="1" applyFill="1" applyBorder="1" applyAlignment="1" applyProtection="1">
      <alignment horizontal="center"/>
      <protection locked="0"/>
    </xf>
    <xf numFmtId="172" fontId="49" fillId="27" borderId="33" xfId="53" applyNumberFormat="1" applyFont="1" applyFill="1" applyBorder="1" applyAlignment="1" applyProtection="1" quotePrefix="1">
      <alignment horizontal="center"/>
      <protection locked="0"/>
    </xf>
    <xf numFmtId="172" fontId="49" fillId="27" borderId="35" xfId="53" applyNumberFormat="1" applyFont="1" applyFill="1" applyBorder="1" applyAlignment="1" applyProtection="1" quotePrefix="1">
      <alignment horizontal="center"/>
      <protection locked="0"/>
    </xf>
    <xf numFmtId="172" fontId="50" fillId="28" borderId="33" xfId="53" applyNumberFormat="1" applyFont="1" applyFill="1" applyBorder="1" applyAlignment="1" applyProtection="1" quotePrefix="1">
      <alignment horizontal="center"/>
      <protection locked="0"/>
    </xf>
    <xf numFmtId="172" fontId="50" fillId="28" borderId="35" xfId="53" applyNumberFormat="1" applyFont="1" applyFill="1" applyBorder="1" applyAlignment="1" applyProtection="1" quotePrefix="1">
      <alignment horizontal="center"/>
      <protection locked="0"/>
    </xf>
    <xf numFmtId="172" fontId="37" fillId="23" borderId="23" xfId="53" applyNumberFormat="1" applyFont="1" applyFill="1" applyBorder="1" applyAlignment="1" applyProtection="1" quotePrefix="1">
      <alignment horizontal="center"/>
      <protection locked="0"/>
    </xf>
    <xf numFmtId="172" fontId="49" fillId="3" borderId="24" xfId="53" applyNumberFormat="1" applyFont="1" applyFill="1" applyBorder="1" applyAlignment="1" applyProtection="1" quotePrefix="1">
      <alignment horizontal="center"/>
      <protection locked="0"/>
    </xf>
    <xf numFmtId="172" fontId="39" fillId="0" borderId="34" xfId="53" applyNumberFormat="1" applyFont="1" applyFill="1" applyBorder="1" applyAlignment="1">
      <alignment horizontal="right"/>
      <protection/>
    </xf>
    <xf numFmtId="2" fontId="6" fillId="0" borderId="14" xfId="53" applyNumberFormat="1" applyFont="1" applyFill="1" applyBorder="1">
      <alignment/>
      <protection/>
    </xf>
    <xf numFmtId="0" fontId="6" fillId="0" borderId="25" xfId="53" applyFont="1" applyFill="1" applyBorder="1">
      <alignment/>
      <protection/>
    </xf>
    <xf numFmtId="0" fontId="48" fillId="16" borderId="25" xfId="53" applyFont="1" applyFill="1" applyBorder="1">
      <alignment/>
      <protection/>
    </xf>
    <xf numFmtId="0" fontId="38" fillId="21" borderId="25" xfId="53" applyFont="1" applyFill="1" applyBorder="1">
      <alignment/>
      <protection/>
    </xf>
    <xf numFmtId="0" fontId="34" fillId="6" borderId="25" xfId="53" applyFont="1" applyFill="1" applyBorder="1">
      <alignment/>
      <protection/>
    </xf>
    <xf numFmtId="0" fontId="49" fillId="26" borderId="25" xfId="53" applyFont="1" applyFill="1" applyBorder="1">
      <alignment/>
      <protection/>
    </xf>
    <xf numFmtId="0" fontId="49" fillId="27" borderId="36" xfId="53" applyFont="1" applyFill="1" applyBorder="1">
      <alignment/>
      <protection/>
    </xf>
    <xf numFmtId="0" fontId="49" fillId="27" borderId="37" xfId="53" applyFont="1" applyFill="1" applyBorder="1">
      <alignment/>
      <protection/>
    </xf>
    <xf numFmtId="0" fontId="50" fillId="28" borderId="36" xfId="53" applyFont="1" applyFill="1" applyBorder="1">
      <alignment/>
      <protection/>
    </xf>
    <xf numFmtId="0" fontId="50" fillId="28" borderId="37" xfId="53" applyFont="1" applyFill="1" applyBorder="1">
      <alignment/>
      <protection/>
    </xf>
    <xf numFmtId="0" fontId="37" fillId="23" borderId="25" xfId="53" applyFont="1" applyFill="1" applyBorder="1">
      <alignment/>
      <protection/>
    </xf>
    <xf numFmtId="0" fontId="49" fillId="3" borderId="25" xfId="53" applyFont="1" applyFill="1" applyBorder="1">
      <alignment/>
      <protection/>
    </xf>
    <xf numFmtId="0" fontId="39" fillId="0" borderId="27" xfId="53" applyFont="1" applyFill="1" applyBorder="1" applyAlignment="1">
      <alignment horizontal="right"/>
      <protection/>
    </xf>
    <xf numFmtId="7" fontId="34" fillId="6" borderId="20" xfId="53" applyNumberFormat="1" applyFont="1" applyFill="1" applyBorder="1" applyAlignment="1">
      <alignment horizontal="center"/>
      <protection/>
    </xf>
    <xf numFmtId="7" fontId="49" fillId="26" borderId="20" xfId="53" applyNumberFormat="1" applyFont="1" applyFill="1" applyBorder="1" applyAlignment="1">
      <alignment horizontal="center"/>
      <protection/>
    </xf>
    <xf numFmtId="7" fontId="49" fillId="27" borderId="20" xfId="53" applyNumberFormat="1" applyFont="1" applyFill="1" applyBorder="1" applyAlignment="1">
      <alignment horizontal="center"/>
      <protection/>
    </xf>
    <xf numFmtId="7" fontId="49" fillId="27" borderId="38" xfId="53" applyNumberFormat="1" applyFont="1" applyFill="1" applyBorder="1" applyAlignment="1">
      <alignment horizontal="center"/>
      <protection/>
    </xf>
    <xf numFmtId="7" fontId="50" fillId="28" borderId="20" xfId="53" applyNumberFormat="1" applyFont="1" applyFill="1" applyBorder="1" applyAlignment="1">
      <alignment horizontal="center"/>
      <protection/>
    </xf>
    <xf numFmtId="7" fontId="37" fillId="23" borderId="20" xfId="53" applyNumberFormat="1" applyFont="1" applyFill="1" applyBorder="1" applyAlignment="1">
      <alignment horizontal="center"/>
      <protection/>
    </xf>
    <xf numFmtId="7" fontId="49" fillId="3" borderId="20" xfId="53" applyNumberFormat="1" applyFont="1" applyFill="1" applyBorder="1" applyAlignment="1">
      <alignment horizontal="center"/>
      <protection/>
    </xf>
    <xf numFmtId="0" fontId="6" fillId="0" borderId="39" xfId="53" applyFont="1" applyFill="1" applyBorder="1">
      <alignment/>
      <protection/>
    </xf>
    <xf numFmtId="7" fontId="2" fillId="0" borderId="20" xfId="53" applyNumberFormat="1" applyFont="1" applyFill="1" applyBorder="1" applyAlignment="1" applyProtection="1">
      <alignment horizontal="right"/>
      <protection locked="0"/>
    </xf>
    <xf numFmtId="0" fontId="41" fillId="0" borderId="13" xfId="53" applyFont="1" applyFill="1" applyBorder="1">
      <alignment/>
      <protection/>
    </xf>
    <xf numFmtId="0" fontId="41" fillId="0" borderId="0" xfId="53" applyFont="1" applyFill="1" applyBorder="1">
      <alignment/>
      <protection/>
    </xf>
    <xf numFmtId="7" fontId="41" fillId="0" borderId="0" xfId="53" applyNumberFormat="1" applyFont="1" applyFill="1" applyBorder="1" applyAlignment="1">
      <alignment horizontal="center"/>
      <protection/>
    </xf>
    <xf numFmtId="7" fontId="41" fillId="0" borderId="0" xfId="53" applyNumberFormat="1" applyFont="1" applyFill="1" applyBorder="1" applyAlignment="1" applyProtection="1">
      <alignment horizontal="right"/>
      <protection locked="0"/>
    </xf>
    <xf numFmtId="0" fontId="41" fillId="0" borderId="14" xfId="53" applyFont="1" applyFill="1" applyBorder="1">
      <alignment/>
      <protection/>
    </xf>
    <xf numFmtId="0" fontId="6" fillId="0" borderId="17" xfId="53" applyFont="1" applyFill="1" applyBorder="1">
      <alignment/>
      <protection/>
    </xf>
    <xf numFmtId="0" fontId="6" fillId="0" borderId="18" xfId="53" applyFont="1" applyFill="1" applyBorder="1">
      <alignment/>
      <protection/>
    </xf>
    <xf numFmtId="0" fontId="6" fillId="0" borderId="19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8" fillId="0" borderId="0" xfId="53" applyFont="1" applyAlignment="1">
      <alignment horizontal="centerContinuous" vertical="center"/>
      <protection/>
    </xf>
    <xf numFmtId="0" fontId="6" fillId="0" borderId="0" xfId="53" applyFont="1" applyAlignment="1">
      <alignment horizontal="centerContinuous" vertical="center"/>
      <protection/>
    </xf>
    <xf numFmtId="0" fontId="11" fillId="0" borderId="0" xfId="53" applyFont="1" applyAlignment="1">
      <alignment horizontal="centerContinuous"/>
      <protection/>
    </xf>
    <xf numFmtId="0" fontId="51" fillId="0" borderId="0" xfId="53" applyFont="1" applyBorder="1">
      <alignment/>
      <protection/>
    </xf>
    <xf numFmtId="0" fontId="20" fillId="0" borderId="0" xfId="53" applyFont="1" applyFill="1" applyBorder="1" applyAlignment="1" applyProtection="1" quotePrefix="1">
      <alignment horizontal="centerContinuous"/>
      <protection locked="0"/>
    </xf>
    <xf numFmtId="0" fontId="1" fillId="0" borderId="15" xfId="53" applyFont="1" applyBorder="1" applyAlignment="1" applyProtection="1">
      <alignment horizontal="left"/>
      <protection/>
    </xf>
    <xf numFmtId="174" fontId="1" fillId="0" borderId="38" xfId="53" applyNumberFormat="1" applyFont="1" applyBorder="1" applyAlignment="1" applyProtection="1">
      <alignment horizontal="center"/>
      <protection/>
    </xf>
    <xf numFmtId="0" fontId="1" fillId="0" borderId="20" xfId="53" applyFont="1" applyBorder="1" applyAlignment="1">
      <alignment horizontal="center"/>
      <protection/>
    </xf>
    <xf numFmtId="22" fontId="6" fillId="0" borderId="0" xfId="53" applyNumberFormat="1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25" xfId="53" applyFont="1" applyBorder="1" applyAlignment="1">
      <alignment horizontal="center"/>
      <protection/>
    </xf>
    <xf numFmtId="174" fontId="6" fillId="0" borderId="0" xfId="53" applyNumberFormat="1" applyFont="1" applyBorder="1">
      <alignment/>
      <protection/>
    </xf>
    <xf numFmtId="0" fontId="6" fillId="0" borderId="0" xfId="53" applyFont="1" applyBorder="1" applyAlignment="1" quotePrefix="1">
      <alignment horizontal="center"/>
      <protection/>
    </xf>
    <xf numFmtId="0" fontId="1" fillId="0" borderId="15" xfId="53" applyFont="1" applyBorder="1" applyAlignment="1">
      <alignment horizontal="left"/>
      <protection/>
    </xf>
    <xf numFmtId="1" fontId="1" fillId="0" borderId="25" xfId="53" applyNumberFormat="1" applyFont="1" applyBorder="1" applyAlignment="1">
      <alignment horizontal="center"/>
      <protection/>
    </xf>
    <xf numFmtId="0" fontId="25" fillId="0" borderId="0" xfId="53" applyFont="1">
      <alignment/>
      <protection/>
    </xf>
    <xf numFmtId="0" fontId="25" fillId="0" borderId="13" xfId="53" applyFont="1" applyBorder="1">
      <alignment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25" fillId="0" borderId="21" xfId="53" applyFont="1" applyFill="1" applyBorder="1" applyAlignment="1">
      <alignment horizontal="center" vertical="center" wrapText="1"/>
      <protection/>
    </xf>
    <xf numFmtId="0" fontId="46" fillId="3" borderId="20" xfId="53" applyFont="1" applyFill="1" applyBorder="1" applyAlignment="1" applyProtection="1">
      <alignment horizontal="center" vertical="center"/>
      <protection/>
    </xf>
    <xf numFmtId="0" fontId="52" fillId="23" borderId="20" xfId="53" applyFont="1" applyFill="1" applyBorder="1" applyAlignment="1">
      <alignment horizontal="center" vertical="center" wrapText="1"/>
      <protection/>
    </xf>
    <xf numFmtId="0" fontId="46" fillId="28" borderId="15" xfId="53" applyFont="1" applyFill="1" applyBorder="1" applyAlignment="1" applyProtection="1">
      <alignment horizontal="centerContinuous" vertical="center" wrapText="1"/>
      <protection/>
    </xf>
    <xf numFmtId="0" fontId="46" fillId="28" borderId="16" xfId="53" applyFont="1" applyFill="1" applyBorder="1" applyAlignment="1">
      <alignment horizontal="centerContinuous" vertical="center"/>
      <protection/>
    </xf>
    <xf numFmtId="0" fontId="28" fillId="8" borderId="20" xfId="53" applyFont="1" applyFill="1" applyBorder="1" applyAlignment="1">
      <alignment horizontal="center" vertical="center" wrapText="1"/>
      <protection/>
    </xf>
    <xf numFmtId="0" fontId="25" fillId="0" borderId="14" xfId="53" applyFont="1" applyFill="1" applyBorder="1">
      <alignment/>
      <protection/>
    </xf>
    <xf numFmtId="168" fontId="6" fillId="0" borderId="23" xfId="53" applyNumberFormat="1" applyFont="1" applyFill="1" applyBorder="1" applyAlignment="1" applyProtection="1">
      <alignment horizontal="center"/>
      <protection locked="0"/>
    </xf>
    <xf numFmtId="0" fontId="33" fillId="16" borderId="22" xfId="53" applyFont="1" applyFill="1" applyBorder="1" applyAlignment="1" applyProtection="1">
      <alignment horizontal="center"/>
      <protection locked="0"/>
    </xf>
    <xf numFmtId="0" fontId="6" fillId="0" borderId="34" xfId="53" applyFont="1" applyFill="1" applyBorder="1" applyAlignment="1" applyProtection="1">
      <alignment horizontal="center"/>
      <protection locked="0"/>
    </xf>
    <xf numFmtId="0" fontId="53" fillId="3" borderId="22" xfId="53" applyFont="1" applyFill="1" applyBorder="1" applyAlignment="1" applyProtection="1">
      <alignment horizontal="center"/>
      <protection locked="0"/>
    </xf>
    <xf numFmtId="0" fontId="54" fillId="23" borderId="22" xfId="53" applyFont="1" applyFill="1" applyBorder="1" applyAlignment="1" applyProtection="1">
      <alignment horizontal="center"/>
      <protection locked="0"/>
    </xf>
    <xf numFmtId="172" fontId="49" fillId="28" borderId="30" xfId="53" applyNumberFormat="1" applyFont="1" applyFill="1" applyBorder="1" applyAlignment="1" applyProtection="1" quotePrefix="1">
      <alignment horizontal="center"/>
      <protection locked="0"/>
    </xf>
    <xf numFmtId="172" fontId="49" fillId="28" borderId="40" xfId="53" applyNumberFormat="1" applyFont="1" applyFill="1" applyBorder="1" applyAlignment="1" applyProtection="1" quotePrefix="1">
      <alignment horizontal="center"/>
      <protection locked="0"/>
    </xf>
    <xf numFmtId="172" fontId="34" fillId="8" borderId="22" xfId="53" applyNumberFormat="1" applyFont="1" applyFill="1" applyBorder="1" applyAlignment="1" applyProtection="1" quotePrefix="1">
      <alignment horizontal="center"/>
      <protection locked="0"/>
    </xf>
    <xf numFmtId="0" fontId="6" fillId="0" borderId="32" xfId="53" applyFont="1" applyFill="1" applyBorder="1" applyAlignment="1" applyProtection="1">
      <alignment horizontal="left"/>
      <protection locked="0"/>
    </xf>
    <xf numFmtId="0" fontId="39" fillId="0" borderId="23" xfId="53" applyFont="1" applyFill="1" applyBorder="1" applyAlignment="1">
      <alignment horizontal="center"/>
      <protection/>
    </xf>
    <xf numFmtId="0" fontId="55" fillId="0" borderId="32" xfId="53" applyFont="1" applyFill="1" applyBorder="1" applyAlignment="1" applyProtection="1">
      <alignment horizontal="center"/>
      <protection locked="0"/>
    </xf>
    <xf numFmtId="175" fontId="5" fillId="0" borderId="23" xfId="53" applyNumberFormat="1" applyFont="1" applyFill="1" applyBorder="1" applyAlignment="1" applyProtection="1">
      <alignment horizontal="center"/>
      <protection locked="0"/>
    </xf>
    <xf numFmtId="174" fontId="33" fillId="16" borderId="23" xfId="53" applyNumberFormat="1" applyFont="1" applyFill="1" applyBorder="1" applyAlignment="1" applyProtection="1">
      <alignment horizontal="center"/>
      <protection locked="0"/>
    </xf>
    <xf numFmtId="22" fontId="6" fillId="0" borderId="24" xfId="53" applyNumberFormat="1" applyFont="1" applyFill="1" applyBorder="1" applyAlignment="1" applyProtection="1">
      <alignment horizontal="center"/>
      <protection locked="0"/>
    </xf>
    <xf numFmtId="22" fontId="6" fillId="0" borderId="35" xfId="53" applyNumberFormat="1" applyFont="1" applyFill="1" applyBorder="1" applyAlignment="1" applyProtection="1">
      <alignment horizontal="center"/>
      <protection locked="0"/>
    </xf>
    <xf numFmtId="168" fontId="6" fillId="0" borderId="23" xfId="53" applyNumberFormat="1" applyFont="1" applyFill="1" applyBorder="1" applyAlignment="1" applyProtection="1" quotePrefix="1">
      <alignment horizontal="center"/>
      <protection/>
    </xf>
    <xf numFmtId="168" fontId="53" fillId="3" borderId="23" xfId="53" applyNumberFormat="1" applyFont="1" applyFill="1" applyBorder="1" applyAlignment="1" applyProtection="1">
      <alignment horizontal="center"/>
      <protection locked="0"/>
    </xf>
    <xf numFmtId="2" fontId="54" fillId="23" borderId="23" xfId="53" applyNumberFormat="1" applyFont="1" applyFill="1" applyBorder="1" applyAlignment="1" applyProtection="1">
      <alignment horizontal="center"/>
      <protection locked="0"/>
    </xf>
    <xf numFmtId="172" fontId="49" fillId="28" borderId="33" xfId="53" applyNumberFormat="1" applyFont="1" applyFill="1" applyBorder="1" applyAlignment="1" applyProtection="1" quotePrefix="1">
      <alignment horizontal="center"/>
      <protection locked="0"/>
    </xf>
    <xf numFmtId="172" fontId="49" fillId="28" borderId="35" xfId="53" applyNumberFormat="1" applyFont="1" applyFill="1" applyBorder="1" applyAlignment="1" applyProtection="1" quotePrefix="1">
      <alignment horizontal="center"/>
      <protection locked="0"/>
    </xf>
    <xf numFmtId="172" fontId="34" fillId="8" borderId="23" xfId="53" applyNumberFormat="1" applyFont="1" applyFill="1" applyBorder="1" applyAlignment="1" applyProtection="1" quotePrefix="1">
      <alignment horizontal="center"/>
      <protection locked="0"/>
    </xf>
    <xf numFmtId="172" fontId="6" fillId="0" borderId="32" xfId="53" applyNumberFormat="1" applyFont="1" applyFill="1" applyBorder="1" applyAlignment="1" applyProtection="1">
      <alignment horizontal="center"/>
      <protection locked="0"/>
    </xf>
    <xf numFmtId="172" fontId="39" fillId="0" borderId="23" xfId="53" applyNumberFormat="1" applyFont="1" applyFill="1" applyBorder="1" applyAlignment="1">
      <alignment horizontal="center"/>
      <protection/>
    </xf>
    <xf numFmtId="175" fontId="5" fillId="0" borderId="23" xfId="53" applyNumberFormat="1" applyFont="1" applyFill="1" applyBorder="1" applyAlignment="1" applyProtection="1" quotePrefix="1">
      <alignment horizontal="center"/>
      <protection locked="0"/>
    </xf>
    <xf numFmtId="172" fontId="39" fillId="0" borderId="23" xfId="53" applyNumberFormat="1" applyFont="1" applyFill="1" applyBorder="1" applyAlignment="1">
      <alignment horizontal="right"/>
      <protection/>
    </xf>
    <xf numFmtId="0" fontId="33" fillId="16" borderId="25" xfId="53" applyFont="1" applyFill="1" applyBorder="1">
      <alignment/>
      <protection/>
    </xf>
    <xf numFmtId="0" fontId="53" fillId="3" borderId="25" xfId="53" applyFont="1" applyFill="1" applyBorder="1">
      <alignment/>
      <protection/>
    </xf>
    <xf numFmtId="0" fontId="54" fillId="23" borderId="25" xfId="53" applyFont="1" applyFill="1" applyBorder="1">
      <alignment/>
      <protection/>
    </xf>
    <xf numFmtId="0" fontId="49" fillId="28" borderId="36" xfId="53" applyFont="1" applyFill="1" applyBorder="1">
      <alignment/>
      <protection/>
    </xf>
    <xf numFmtId="0" fontId="49" fillId="28" borderId="37" xfId="53" applyFont="1" applyFill="1" applyBorder="1">
      <alignment/>
      <protection/>
    </xf>
    <xf numFmtId="0" fontId="34" fillId="8" borderId="25" xfId="53" applyFont="1" applyFill="1" applyBorder="1">
      <alignment/>
      <protection/>
    </xf>
    <xf numFmtId="0" fontId="39" fillId="0" borderId="27" xfId="53" applyFont="1" applyFill="1" applyBorder="1">
      <alignment/>
      <protection/>
    </xf>
    <xf numFmtId="2" fontId="54" fillId="23" borderId="20" xfId="53" applyNumberFormat="1" applyFont="1" applyFill="1" applyBorder="1" applyAlignment="1">
      <alignment horizontal="center"/>
      <protection/>
    </xf>
    <xf numFmtId="2" fontId="49" fillId="28" borderId="20" xfId="53" applyNumberFormat="1" applyFont="1" applyFill="1" applyBorder="1" applyAlignment="1">
      <alignment horizontal="center"/>
      <protection/>
    </xf>
    <xf numFmtId="2" fontId="34" fillId="8" borderId="20" xfId="53" applyNumberFormat="1" applyFont="1" applyFill="1" applyBorder="1" applyAlignment="1">
      <alignment horizontal="center"/>
      <protection/>
    </xf>
    <xf numFmtId="7" fontId="6" fillId="0" borderId="0" xfId="53" applyNumberFormat="1" applyFont="1" applyFill="1" applyBorder="1" applyAlignment="1">
      <alignment horizontal="center"/>
      <protection/>
    </xf>
    <xf numFmtId="7" fontId="2" fillId="0" borderId="20" xfId="53" applyNumberFormat="1" applyFont="1" applyFill="1" applyBorder="1" applyAlignment="1" applyProtection="1">
      <alignment horizontal="right"/>
      <protection locked="0"/>
    </xf>
    <xf numFmtId="7" fontId="45" fillId="0" borderId="0" xfId="53" applyNumberFormat="1" applyFont="1" applyFill="1" applyBorder="1" applyAlignment="1" applyProtection="1">
      <alignment horizontal="center"/>
      <protection locked="0"/>
    </xf>
    <xf numFmtId="0" fontId="1" fillId="0" borderId="0" xfId="53" applyFont="1">
      <alignment/>
      <protection/>
    </xf>
    <xf numFmtId="0" fontId="56" fillId="0" borderId="0" xfId="53" applyFont="1" applyAlignment="1">
      <alignment horizontal="right" vertical="top"/>
      <protection/>
    </xf>
    <xf numFmtId="0" fontId="56" fillId="0" borderId="0" xfId="53" applyFont="1" applyFill="1" applyAlignment="1">
      <alignment horizontal="right" vertical="top"/>
      <protection/>
    </xf>
    <xf numFmtId="0" fontId="21" fillId="0" borderId="0" xfId="53" applyFont="1" applyBorder="1" applyAlignment="1">
      <alignment horizontal="center"/>
      <protection/>
    </xf>
    <xf numFmtId="0" fontId="57" fillId="0" borderId="0" xfId="53" applyNumberFormat="1" applyFont="1" applyBorder="1" applyAlignment="1">
      <alignment horizontal="left"/>
      <protection/>
    </xf>
    <xf numFmtId="0" fontId="6" fillId="0" borderId="32" xfId="53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174" fontId="1" fillId="0" borderId="38" xfId="53" applyNumberFormat="1" applyFont="1" applyBorder="1" applyAlignment="1">
      <alignment horizontal="center"/>
      <protection/>
    </xf>
    <xf numFmtId="0" fontId="53" fillId="0" borderId="0" xfId="53" applyFont="1" applyBorder="1">
      <alignment/>
      <protection/>
    </xf>
    <xf numFmtId="0" fontId="53" fillId="0" borderId="0" xfId="53" applyFont="1" applyFill="1" applyBorder="1">
      <alignment/>
      <protection/>
    </xf>
    <xf numFmtId="0" fontId="60" fillId="0" borderId="0" xfId="53" applyFont="1" applyBorder="1" applyAlignment="1">
      <alignment horizontal="left"/>
      <protection/>
    </xf>
    <xf numFmtId="0" fontId="60" fillId="0" borderId="28" xfId="53" applyFont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1" fillId="0" borderId="0" xfId="54">
      <alignment/>
      <protection/>
    </xf>
    <xf numFmtId="0" fontId="56" fillId="0" borderId="0" xfId="54" applyFont="1" applyAlignment="1">
      <alignment horizontal="right" vertical="top"/>
      <protection/>
    </xf>
    <xf numFmtId="0" fontId="79" fillId="0" borderId="0" xfId="54" applyFont="1">
      <alignment/>
      <protection/>
    </xf>
    <xf numFmtId="0" fontId="80" fillId="0" borderId="0" xfId="54" applyFont="1" applyAlignment="1">
      <alignment horizontal="centerContinuous"/>
      <protection/>
    </xf>
    <xf numFmtId="0" fontId="4" fillId="0" borderId="0" xfId="54" applyFont="1" applyBorder="1" applyAlignment="1" applyProtection="1">
      <alignment horizontal="centerContinuous" vertical="center"/>
      <protection/>
    </xf>
    <xf numFmtId="0" fontId="81" fillId="0" borderId="0" xfId="54" applyFont="1" applyAlignment="1">
      <alignment horizontal="centerContinuous" vertical="center"/>
      <protection/>
    </xf>
    <xf numFmtId="0" fontId="81" fillId="0" borderId="0" xfId="54" applyFont="1">
      <alignment/>
      <protection/>
    </xf>
    <xf numFmtId="0" fontId="82" fillId="0" borderId="0" xfId="54" applyFont="1" applyBorder="1" applyAlignment="1">
      <alignment horizontal="centerContinuous"/>
      <protection/>
    </xf>
    <xf numFmtId="0" fontId="83" fillId="0" borderId="0" xfId="54" applyFont="1" applyBorder="1" applyAlignment="1" applyProtection="1">
      <alignment horizontal="left"/>
      <protection/>
    </xf>
    <xf numFmtId="0" fontId="84" fillId="0" borderId="0" xfId="54" applyFont="1" applyBorder="1" applyAlignment="1">
      <alignment horizontal="centerContinuous"/>
      <protection/>
    </xf>
    <xf numFmtId="0" fontId="85" fillId="0" borderId="0" xfId="54" applyFont="1" applyBorder="1" applyAlignment="1" applyProtection="1">
      <alignment horizontal="centerContinuous"/>
      <protection/>
    </xf>
    <xf numFmtId="0" fontId="1" fillId="0" borderId="0" xfId="54" applyAlignment="1">
      <alignment horizontal="centerContinuous"/>
      <protection/>
    </xf>
    <xf numFmtId="0" fontId="85" fillId="0" borderId="0" xfId="54" applyFont="1" applyAlignment="1">
      <alignment horizontal="centerContinuous"/>
      <protection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86" fillId="0" borderId="11" xfId="54" applyFont="1" applyBorder="1">
      <alignment/>
      <protection/>
    </xf>
    <xf numFmtId="0" fontId="1" fillId="0" borderId="12" xfId="54" applyBorder="1">
      <alignment/>
      <protection/>
    </xf>
    <xf numFmtId="0" fontId="20" fillId="0" borderId="13" xfId="54" applyFont="1" applyBorder="1" applyAlignment="1">
      <alignment horizontal="centerContinuous"/>
      <protection/>
    </xf>
    <xf numFmtId="0" fontId="86" fillId="0" borderId="0" xfId="54" applyFont="1" applyBorder="1" applyAlignment="1">
      <alignment horizontal="centerContinuous"/>
      <protection/>
    </xf>
    <xf numFmtId="0" fontId="1" fillId="0" borderId="0" xfId="54" applyBorder="1" applyAlignment="1">
      <alignment horizontal="centerContinuous"/>
      <protection/>
    </xf>
    <xf numFmtId="0" fontId="1" fillId="0" borderId="14" xfId="54" applyBorder="1" applyAlignment="1">
      <alignment horizontal="centerContinuous"/>
      <protection/>
    </xf>
    <xf numFmtId="0" fontId="1" fillId="0" borderId="13" xfId="54" applyBorder="1">
      <alignment/>
      <protection/>
    </xf>
    <xf numFmtId="0" fontId="1" fillId="0" borderId="41" xfId="54" applyBorder="1">
      <alignment/>
      <protection/>
    </xf>
    <xf numFmtId="0" fontId="86" fillId="0" borderId="0" xfId="54" applyFont="1" applyBorder="1" applyAlignment="1" applyProtection="1">
      <alignment horizontal="center"/>
      <protection/>
    </xf>
    <xf numFmtId="0" fontId="86" fillId="0" borderId="0" xfId="54" applyFont="1" applyBorder="1">
      <alignment/>
      <protection/>
    </xf>
    <xf numFmtId="0" fontId="1" fillId="0" borderId="0" xfId="54" applyBorder="1">
      <alignment/>
      <protection/>
    </xf>
    <xf numFmtId="0" fontId="1" fillId="0" borderId="14" xfId="54" applyBorder="1">
      <alignment/>
      <protection/>
    </xf>
    <xf numFmtId="0" fontId="87" fillId="0" borderId="0" xfId="54" applyFont="1" applyAlignment="1">
      <alignment horizontal="centerContinuous" vertical="center"/>
      <protection/>
    </xf>
    <xf numFmtId="0" fontId="87" fillId="0" borderId="13" xfId="54" applyFont="1" applyBorder="1" applyAlignment="1">
      <alignment horizontal="centerContinuous" vertical="center"/>
      <protection/>
    </xf>
    <xf numFmtId="0" fontId="87" fillId="29" borderId="42" xfId="54" applyFont="1" applyFill="1" applyBorder="1" applyAlignment="1" applyProtection="1">
      <alignment horizontal="centerContinuous" vertical="center"/>
      <protection/>
    </xf>
    <xf numFmtId="0" fontId="87" fillId="29" borderId="42" xfId="54" applyFont="1" applyFill="1" applyBorder="1" applyAlignment="1" applyProtection="1">
      <alignment horizontal="centerContinuous" vertical="center" wrapText="1"/>
      <protection/>
    </xf>
    <xf numFmtId="172" fontId="87" fillId="29" borderId="20" xfId="54" applyNumberFormat="1" applyFont="1" applyFill="1" applyBorder="1" applyAlignment="1" applyProtection="1">
      <alignment horizontal="centerContinuous" vertical="center" wrapText="1"/>
      <protection/>
    </xf>
    <xf numFmtId="17" fontId="87" fillId="29" borderId="16" xfId="54" applyNumberFormat="1" applyFont="1" applyFill="1" applyBorder="1" applyAlignment="1">
      <alignment horizontal="center" vertical="center"/>
      <protection/>
    </xf>
    <xf numFmtId="0" fontId="87" fillId="0" borderId="14" xfId="54" applyFont="1" applyBorder="1" applyAlignment="1">
      <alignment vertical="center"/>
      <protection/>
    </xf>
    <xf numFmtId="0" fontId="87" fillId="0" borderId="0" xfId="54" applyFont="1" applyAlignment="1">
      <alignment vertical="center"/>
      <protection/>
    </xf>
    <xf numFmtId="0" fontId="87" fillId="0" borderId="13" xfId="54" applyFont="1" applyBorder="1" applyAlignment="1">
      <alignment vertical="center"/>
      <protection/>
    </xf>
    <xf numFmtId="0" fontId="87" fillId="0" borderId="32" xfId="54" applyFont="1" applyBorder="1" applyAlignment="1">
      <alignment vertical="center"/>
      <protection/>
    </xf>
    <xf numFmtId="0" fontId="87" fillId="0" borderId="43" xfId="54" applyFont="1" applyBorder="1" applyAlignment="1">
      <alignment vertical="center"/>
      <protection/>
    </xf>
    <xf numFmtId="0" fontId="87" fillId="0" borderId="27" xfId="54" applyFont="1" applyBorder="1" applyAlignment="1">
      <alignment vertical="center"/>
      <protection/>
    </xf>
    <xf numFmtId="0" fontId="87" fillId="0" borderId="44" xfId="54" applyFont="1" applyBorder="1" applyAlignment="1">
      <alignment vertical="center"/>
      <protection/>
    </xf>
    <xf numFmtId="0" fontId="87" fillId="30" borderId="32" xfId="54" applyFont="1" applyFill="1" applyBorder="1" applyAlignment="1">
      <alignment horizontal="center" vertical="center"/>
      <protection/>
    </xf>
    <xf numFmtId="0" fontId="87" fillId="30" borderId="45" xfId="54" applyFont="1" applyFill="1" applyBorder="1" applyAlignment="1" applyProtection="1">
      <alignment horizontal="center" vertical="center"/>
      <protection/>
    </xf>
    <xf numFmtId="2" fontId="87" fillId="30" borderId="24" xfId="54" applyNumberFormat="1" applyFont="1" applyFill="1" applyBorder="1" applyAlignment="1" applyProtection="1">
      <alignment horizontal="center" vertical="center"/>
      <protection/>
    </xf>
    <xf numFmtId="0" fontId="87" fillId="31" borderId="32" xfId="54" applyFont="1" applyFill="1" applyBorder="1" applyAlignment="1">
      <alignment horizontal="center" vertical="center"/>
      <protection/>
    </xf>
    <xf numFmtId="0" fontId="87" fillId="31" borderId="45" xfId="54" applyFont="1" applyFill="1" applyBorder="1" applyAlignment="1" applyProtection="1">
      <alignment horizontal="center" vertical="center"/>
      <protection/>
    </xf>
    <xf numFmtId="2" fontId="87" fillId="31" borderId="24" xfId="54" applyNumberFormat="1" applyFont="1" applyFill="1" applyBorder="1" applyAlignment="1" applyProtection="1">
      <alignment horizontal="center" vertical="center"/>
      <protection/>
    </xf>
    <xf numFmtId="0" fontId="87" fillId="31" borderId="24" xfId="54" applyFont="1" applyFill="1" applyBorder="1" applyAlignment="1">
      <alignment horizontal="center" vertical="center"/>
      <protection/>
    </xf>
    <xf numFmtId="0" fontId="87" fillId="31" borderId="46" xfId="54" applyFont="1" applyFill="1" applyBorder="1" applyAlignment="1" applyProtection="1">
      <alignment horizontal="center" vertical="center"/>
      <protection/>
    </xf>
    <xf numFmtId="2" fontId="87" fillId="31" borderId="47" xfId="54" applyNumberFormat="1" applyFont="1" applyFill="1" applyBorder="1" applyAlignment="1" applyProtection="1">
      <alignment horizontal="center" vertical="center"/>
      <protection/>
    </xf>
    <xf numFmtId="0" fontId="87" fillId="0" borderId="48" xfId="54" applyFont="1" applyBorder="1" applyAlignment="1">
      <alignment horizontal="center" vertical="center"/>
      <protection/>
    </xf>
    <xf numFmtId="0" fontId="87" fillId="0" borderId="49" xfId="54" applyFont="1" applyBorder="1" applyAlignment="1" applyProtection="1">
      <alignment horizontal="left" vertical="center"/>
      <protection/>
    </xf>
    <xf numFmtId="0" fontId="87" fillId="0" borderId="49" xfId="54" applyFont="1" applyBorder="1" applyAlignment="1" applyProtection="1">
      <alignment horizontal="center" vertical="center"/>
      <protection/>
    </xf>
    <xf numFmtId="2" fontId="87" fillId="0" borderId="26" xfId="54" applyNumberFormat="1" applyFont="1" applyBorder="1" applyAlignment="1" applyProtection="1">
      <alignment horizontal="center" vertical="center"/>
      <protection/>
    </xf>
    <xf numFmtId="0" fontId="87" fillId="0" borderId="0" xfId="54" applyFont="1" applyBorder="1" applyAlignment="1">
      <alignment horizontal="center" vertical="center"/>
      <protection/>
    </xf>
    <xf numFmtId="0" fontId="87" fillId="0" borderId="0" xfId="54" applyFont="1" applyBorder="1" applyAlignment="1" applyProtection="1">
      <alignment horizontal="left" vertical="center"/>
      <protection/>
    </xf>
    <xf numFmtId="0" fontId="88" fillId="0" borderId="28" xfId="54" applyFont="1" applyBorder="1" applyAlignment="1" applyProtection="1">
      <alignment horizontal="right" vertical="center"/>
      <protection/>
    </xf>
    <xf numFmtId="172" fontId="88" fillId="0" borderId="26" xfId="54" applyNumberFormat="1" applyFont="1" applyBorder="1" applyAlignment="1" applyProtection="1">
      <alignment horizontal="center" vertical="center"/>
      <protection/>
    </xf>
    <xf numFmtId="1" fontId="87" fillId="0" borderId="20" xfId="54" applyNumberFormat="1" applyFont="1" applyFill="1" applyBorder="1" applyAlignment="1">
      <alignment horizontal="center" vertical="center"/>
      <protection/>
    </xf>
    <xf numFmtId="1" fontId="87" fillId="0" borderId="20" xfId="54" applyNumberFormat="1" applyFont="1" applyBorder="1" applyAlignment="1">
      <alignment horizontal="center" vertical="center"/>
      <protection/>
    </xf>
    <xf numFmtId="0" fontId="87" fillId="0" borderId="0" xfId="54" applyFont="1" applyBorder="1" applyAlignment="1">
      <alignment vertical="center"/>
      <protection/>
    </xf>
    <xf numFmtId="0" fontId="87" fillId="0" borderId="0" xfId="54" applyFont="1" applyBorder="1" applyAlignment="1" applyProtection="1">
      <alignment horizontal="center" vertical="center"/>
      <protection/>
    </xf>
    <xf numFmtId="0" fontId="88" fillId="0" borderId="0" xfId="54" applyFont="1" applyAlignment="1">
      <alignment horizontal="right" vertical="center"/>
      <protection/>
    </xf>
    <xf numFmtId="1" fontId="87" fillId="0" borderId="20" xfId="54" applyNumberFormat="1" applyFont="1" applyBorder="1" applyAlignment="1" applyProtection="1">
      <alignment horizontal="center" vertical="center"/>
      <protection/>
    </xf>
    <xf numFmtId="17" fontId="88" fillId="0" borderId="0" xfId="54" applyNumberFormat="1" applyFont="1" applyBorder="1" applyAlignment="1">
      <alignment horizontal="right" vertical="center"/>
      <protection/>
    </xf>
    <xf numFmtId="2" fontId="88" fillId="32" borderId="26" xfId="55" applyNumberFormat="1" applyFont="1" applyFill="1" applyBorder="1" applyAlignment="1">
      <alignment horizontal="center" vertical="center"/>
      <protection/>
    </xf>
    <xf numFmtId="2" fontId="88" fillId="33" borderId="50" xfId="55" applyNumberFormat="1" applyFont="1" applyFill="1" applyBorder="1" applyAlignment="1">
      <alignment horizontal="center" vertical="center"/>
      <protection/>
    </xf>
    <xf numFmtId="0" fontId="6" fillId="0" borderId="0" xfId="54" applyFont="1" applyBorder="1">
      <alignment/>
      <protection/>
    </xf>
    <xf numFmtId="0" fontId="3" fillId="0" borderId="0" xfId="54" applyFont="1" applyBorder="1" applyAlignment="1" applyProtection="1">
      <alignment horizontal="center"/>
      <protection/>
    </xf>
    <xf numFmtId="172" fontId="3" fillId="0" borderId="0" xfId="54" applyNumberFormat="1" applyFont="1" applyBorder="1" applyAlignment="1" applyProtection="1">
      <alignment horizontal="right"/>
      <protection/>
    </xf>
    <xf numFmtId="2" fontId="1" fillId="0" borderId="0" xfId="54" applyNumberFormat="1" applyBorder="1" applyAlignment="1">
      <alignment horizontal="center"/>
      <protection/>
    </xf>
    <xf numFmtId="2" fontId="1" fillId="0" borderId="14" xfId="54" applyNumberFormat="1" applyBorder="1" applyAlignment="1">
      <alignment horizontal="center"/>
      <protection/>
    </xf>
    <xf numFmtId="0" fontId="89" fillId="0" borderId="13" xfId="54" applyFont="1" applyBorder="1">
      <alignment/>
      <protection/>
    </xf>
    <xf numFmtId="0" fontId="1" fillId="0" borderId="15" xfId="54" applyFont="1" applyBorder="1">
      <alignment/>
      <protection/>
    </xf>
    <xf numFmtId="0" fontId="90" fillId="0" borderId="21" xfId="54" applyFont="1" applyBorder="1" applyAlignment="1">
      <alignment horizontal="center"/>
      <protection/>
    </xf>
    <xf numFmtId="2" fontId="91" fillId="0" borderId="21" xfId="54" applyNumberFormat="1" applyFont="1" applyBorder="1" applyAlignment="1">
      <alignment horizontal="center"/>
      <protection/>
    </xf>
    <xf numFmtId="0" fontId="92" fillId="0" borderId="21" xfId="54" applyFont="1" applyBorder="1">
      <alignment/>
      <protection/>
    </xf>
    <xf numFmtId="0" fontId="1" fillId="0" borderId="21" xfId="54" applyBorder="1">
      <alignment/>
      <protection/>
    </xf>
    <xf numFmtId="0" fontId="1" fillId="0" borderId="16" xfId="54" applyBorder="1">
      <alignment/>
      <protection/>
    </xf>
    <xf numFmtId="1" fontId="1" fillId="0" borderId="0" xfId="54" applyNumberFormat="1" applyBorder="1" applyAlignment="1">
      <alignment horizontal="center"/>
      <protection/>
    </xf>
    <xf numFmtId="0" fontId="89" fillId="0" borderId="17" xfId="54" applyFont="1" applyBorder="1">
      <alignment/>
      <protection/>
    </xf>
    <xf numFmtId="0" fontId="3" fillId="0" borderId="18" xfId="54" applyFont="1" applyBorder="1" applyAlignment="1" applyProtection="1">
      <alignment horizontal="left"/>
      <protection/>
    </xf>
    <xf numFmtId="0" fontId="6" fillId="0" borderId="18" xfId="54" applyFont="1" applyBorder="1">
      <alignment/>
      <protection/>
    </xf>
    <xf numFmtId="0" fontId="3" fillId="0" borderId="18" xfId="54" applyFont="1" applyBorder="1" applyAlignment="1">
      <alignment horizontal="center"/>
      <protection/>
    </xf>
    <xf numFmtId="0" fontId="1" fillId="0" borderId="18" xfId="54" applyBorder="1">
      <alignment/>
      <protection/>
    </xf>
    <xf numFmtId="0" fontId="1" fillId="0" borderId="19" xfId="54" applyBorder="1">
      <alignment/>
      <protection/>
    </xf>
    <xf numFmtId="0" fontId="4" fillId="0" borderId="0" xfId="53" applyFont="1" applyFill="1" applyBorder="1" applyAlignment="1" applyProtection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yo" xfId="53"/>
    <cellStyle name="Normal_T0002CUY" xfId="54"/>
    <cellStyle name="Normal_T9904CUY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971550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990600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971550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5">
          <cell r="GX15">
            <v>40940</v>
          </cell>
          <cell r="GY15">
            <v>40969</v>
          </cell>
          <cell r="GZ15">
            <v>41000</v>
          </cell>
          <cell r="HA15">
            <v>41030</v>
          </cell>
          <cell r="HB15">
            <v>41061</v>
          </cell>
          <cell r="HC15">
            <v>41091</v>
          </cell>
          <cell r="HD15">
            <v>41122</v>
          </cell>
          <cell r="HE15">
            <v>41153</v>
          </cell>
          <cell r="HF15">
            <v>41183</v>
          </cell>
          <cell r="HG15">
            <v>41214</v>
          </cell>
          <cell r="HH15">
            <v>41244</v>
          </cell>
          <cell r="HI15">
            <v>41275</v>
          </cell>
          <cell r="HJ15">
            <v>41306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GY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  <cell r="HC21">
            <v>1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E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  <cell r="HA23">
            <v>1</v>
          </cell>
          <cell r="HD23">
            <v>1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B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A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  <cell r="HI30">
            <v>1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  <cell r="HI31">
            <v>1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GX32" t="str">
            <v>XXXX</v>
          </cell>
          <cell r="GY32" t="str">
            <v>XXXX</v>
          </cell>
          <cell r="GZ32" t="str">
            <v>XXXX</v>
          </cell>
          <cell r="HA32" t="str">
            <v>XXXX</v>
          </cell>
          <cell r="HB32" t="str">
            <v>XXXX</v>
          </cell>
          <cell r="HC32" t="str">
            <v>XXXX</v>
          </cell>
          <cell r="HD32" t="str">
            <v>XXXX</v>
          </cell>
          <cell r="HE32" t="str">
            <v>XXXX</v>
          </cell>
          <cell r="HF32" t="str">
            <v>XXXX</v>
          </cell>
          <cell r="HG32" t="str">
            <v>XXXX</v>
          </cell>
          <cell r="HH32" t="str">
            <v>XXXX</v>
          </cell>
          <cell r="HI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  <cell r="HF34">
            <v>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F37">
            <v>1</v>
          </cell>
          <cell r="HG37">
            <v>1</v>
          </cell>
        </row>
        <row r="42">
          <cell r="GX42">
            <v>1.28</v>
          </cell>
          <cell r="GY42">
            <v>1.2</v>
          </cell>
          <cell r="GZ42">
            <v>1.2</v>
          </cell>
          <cell r="HA42">
            <v>1.04</v>
          </cell>
          <cell r="HB42">
            <v>1.2</v>
          </cell>
          <cell r="HC42">
            <v>1.12</v>
          </cell>
          <cell r="HD42">
            <v>1.12</v>
          </cell>
          <cell r="HE42">
            <v>1.2</v>
          </cell>
          <cell r="HF42">
            <v>1.04</v>
          </cell>
          <cell r="HG42">
            <v>1.12</v>
          </cell>
          <cell r="HH42">
            <v>1.04</v>
          </cell>
          <cell r="HI42">
            <v>0.88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4"/>
    </row>
    <row r="2" spans="2:10" s="6" customFormat="1" ht="26.25">
      <c r="B2" s="7" t="s">
        <v>103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491" t="s">
        <v>3</v>
      </c>
      <c r="B4" s="49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491" t="s">
        <v>91</v>
      </c>
      <c r="B5" s="49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92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65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'LI-02 (1)'!AA42</f>
        <v>1489.15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'T-02 (1)'!AC42</f>
        <v>35873.81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'SA-02 (1)'!V43</f>
        <v>1064.34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SUM(I18:I24)</f>
        <v>38427.299999999996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6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7" t="s">
        <v>62</v>
      </c>
      <c r="D30" s="41"/>
      <c r="F30" s="396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8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zoomScale="70" zoomScaleNormal="70" zoomScalePageLayoutView="0" workbookViewId="0" topLeftCell="A1">
      <selection activeCell="C21" sqref="C21:AA25"/>
    </sheetView>
  </sheetViews>
  <sheetFormatPr defaultColWidth="11.421875" defaultRowHeight="12.75"/>
  <cols>
    <col min="1" max="1" width="19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5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4"/>
    </row>
    <row r="2" spans="2:28" s="6" customFormat="1" ht="26.25">
      <c r="B2" s="68" t="str">
        <f>+'TOT-0213'!B2</f>
        <v>ANEXO III al Memorándum  D.T.E.E.  N° 376/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+'TOT-0213'!B14</f>
        <v>Desde el 01 al 28 de febrero de 2013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356.878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341.02</v>
      </c>
      <c r="H15" s="90"/>
      <c r="I15" s="12"/>
      <c r="J15" s="91"/>
      <c r="K15" s="92" t="s">
        <v>18</v>
      </c>
      <c r="L15" s="93">
        <f>30*'TOT-0213'!B13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>
        <v>341.02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01">
        <v>4</v>
      </c>
      <c r="E17" s="401">
        <v>5</v>
      </c>
      <c r="F17" s="401">
        <v>6</v>
      </c>
      <c r="G17" s="401">
        <v>7</v>
      </c>
      <c r="H17" s="401">
        <v>8</v>
      </c>
      <c r="I17" s="401">
        <v>9</v>
      </c>
      <c r="J17" s="401">
        <v>10</v>
      </c>
      <c r="K17" s="401">
        <v>11</v>
      </c>
      <c r="L17" s="401">
        <v>12</v>
      </c>
      <c r="M17" s="401">
        <v>13</v>
      </c>
      <c r="N17" s="401">
        <v>14</v>
      </c>
      <c r="O17" s="401">
        <v>15</v>
      </c>
      <c r="P17" s="401">
        <v>16</v>
      </c>
      <c r="Q17" s="401">
        <v>17</v>
      </c>
      <c r="R17" s="401">
        <v>18</v>
      </c>
      <c r="S17" s="401">
        <v>19</v>
      </c>
      <c r="T17" s="401">
        <v>20</v>
      </c>
      <c r="U17" s="401">
        <v>21</v>
      </c>
      <c r="V17" s="401">
        <v>22</v>
      </c>
      <c r="W17" s="401">
        <v>23</v>
      </c>
      <c r="X17" s="401">
        <v>24</v>
      </c>
      <c r="Y17" s="401">
        <v>25</v>
      </c>
      <c r="Z17" s="401">
        <v>26</v>
      </c>
      <c r="AA17" s="401">
        <v>27</v>
      </c>
      <c r="AB17" s="49"/>
    </row>
    <row r="18" spans="2:28" s="96" customFormat="1" ht="34.5" customHeight="1" thickBot="1" thickTop="1">
      <c r="B18" s="97"/>
      <c r="C18" s="399" t="s">
        <v>20</v>
      </c>
      <c r="D18" s="399" t="s">
        <v>63</v>
      </c>
      <c r="E18" s="399" t="s">
        <v>64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60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257729</v>
      </c>
      <c r="E21" s="128">
        <v>710</v>
      </c>
      <c r="F21" s="126" t="s">
        <v>66</v>
      </c>
      <c r="G21" s="126">
        <v>220</v>
      </c>
      <c r="H21" s="138">
        <v>188.3</v>
      </c>
      <c r="I21" s="139">
        <f aca="true" t="shared" si="0" ref="I21:I40">IF(G21=220,$G$14*IF(H21&gt;25,H21,25),IF(G21=132,$G$15*IF(H21&gt;25,+H21,25),$G$16*IF(H21&gt;25,H21,25)))/100</f>
        <v>672.001274</v>
      </c>
      <c r="J21" s="140">
        <v>41309.32013888889</v>
      </c>
      <c r="K21" s="140">
        <v>41309.39722222222</v>
      </c>
      <c r="L21" s="141">
        <f aca="true" t="shared" si="1" ref="L21:L40">IF(F21="","",(K21-J21)*24)</f>
        <v>1.8499999999185093</v>
      </c>
      <c r="M21" s="142">
        <f aca="true" t="shared" si="2" ref="M21:M40">IF(F21="","",ROUND((K21-J21)*24*60,0))</f>
        <v>111</v>
      </c>
      <c r="N21" s="143" t="s">
        <v>67</v>
      </c>
      <c r="O21" s="144" t="str">
        <f aca="true" t="shared" si="3" ref="O21:O40">IF(F21="","","--")</f>
        <v>--</v>
      </c>
      <c r="P21" s="145">
        <f aca="true" t="shared" si="4" ref="P21:P40">IF(N21="P",ROUND(M21/60,2)*I21*$L$15*0.01,"--")</f>
        <v>372.96070707</v>
      </c>
      <c r="Q21" s="146" t="str">
        <f aca="true" t="shared" si="5" ref="Q21:Q40">IF(N21="RP",ROUND(M21/60,2)*I21*$L$15*0.01*O21/100,"--")</f>
        <v>--</v>
      </c>
      <c r="R21" s="147" t="str">
        <f aca="true" t="shared" si="6" ref="R21:R40">IF(N21="F",I21*$L$15,"--")</f>
        <v>--</v>
      </c>
      <c r="S21" s="147" t="str">
        <f aca="true" t="shared" si="7" ref="S21:S40">IF(AND(M21&gt;10,N21="F"),$L$15*I21*IF(M21&gt;180,3,ROUND((M21)/60,2)),"--")</f>
        <v>--</v>
      </c>
      <c r="T21" s="148" t="str">
        <f aca="true" t="shared" si="8" ref="T21:T40">IF(AND(N21="F",M21&gt;180),(ROUND(M21/60,2)-3)*I21*$L$15*0.1,"--")</f>
        <v>--</v>
      </c>
      <c r="U21" s="149" t="str">
        <f aca="true" t="shared" si="9" ref="U21:U40">IF(N21="R",I21*$L$15*O21/100,"--")</f>
        <v>--</v>
      </c>
      <c r="V21" s="149" t="str">
        <f aca="true" t="shared" si="10" ref="V21:V40">IF(AND(M21&gt;10,N21="R"),$L$15*I21*O21/100*IF(M21&gt;180,3,ROUND((M21)/60,2)),"--")</f>
        <v>--</v>
      </c>
      <c r="W21" s="150" t="str">
        <f aca="true" t="shared" si="11" ref="W21:W40">IF(AND(N21="R",M21&gt;180),(ROUND(M21/60,2)-3)*I21*$L$15*0.1*O21/100,"--")</f>
        <v>--</v>
      </c>
      <c r="X21" s="151" t="str">
        <f aca="true" t="shared" si="12" ref="X21:X40">IF(N21="RF",ROUND(M21/60,2)*I21*$L$15*0.1,"--")</f>
        <v>--</v>
      </c>
      <c r="Y21" s="152" t="str">
        <f aca="true" t="shared" si="13" ref="Y21:Y40">IF(N21="RR",ROUND(M21/60,2)*I21*$L$15*0.1*O21/100,"--")</f>
        <v>--</v>
      </c>
      <c r="Z21" s="153" t="str">
        <f aca="true" t="shared" si="14" ref="Z21:Z40">IF(F21="","","SI")</f>
        <v>SI</v>
      </c>
      <c r="AA21" s="154">
        <f aca="true" t="shared" si="15" ref="AA21:AA40">IF(F21="","",SUM(P21:Y21)*IF(Z21="SI",1,2))</f>
        <v>372.96070707</v>
      </c>
      <c r="AB21" s="155"/>
    </row>
    <row r="22" spans="2:28" s="10" customFormat="1" ht="16.5" customHeight="1">
      <c r="B22" s="44"/>
      <c r="C22" s="128">
        <v>2</v>
      </c>
      <c r="D22" s="128">
        <v>257730</v>
      </c>
      <c r="E22" s="128">
        <v>714</v>
      </c>
      <c r="F22" s="126" t="s">
        <v>68</v>
      </c>
      <c r="G22" s="126">
        <v>132</v>
      </c>
      <c r="H22" s="138">
        <v>122.1</v>
      </c>
      <c r="I22" s="139">
        <f t="shared" si="0"/>
        <v>416.38541999999995</v>
      </c>
      <c r="J22" s="140">
        <v>41315.30069444444</v>
      </c>
      <c r="K22" s="140">
        <v>41315.42847222222</v>
      </c>
      <c r="L22" s="141">
        <f t="shared" si="1"/>
        <v>3.0666666667093523</v>
      </c>
      <c r="M22" s="142">
        <f t="shared" si="2"/>
        <v>184</v>
      </c>
      <c r="N22" s="143" t="s">
        <v>67</v>
      </c>
      <c r="O22" s="144" t="str">
        <f t="shared" si="3"/>
        <v>--</v>
      </c>
      <c r="P22" s="145">
        <f t="shared" si="4"/>
        <v>383.4909718199999</v>
      </c>
      <c r="Q22" s="146" t="str">
        <f t="shared" si="5"/>
        <v>--</v>
      </c>
      <c r="R22" s="147" t="str">
        <f t="shared" si="6"/>
        <v>--</v>
      </c>
      <c r="S22" s="147" t="str">
        <f t="shared" si="7"/>
        <v>--</v>
      </c>
      <c r="T22" s="148" t="str">
        <f t="shared" si="8"/>
        <v>--</v>
      </c>
      <c r="U22" s="149" t="str">
        <f t="shared" si="9"/>
        <v>--</v>
      </c>
      <c r="V22" s="149" t="str">
        <f t="shared" si="10"/>
        <v>--</v>
      </c>
      <c r="W22" s="150" t="str">
        <f t="shared" si="11"/>
        <v>--</v>
      </c>
      <c r="X22" s="151" t="str">
        <f t="shared" si="12"/>
        <v>--</v>
      </c>
      <c r="Y22" s="152" t="str">
        <f t="shared" si="13"/>
        <v>--</v>
      </c>
      <c r="Z22" s="153" t="str">
        <f t="shared" si="14"/>
        <v>SI</v>
      </c>
      <c r="AA22" s="154">
        <f t="shared" si="15"/>
        <v>383.4909718199999</v>
      </c>
      <c r="AB22" s="155"/>
    </row>
    <row r="23" spans="2:28" s="10" customFormat="1" ht="16.5" customHeight="1">
      <c r="B23" s="44"/>
      <c r="C23" s="128">
        <v>3</v>
      </c>
      <c r="D23" s="128">
        <v>258098</v>
      </c>
      <c r="E23" s="128">
        <v>713</v>
      </c>
      <c r="F23" s="126" t="s">
        <v>69</v>
      </c>
      <c r="G23" s="126">
        <v>132</v>
      </c>
      <c r="H23" s="138">
        <v>19.1</v>
      </c>
      <c r="I23" s="139">
        <f t="shared" si="0"/>
        <v>85.255</v>
      </c>
      <c r="J23" s="140">
        <v>41324.388194444444</v>
      </c>
      <c r="K23" s="140">
        <v>41324.736805555556</v>
      </c>
      <c r="L23" s="141">
        <f t="shared" si="1"/>
        <v>8.36666666669771</v>
      </c>
      <c r="M23" s="142">
        <f t="shared" si="2"/>
        <v>502</v>
      </c>
      <c r="N23" s="143" t="s">
        <v>67</v>
      </c>
      <c r="O23" s="144" t="str">
        <f t="shared" si="3"/>
        <v>--</v>
      </c>
      <c r="P23" s="145">
        <f t="shared" si="4"/>
        <v>214.075305</v>
      </c>
      <c r="Q23" s="146" t="str">
        <f t="shared" si="5"/>
        <v>--</v>
      </c>
      <c r="R23" s="147" t="str">
        <f t="shared" si="6"/>
        <v>--</v>
      </c>
      <c r="S23" s="147" t="str">
        <f t="shared" si="7"/>
        <v>--</v>
      </c>
      <c r="T23" s="148" t="str">
        <f t="shared" si="8"/>
        <v>--</v>
      </c>
      <c r="U23" s="149" t="str">
        <f t="shared" si="9"/>
        <v>--</v>
      </c>
      <c r="V23" s="149" t="str">
        <f t="shared" si="10"/>
        <v>--</v>
      </c>
      <c r="W23" s="150" t="str">
        <f t="shared" si="11"/>
        <v>--</v>
      </c>
      <c r="X23" s="151" t="str">
        <f t="shared" si="12"/>
        <v>--</v>
      </c>
      <c r="Y23" s="152" t="str">
        <f t="shared" si="13"/>
        <v>--</v>
      </c>
      <c r="Z23" s="153" t="str">
        <f t="shared" si="14"/>
        <v>SI</v>
      </c>
      <c r="AA23" s="154">
        <f t="shared" si="15"/>
        <v>214.075305</v>
      </c>
      <c r="AB23" s="155"/>
    </row>
    <row r="24" spans="2:28" s="10" customFormat="1" ht="16.5" customHeight="1">
      <c r="B24" s="44"/>
      <c r="C24" s="128">
        <v>4</v>
      </c>
      <c r="D24" s="128">
        <v>258099</v>
      </c>
      <c r="E24" s="128">
        <v>713</v>
      </c>
      <c r="F24" s="126" t="s">
        <v>69</v>
      </c>
      <c r="G24" s="126">
        <v>132</v>
      </c>
      <c r="H24" s="138">
        <v>19.1</v>
      </c>
      <c r="I24" s="139">
        <f t="shared" si="0"/>
        <v>85.255</v>
      </c>
      <c r="J24" s="140">
        <v>41325.402083333334</v>
      </c>
      <c r="K24" s="140">
        <v>41325.51458333333</v>
      </c>
      <c r="L24" s="141">
        <f t="shared" si="1"/>
        <v>2.699999999895226</v>
      </c>
      <c r="M24" s="142">
        <f t="shared" si="2"/>
        <v>162</v>
      </c>
      <c r="N24" s="143" t="s">
        <v>67</v>
      </c>
      <c r="O24" s="144" t="str">
        <f t="shared" si="3"/>
        <v>--</v>
      </c>
      <c r="P24" s="145">
        <f t="shared" si="4"/>
        <v>69.05655</v>
      </c>
      <c r="Q24" s="146" t="str">
        <f t="shared" si="5"/>
        <v>--</v>
      </c>
      <c r="R24" s="147" t="str">
        <f t="shared" si="6"/>
        <v>--</v>
      </c>
      <c r="S24" s="147" t="str">
        <f t="shared" si="7"/>
        <v>--</v>
      </c>
      <c r="T24" s="148" t="str">
        <f t="shared" si="8"/>
        <v>--</v>
      </c>
      <c r="U24" s="149" t="str">
        <f t="shared" si="9"/>
        <v>--</v>
      </c>
      <c r="V24" s="149" t="str">
        <f t="shared" si="10"/>
        <v>--</v>
      </c>
      <c r="W24" s="150" t="str">
        <f t="shared" si="11"/>
        <v>--</v>
      </c>
      <c r="X24" s="151" t="str">
        <f t="shared" si="12"/>
        <v>--</v>
      </c>
      <c r="Y24" s="152" t="str">
        <f t="shared" si="13"/>
        <v>--</v>
      </c>
      <c r="Z24" s="153" t="str">
        <f t="shared" si="14"/>
        <v>SI</v>
      </c>
      <c r="AA24" s="154">
        <f t="shared" si="15"/>
        <v>69.05655</v>
      </c>
      <c r="AB24" s="155"/>
    </row>
    <row r="25" spans="2:28" s="10" customFormat="1" ht="16.5" customHeight="1">
      <c r="B25" s="44"/>
      <c r="C25" s="128">
        <v>5</v>
      </c>
      <c r="D25" s="128">
        <v>258262</v>
      </c>
      <c r="E25" s="128">
        <v>710</v>
      </c>
      <c r="F25" s="126" t="s">
        <v>66</v>
      </c>
      <c r="G25" s="126">
        <v>220</v>
      </c>
      <c r="H25" s="138">
        <v>188.3</v>
      </c>
      <c r="I25" s="139">
        <f t="shared" si="0"/>
        <v>672.001274</v>
      </c>
      <c r="J25" s="140">
        <v>41331.32013888889</v>
      </c>
      <c r="K25" s="140">
        <v>41331.413194444445</v>
      </c>
      <c r="L25" s="141">
        <f t="shared" si="1"/>
        <v>2.233333333279006</v>
      </c>
      <c r="M25" s="142">
        <f t="shared" si="2"/>
        <v>134</v>
      </c>
      <c r="N25" s="143" t="s">
        <v>67</v>
      </c>
      <c r="O25" s="144" t="str">
        <f t="shared" si="3"/>
        <v>--</v>
      </c>
      <c r="P25" s="145">
        <f t="shared" si="4"/>
        <v>449.568852306</v>
      </c>
      <c r="Q25" s="146" t="str">
        <f t="shared" si="5"/>
        <v>--</v>
      </c>
      <c r="R25" s="147" t="str">
        <f t="shared" si="6"/>
        <v>--</v>
      </c>
      <c r="S25" s="147" t="str">
        <f t="shared" si="7"/>
        <v>--</v>
      </c>
      <c r="T25" s="148" t="str">
        <f t="shared" si="8"/>
        <v>--</v>
      </c>
      <c r="U25" s="149" t="str">
        <f t="shared" si="9"/>
        <v>--</v>
      </c>
      <c r="V25" s="149" t="str">
        <f t="shared" si="10"/>
        <v>--</v>
      </c>
      <c r="W25" s="150" t="str">
        <f t="shared" si="11"/>
        <v>--</v>
      </c>
      <c r="X25" s="151" t="str">
        <f t="shared" si="12"/>
        <v>--</v>
      </c>
      <c r="Y25" s="152" t="str">
        <f t="shared" si="13"/>
        <v>--</v>
      </c>
      <c r="Z25" s="153" t="str">
        <f t="shared" si="14"/>
        <v>SI</v>
      </c>
      <c r="AA25" s="154">
        <f t="shared" si="15"/>
        <v>449.568852306</v>
      </c>
      <c r="AB25" s="155"/>
    </row>
    <row r="26" spans="2:28" s="10" customFormat="1" ht="16.5" customHeight="1">
      <c r="B26" s="44"/>
      <c r="C26" s="128"/>
      <c r="D26" s="128"/>
      <c r="E26" s="128"/>
      <c r="F26" s="126"/>
      <c r="G26" s="126"/>
      <c r="H26" s="138"/>
      <c r="I26" s="139">
        <f t="shared" si="0"/>
        <v>85.255</v>
      </c>
      <c r="J26" s="140"/>
      <c r="K26" s="140"/>
      <c r="L26" s="141">
        <f t="shared" si="1"/>
      </c>
      <c r="M26" s="142">
        <f t="shared" si="2"/>
      </c>
      <c r="N26" s="140"/>
      <c r="O26" s="144">
        <f t="shared" si="3"/>
      </c>
      <c r="P26" s="145" t="str">
        <f t="shared" si="4"/>
        <v>--</v>
      </c>
      <c r="Q26" s="146" t="str">
        <f t="shared" si="5"/>
        <v>--</v>
      </c>
      <c r="R26" s="147" t="str">
        <f t="shared" si="6"/>
        <v>--</v>
      </c>
      <c r="S26" s="147" t="str">
        <f t="shared" si="7"/>
        <v>--</v>
      </c>
      <c r="T26" s="148" t="str">
        <f t="shared" si="8"/>
        <v>--</v>
      </c>
      <c r="U26" s="149" t="str">
        <f t="shared" si="9"/>
        <v>--</v>
      </c>
      <c r="V26" s="149" t="str">
        <f t="shared" si="10"/>
        <v>--</v>
      </c>
      <c r="W26" s="150" t="str">
        <f t="shared" si="11"/>
        <v>--</v>
      </c>
      <c r="X26" s="151" t="str">
        <f t="shared" si="12"/>
        <v>--</v>
      </c>
      <c r="Y26" s="152" t="str">
        <f t="shared" si="13"/>
        <v>--</v>
      </c>
      <c r="Z26" s="153">
        <f t="shared" si="14"/>
      </c>
      <c r="AA26" s="154">
        <f t="shared" si="15"/>
      </c>
      <c r="AB26" s="155"/>
    </row>
    <row r="27" spans="2:28" s="10" customFormat="1" ht="16.5" customHeight="1">
      <c r="B27" s="44"/>
      <c r="C27" s="128"/>
      <c r="D27" s="128"/>
      <c r="E27" s="128"/>
      <c r="F27" s="126"/>
      <c r="G27" s="126"/>
      <c r="H27" s="138"/>
      <c r="I27" s="139">
        <f t="shared" si="0"/>
        <v>85.255</v>
      </c>
      <c r="J27" s="140"/>
      <c r="K27" s="140"/>
      <c r="L27" s="141">
        <f t="shared" si="1"/>
      </c>
      <c r="M27" s="142">
        <f t="shared" si="2"/>
      </c>
      <c r="N27" s="140"/>
      <c r="O27" s="144">
        <f t="shared" si="3"/>
      </c>
      <c r="P27" s="145" t="str">
        <f t="shared" si="4"/>
        <v>--</v>
      </c>
      <c r="Q27" s="146" t="str">
        <f t="shared" si="5"/>
        <v>--</v>
      </c>
      <c r="R27" s="147" t="str">
        <f t="shared" si="6"/>
        <v>--</v>
      </c>
      <c r="S27" s="147" t="str">
        <f t="shared" si="7"/>
        <v>--</v>
      </c>
      <c r="T27" s="148" t="str">
        <f t="shared" si="8"/>
        <v>--</v>
      </c>
      <c r="U27" s="149" t="str">
        <f t="shared" si="9"/>
        <v>--</v>
      </c>
      <c r="V27" s="149" t="str">
        <f t="shared" si="10"/>
        <v>--</v>
      </c>
      <c r="W27" s="150" t="str">
        <f t="shared" si="11"/>
        <v>--</v>
      </c>
      <c r="X27" s="151" t="str">
        <f t="shared" si="12"/>
        <v>--</v>
      </c>
      <c r="Y27" s="152" t="str">
        <f t="shared" si="13"/>
        <v>--</v>
      </c>
      <c r="Z27" s="153">
        <f t="shared" si="14"/>
      </c>
      <c r="AA27" s="154">
        <f t="shared" si="15"/>
      </c>
      <c r="AB27" s="155"/>
    </row>
    <row r="28" spans="2:28" s="10" customFormat="1" ht="16.5" customHeight="1">
      <c r="B28" s="44"/>
      <c r="C28" s="128"/>
      <c r="D28" s="128"/>
      <c r="E28" s="128"/>
      <c r="F28" s="126"/>
      <c r="G28" s="126"/>
      <c r="H28" s="138"/>
      <c r="I28" s="139">
        <f t="shared" si="0"/>
        <v>85.255</v>
      </c>
      <c r="J28" s="140"/>
      <c r="K28" s="140"/>
      <c r="L28" s="141">
        <f t="shared" si="1"/>
      </c>
      <c r="M28" s="142">
        <f t="shared" si="2"/>
      </c>
      <c r="N28" s="140"/>
      <c r="O28" s="144">
        <f t="shared" si="3"/>
      </c>
      <c r="P28" s="145" t="str">
        <f t="shared" si="4"/>
        <v>--</v>
      </c>
      <c r="Q28" s="146" t="str">
        <f t="shared" si="5"/>
        <v>--</v>
      </c>
      <c r="R28" s="147" t="str">
        <f t="shared" si="6"/>
        <v>--</v>
      </c>
      <c r="S28" s="147" t="str">
        <f t="shared" si="7"/>
        <v>--</v>
      </c>
      <c r="T28" s="148" t="str">
        <f t="shared" si="8"/>
        <v>--</v>
      </c>
      <c r="U28" s="149" t="str">
        <f t="shared" si="9"/>
        <v>--</v>
      </c>
      <c r="V28" s="149" t="str">
        <f t="shared" si="10"/>
        <v>--</v>
      </c>
      <c r="W28" s="150" t="str">
        <f t="shared" si="11"/>
        <v>--</v>
      </c>
      <c r="X28" s="151" t="str">
        <f t="shared" si="12"/>
        <v>--</v>
      </c>
      <c r="Y28" s="152" t="str">
        <f t="shared" si="13"/>
        <v>--</v>
      </c>
      <c r="Z28" s="153">
        <f t="shared" si="14"/>
      </c>
      <c r="AA28" s="154">
        <f t="shared" si="15"/>
      </c>
      <c r="AB28" s="155"/>
    </row>
    <row r="29" spans="2:28" s="10" customFormat="1" ht="16.5" customHeight="1">
      <c r="B29" s="44"/>
      <c r="C29" s="128"/>
      <c r="D29" s="128"/>
      <c r="E29" s="128"/>
      <c r="F29" s="126"/>
      <c r="G29" s="126"/>
      <c r="H29" s="138"/>
      <c r="I29" s="139">
        <f t="shared" si="0"/>
        <v>85.255</v>
      </c>
      <c r="J29" s="140"/>
      <c r="K29" s="140"/>
      <c r="L29" s="141">
        <f t="shared" si="1"/>
      </c>
      <c r="M29" s="142">
        <f t="shared" si="2"/>
      </c>
      <c r="N29" s="140"/>
      <c r="O29" s="144">
        <f t="shared" si="3"/>
      </c>
      <c r="P29" s="145" t="str">
        <f t="shared" si="4"/>
        <v>--</v>
      </c>
      <c r="Q29" s="146" t="str">
        <f t="shared" si="5"/>
        <v>--</v>
      </c>
      <c r="R29" s="147" t="str">
        <f t="shared" si="6"/>
        <v>--</v>
      </c>
      <c r="S29" s="147" t="str">
        <f t="shared" si="7"/>
        <v>--</v>
      </c>
      <c r="T29" s="148" t="str">
        <f t="shared" si="8"/>
        <v>--</v>
      </c>
      <c r="U29" s="149" t="str">
        <f t="shared" si="9"/>
        <v>--</v>
      </c>
      <c r="V29" s="149" t="str">
        <f t="shared" si="10"/>
        <v>--</v>
      </c>
      <c r="W29" s="150" t="str">
        <f t="shared" si="11"/>
        <v>--</v>
      </c>
      <c r="X29" s="151" t="str">
        <f t="shared" si="12"/>
        <v>--</v>
      </c>
      <c r="Y29" s="152" t="str">
        <f t="shared" si="13"/>
        <v>--</v>
      </c>
      <c r="Z29" s="153">
        <f t="shared" si="14"/>
      </c>
      <c r="AA29" s="154">
        <f t="shared" si="15"/>
      </c>
      <c r="AB29" s="155"/>
    </row>
    <row r="30" spans="2:28" s="10" customFormat="1" ht="16.5" customHeight="1">
      <c r="B30" s="44"/>
      <c r="C30" s="128"/>
      <c r="D30" s="128"/>
      <c r="E30" s="128"/>
      <c r="F30" s="126"/>
      <c r="G30" s="126"/>
      <c r="H30" s="138"/>
      <c r="I30" s="139">
        <f t="shared" si="0"/>
        <v>85.255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3"/>
      </c>
      <c r="P30" s="145" t="str">
        <f t="shared" si="4"/>
        <v>--</v>
      </c>
      <c r="Q30" s="146" t="str">
        <f t="shared" si="5"/>
        <v>--</v>
      </c>
      <c r="R30" s="147" t="str">
        <f t="shared" si="6"/>
        <v>--</v>
      </c>
      <c r="S30" s="147" t="str">
        <f t="shared" si="7"/>
        <v>--</v>
      </c>
      <c r="T30" s="148" t="str">
        <f t="shared" si="8"/>
        <v>--</v>
      </c>
      <c r="U30" s="149" t="str">
        <f t="shared" si="9"/>
        <v>--</v>
      </c>
      <c r="V30" s="149" t="str">
        <f t="shared" si="10"/>
        <v>--</v>
      </c>
      <c r="W30" s="150" t="str">
        <f t="shared" si="11"/>
        <v>--</v>
      </c>
      <c r="X30" s="151" t="str">
        <f t="shared" si="12"/>
        <v>--</v>
      </c>
      <c r="Y30" s="152" t="str">
        <f t="shared" si="13"/>
        <v>--</v>
      </c>
      <c r="Z30" s="153">
        <f t="shared" si="14"/>
      </c>
      <c r="AA30" s="154">
        <f t="shared" si="15"/>
      </c>
      <c r="AB30" s="155"/>
    </row>
    <row r="31" spans="2:28" s="10" customFormat="1" ht="16.5" customHeight="1">
      <c r="B31" s="44"/>
      <c r="C31" s="128"/>
      <c r="D31" s="128"/>
      <c r="E31" s="128"/>
      <c r="F31" s="126"/>
      <c r="G31" s="126"/>
      <c r="H31" s="138"/>
      <c r="I31" s="139">
        <f t="shared" si="0"/>
        <v>85.255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3"/>
      </c>
      <c r="P31" s="145" t="str">
        <f t="shared" si="4"/>
        <v>--</v>
      </c>
      <c r="Q31" s="146" t="str">
        <f t="shared" si="5"/>
        <v>--</v>
      </c>
      <c r="R31" s="147" t="str">
        <f t="shared" si="6"/>
        <v>--</v>
      </c>
      <c r="S31" s="147" t="str">
        <f t="shared" si="7"/>
        <v>--</v>
      </c>
      <c r="T31" s="148" t="str">
        <f t="shared" si="8"/>
        <v>--</v>
      </c>
      <c r="U31" s="149" t="str">
        <f t="shared" si="9"/>
        <v>--</v>
      </c>
      <c r="V31" s="149" t="str">
        <f t="shared" si="10"/>
        <v>--</v>
      </c>
      <c r="W31" s="150" t="str">
        <f t="shared" si="11"/>
        <v>--</v>
      </c>
      <c r="X31" s="151" t="str">
        <f t="shared" si="12"/>
        <v>--</v>
      </c>
      <c r="Y31" s="152" t="str">
        <f t="shared" si="13"/>
        <v>--</v>
      </c>
      <c r="Z31" s="153">
        <f t="shared" si="14"/>
      </c>
      <c r="AA31" s="154">
        <f t="shared" si="15"/>
      </c>
      <c r="AB31" s="155"/>
    </row>
    <row r="32" spans="2:28" s="10" customFormat="1" ht="16.5" customHeight="1">
      <c r="B32" s="44"/>
      <c r="C32" s="128"/>
      <c r="D32" s="128"/>
      <c r="E32" s="128"/>
      <c r="F32" s="126"/>
      <c r="G32" s="126"/>
      <c r="H32" s="138"/>
      <c r="I32" s="139">
        <f t="shared" si="0"/>
        <v>85.255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3"/>
      </c>
      <c r="P32" s="145" t="str">
        <f t="shared" si="4"/>
        <v>--</v>
      </c>
      <c r="Q32" s="146" t="str">
        <f t="shared" si="5"/>
        <v>--</v>
      </c>
      <c r="R32" s="147" t="str">
        <f t="shared" si="6"/>
        <v>--</v>
      </c>
      <c r="S32" s="147" t="str">
        <f t="shared" si="7"/>
        <v>--</v>
      </c>
      <c r="T32" s="148" t="str">
        <f t="shared" si="8"/>
        <v>--</v>
      </c>
      <c r="U32" s="149" t="str">
        <f t="shared" si="9"/>
        <v>--</v>
      </c>
      <c r="V32" s="149" t="str">
        <f t="shared" si="10"/>
        <v>--</v>
      </c>
      <c r="W32" s="150" t="str">
        <f t="shared" si="11"/>
        <v>--</v>
      </c>
      <c r="X32" s="151" t="str">
        <f t="shared" si="12"/>
        <v>--</v>
      </c>
      <c r="Y32" s="152" t="str">
        <f t="shared" si="13"/>
        <v>--</v>
      </c>
      <c r="Z32" s="153">
        <f t="shared" si="14"/>
      </c>
      <c r="AA32" s="154">
        <f t="shared" si="15"/>
      </c>
      <c r="AB32" s="155"/>
    </row>
    <row r="33" spans="2:28" s="10" customFormat="1" ht="16.5" customHeight="1">
      <c r="B33" s="44"/>
      <c r="C33" s="128"/>
      <c r="D33" s="128"/>
      <c r="E33" s="128"/>
      <c r="F33" s="126"/>
      <c r="G33" s="126"/>
      <c r="H33" s="138"/>
      <c r="I33" s="139">
        <f t="shared" si="0"/>
        <v>85.255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3"/>
      </c>
      <c r="P33" s="145" t="str">
        <f t="shared" si="4"/>
        <v>--</v>
      </c>
      <c r="Q33" s="146" t="str">
        <f t="shared" si="5"/>
        <v>--</v>
      </c>
      <c r="R33" s="147" t="str">
        <f t="shared" si="6"/>
        <v>--</v>
      </c>
      <c r="S33" s="147" t="str">
        <f t="shared" si="7"/>
        <v>--</v>
      </c>
      <c r="T33" s="148" t="str">
        <f t="shared" si="8"/>
        <v>--</v>
      </c>
      <c r="U33" s="149" t="str">
        <f t="shared" si="9"/>
        <v>--</v>
      </c>
      <c r="V33" s="149" t="str">
        <f t="shared" si="10"/>
        <v>--</v>
      </c>
      <c r="W33" s="150" t="str">
        <f t="shared" si="11"/>
        <v>--</v>
      </c>
      <c r="X33" s="151" t="str">
        <f t="shared" si="12"/>
        <v>--</v>
      </c>
      <c r="Y33" s="152" t="str">
        <f t="shared" si="13"/>
        <v>--</v>
      </c>
      <c r="Z33" s="153">
        <f t="shared" si="14"/>
      </c>
      <c r="AA33" s="154">
        <f t="shared" si="15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>
        <f t="shared" si="0"/>
        <v>85.255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3"/>
      </c>
      <c r="P34" s="145" t="str">
        <f t="shared" si="4"/>
        <v>--</v>
      </c>
      <c r="Q34" s="146" t="str">
        <f t="shared" si="5"/>
        <v>--</v>
      </c>
      <c r="R34" s="147" t="str">
        <f t="shared" si="6"/>
        <v>--</v>
      </c>
      <c r="S34" s="147" t="str">
        <f t="shared" si="7"/>
        <v>--</v>
      </c>
      <c r="T34" s="148" t="str">
        <f t="shared" si="8"/>
        <v>--</v>
      </c>
      <c r="U34" s="149" t="str">
        <f t="shared" si="9"/>
        <v>--</v>
      </c>
      <c r="V34" s="149" t="str">
        <f t="shared" si="10"/>
        <v>--</v>
      </c>
      <c r="W34" s="150" t="str">
        <f t="shared" si="11"/>
        <v>--</v>
      </c>
      <c r="X34" s="151" t="str">
        <f t="shared" si="12"/>
        <v>--</v>
      </c>
      <c r="Y34" s="152" t="str">
        <f t="shared" si="13"/>
        <v>--</v>
      </c>
      <c r="Z34" s="153">
        <f t="shared" si="14"/>
      </c>
      <c r="AA34" s="154">
        <f t="shared" si="15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>
        <f t="shared" si="0"/>
        <v>85.255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3"/>
      </c>
      <c r="P35" s="145" t="str">
        <f t="shared" si="4"/>
        <v>--</v>
      </c>
      <c r="Q35" s="146" t="str">
        <f t="shared" si="5"/>
        <v>--</v>
      </c>
      <c r="R35" s="147" t="str">
        <f t="shared" si="6"/>
        <v>--</v>
      </c>
      <c r="S35" s="147" t="str">
        <f t="shared" si="7"/>
        <v>--</v>
      </c>
      <c r="T35" s="148" t="str">
        <f t="shared" si="8"/>
        <v>--</v>
      </c>
      <c r="U35" s="149" t="str">
        <f t="shared" si="9"/>
        <v>--</v>
      </c>
      <c r="V35" s="149" t="str">
        <f t="shared" si="10"/>
        <v>--</v>
      </c>
      <c r="W35" s="150" t="str">
        <f t="shared" si="11"/>
        <v>--</v>
      </c>
      <c r="X35" s="151" t="str">
        <f t="shared" si="12"/>
        <v>--</v>
      </c>
      <c r="Y35" s="152" t="str">
        <f t="shared" si="13"/>
        <v>--</v>
      </c>
      <c r="Z35" s="153">
        <f t="shared" si="14"/>
      </c>
      <c r="AA35" s="154">
        <f t="shared" si="15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>
        <f t="shared" si="0"/>
        <v>85.255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3"/>
      </c>
      <c r="P36" s="145" t="str">
        <f t="shared" si="4"/>
        <v>--</v>
      </c>
      <c r="Q36" s="146" t="str">
        <f t="shared" si="5"/>
        <v>--</v>
      </c>
      <c r="R36" s="147" t="str">
        <f t="shared" si="6"/>
        <v>--</v>
      </c>
      <c r="S36" s="147" t="str">
        <f t="shared" si="7"/>
        <v>--</v>
      </c>
      <c r="T36" s="148" t="str">
        <f t="shared" si="8"/>
        <v>--</v>
      </c>
      <c r="U36" s="149" t="str">
        <f t="shared" si="9"/>
        <v>--</v>
      </c>
      <c r="V36" s="149" t="str">
        <f t="shared" si="10"/>
        <v>--</v>
      </c>
      <c r="W36" s="150" t="str">
        <f t="shared" si="11"/>
        <v>--</v>
      </c>
      <c r="X36" s="151" t="str">
        <f t="shared" si="12"/>
        <v>--</v>
      </c>
      <c r="Y36" s="152" t="str">
        <f t="shared" si="13"/>
        <v>--</v>
      </c>
      <c r="Z36" s="153">
        <f t="shared" si="14"/>
      </c>
      <c r="AA36" s="154">
        <f t="shared" si="15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>
        <f t="shared" si="0"/>
        <v>85.255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3"/>
      </c>
      <c r="P37" s="145" t="str">
        <f t="shared" si="4"/>
        <v>--</v>
      </c>
      <c r="Q37" s="146" t="str">
        <f t="shared" si="5"/>
        <v>--</v>
      </c>
      <c r="R37" s="147" t="str">
        <f t="shared" si="6"/>
        <v>--</v>
      </c>
      <c r="S37" s="147" t="str">
        <f t="shared" si="7"/>
        <v>--</v>
      </c>
      <c r="T37" s="148" t="str">
        <f t="shared" si="8"/>
        <v>--</v>
      </c>
      <c r="U37" s="149" t="str">
        <f t="shared" si="9"/>
        <v>--</v>
      </c>
      <c r="V37" s="149" t="str">
        <f t="shared" si="10"/>
        <v>--</v>
      </c>
      <c r="W37" s="150" t="str">
        <f t="shared" si="11"/>
        <v>--</v>
      </c>
      <c r="X37" s="151" t="str">
        <f t="shared" si="12"/>
        <v>--</v>
      </c>
      <c r="Y37" s="152" t="str">
        <f t="shared" si="13"/>
        <v>--</v>
      </c>
      <c r="Z37" s="153">
        <f t="shared" si="14"/>
      </c>
      <c r="AA37" s="154">
        <f t="shared" si="15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>
        <f t="shared" si="0"/>
        <v>85.255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3"/>
      </c>
      <c r="P38" s="145" t="str">
        <f t="shared" si="4"/>
        <v>--</v>
      </c>
      <c r="Q38" s="146" t="str">
        <f t="shared" si="5"/>
        <v>--</v>
      </c>
      <c r="R38" s="147" t="str">
        <f t="shared" si="6"/>
        <v>--</v>
      </c>
      <c r="S38" s="147" t="str">
        <f t="shared" si="7"/>
        <v>--</v>
      </c>
      <c r="T38" s="148" t="str">
        <f t="shared" si="8"/>
        <v>--</v>
      </c>
      <c r="U38" s="149" t="str">
        <f t="shared" si="9"/>
        <v>--</v>
      </c>
      <c r="V38" s="149" t="str">
        <f t="shared" si="10"/>
        <v>--</v>
      </c>
      <c r="W38" s="150" t="str">
        <f t="shared" si="11"/>
        <v>--</v>
      </c>
      <c r="X38" s="151" t="str">
        <f t="shared" si="12"/>
        <v>--</v>
      </c>
      <c r="Y38" s="152" t="str">
        <f t="shared" si="13"/>
        <v>--</v>
      </c>
      <c r="Z38" s="153">
        <f t="shared" si="14"/>
      </c>
      <c r="AA38" s="154">
        <f t="shared" si="15"/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>
        <f t="shared" si="0"/>
        <v>85.255</v>
      </c>
      <c r="J39" s="140"/>
      <c r="K39" s="140"/>
      <c r="L39" s="141">
        <f t="shared" si="1"/>
      </c>
      <c r="M39" s="142">
        <f t="shared" si="2"/>
      </c>
      <c r="N39" s="140"/>
      <c r="O39" s="144">
        <f t="shared" si="3"/>
      </c>
      <c r="P39" s="145" t="str">
        <f t="shared" si="4"/>
        <v>--</v>
      </c>
      <c r="Q39" s="146" t="str">
        <f t="shared" si="5"/>
        <v>--</v>
      </c>
      <c r="R39" s="147" t="str">
        <f t="shared" si="6"/>
        <v>--</v>
      </c>
      <c r="S39" s="147" t="str">
        <f t="shared" si="7"/>
        <v>--</v>
      </c>
      <c r="T39" s="148" t="str">
        <f t="shared" si="8"/>
        <v>--</v>
      </c>
      <c r="U39" s="149" t="str">
        <f t="shared" si="9"/>
        <v>--</v>
      </c>
      <c r="V39" s="149" t="str">
        <f t="shared" si="10"/>
        <v>--</v>
      </c>
      <c r="W39" s="150" t="str">
        <f t="shared" si="11"/>
        <v>--</v>
      </c>
      <c r="X39" s="151" t="str">
        <f t="shared" si="12"/>
        <v>--</v>
      </c>
      <c r="Y39" s="152" t="str">
        <f t="shared" si="13"/>
        <v>--</v>
      </c>
      <c r="Z39" s="153">
        <f t="shared" si="14"/>
      </c>
      <c r="AA39" s="154">
        <f t="shared" si="15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>
        <f t="shared" si="0"/>
        <v>85.255</v>
      </c>
      <c r="J40" s="140"/>
      <c r="K40" s="140"/>
      <c r="L40" s="141">
        <f t="shared" si="1"/>
      </c>
      <c r="M40" s="142">
        <f t="shared" si="2"/>
      </c>
      <c r="N40" s="140"/>
      <c r="O40" s="144">
        <f t="shared" si="3"/>
      </c>
      <c r="P40" s="145" t="str">
        <f t="shared" si="4"/>
        <v>--</v>
      </c>
      <c r="Q40" s="146" t="str">
        <f t="shared" si="5"/>
        <v>--</v>
      </c>
      <c r="R40" s="147" t="str">
        <f t="shared" si="6"/>
        <v>--</v>
      </c>
      <c r="S40" s="147" t="str">
        <f t="shared" si="7"/>
        <v>--</v>
      </c>
      <c r="T40" s="148" t="str">
        <f t="shared" si="8"/>
        <v>--</v>
      </c>
      <c r="U40" s="149" t="str">
        <f t="shared" si="9"/>
        <v>--</v>
      </c>
      <c r="V40" s="149" t="str">
        <f t="shared" si="10"/>
        <v>--</v>
      </c>
      <c r="W40" s="150" t="str">
        <f t="shared" si="11"/>
        <v>--</v>
      </c>
      <c r="X40" s="151" t="str">
        <f t="shared" si="12"/>
        <v>--</v>
      </c>
      <c r="Y40" s="152" t="str">
        <f t="shared" si="13"/>
        <v>--</v>
      </c>
      <c r="Z40" s="153">
        <f t="shared" si="14"/>
      </c>
      <c r="AA40" s="154">
        <f t="shared" si="15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172" t="s">
        <v>61</v>
      </c>
      <c r="D42" s="403" t="s">
        <v>87</v>
      </c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16" ref="P42:Y42">SUM(P19:P41)</f>
        <v>1489.152386196</v>
      </c>
      <c r="Q42" s="177">
        <f t="shared" si="16"/>
        <v>0</v>
      </c>
      <c r="R42" s="178">
        <f t="shared" si="16"/>
        <v>0</v>
      </c>
      <c r="S42" s="178">
        <f t="shared" si="16"/>
        <v>0</v>
      </c>
      <c r="T42" s="178">
        <f t="shared" si="16"/>
        <v>0</v>
      </c>
      <c r="U42" s="179">
        <f t="shared" si="16"/>
        <v>0</v>
      </c>
      <c r="V42" s="179">
        <f t="shared" si="16"/>
        <v>0</v>
      </c>
      <c r="W42" s="179">
        <f t="shared" si="16"/>
        <v>0</v>
      </c>
      <c r="X42" s="180">
        <f t="shared" si="16"/>
        <v>0</v>
      </c>
      <c r="Y42" s="181">
        <f t="shared" si="16"/>
        <v>0</v>
      </c>
      <c r="Z42" s="182"/>
      <c r="AA42" s="183">
        <f>ROUND(SUM(AA19:AA41),2)</f>
        <v>1489.15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6.5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sheetProtection/>
  <printOptions/>
  <pageMargins left="0.22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="70" zoomScaleNormal="70" zoomScalePageLayoutView="0" workbookViewId="0" topLeftCell="A1">
      <selection activeCell="C22" sqref="C22:AC25"/>
    </sheetView>
  </sheetViews>
  <sheetFormatPr defaultColWidth="11.421875" defaultRowHeight="12.75"/>
  <cols>
    <col min="1" max="1" width="18.5742187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4.00390625" style="1" customWidth="1"/>
    <col min="10" max="10" width="6.8515625" style="1" hidden="1" customWidth="1"/>
    <col min="11" max="12" width="15.7109375" style="1" customWidth="1"/>
    <col min="13" max="15" width="9.7109375" style="1" customWidth="1"/>
    <col min="16" max="17" width="7.7109375" style="1" customWidth="1"/>
    <col min="18" max="18" width="6.421875" style="1" bestFit="1" customWidth="1"/>
    <col min="19" max="19" width="11.140625" style="1" hidden="1" customWidth="1"/>
    <col min="20" max="20" width="14.140625" style="1" hidden="1" customWidth="1"/>
    <col min="21" max="21" width="12.140625" style="1" hidden="1" customWidth="1"/>
    <col min="22" max="22" width="10.57421875" style="1" hidden="1" customWidth="1"/>
    <col min="23" max="23" width="12.421875" style="1" hidden="1" customWidth="1"/>
    <col min="24" max="25" width="8.140625" style="1" hidden="1" customWidth="1"/>
    <col min="26" max="27" width="11.710937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5"/>
    </row>
    <row r="2" spans="2:30" s="6" customFormat="1" ht="26.25">
      <c r="B2" s="68" t="str">
        <f>+'TOT-0213'!B2</f>
        <v>ANEXO III al Memorándum  D.T.E.E.  N° 376/ 2014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6.5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6.5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6.5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6.5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6.5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+'TOT-0213'!B14</f>
        <v>Desde el 01 al 28 de febrero de 2013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6.5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6.5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1.191</v>
      </c>
      <c r="J16" s="208"/>
      <c r="K16" s="405">
        <v>0.155</v>
      </c>
      <c r="L16" s="64" t="s">
        <v>90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6.5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30*'TOT-0213'!B13</f>
        <v>30</v>
      </c>
      <c r="J17" s="237" t="str">
        <f>IF(I17=30," ",IF(I17=60,"     Coeficiente duplicado por tasa de falla &gt;4 Sal. x año/100 km.","    REVISAR COEFICIENTE"))</f>
        <v> </v>
      </c>
      <c r="K17" s="237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6.5" customHeight="1" thickBot="1" thickTop="1">
      <c r="B18" s="217"/>
      <c r="C18" s="64"/>
      <c r="D18" s="402">
        <v>4</v>
      </c>
      <c r="E18" s="402">
        <v>5</v>
      </c>
      <c r="F18" s="402">
        <v>6</v>
      </c>
      <c r="G18" s="402">
        <v>7</v>
      </c>
      <c r="H18" s="402">
        <v>8</v>
      </c>
      <c r="I18" s="402">
        <v>9</v>
      </c>
      <c r="J18" s="402">
        <v>10</v>
      </c>
      <c r="K18" s="402">
        <v>11</v>
      </c>
      <c r="L18" s="402">
        <v>12</v>
      </c>
      <c r="M18" s="402">
        <v>13</v>
      </c>
      <c r="N18" s="402">
        <v>14</v>
      </c>
      <c r="O18" s="402">
        <v>15</v>
      </c>
      <c r="P18" s="402">
        <v>16</v>
      </c>
      <c r="Q18" s="402">
        <v>17</v>
      </c>
      <c r="R18" s="402">
        <v>18</v>
      </c>
      <c r="S18" s="402">
        <v>19</v>
      </c>
      <c r="T18" s="402">
        <v>20</v>
      </c>
      <c r="U18" s="402">
        <v>21</v>
      </c>
      <c r="V18" s="402">
        <v>22</v>
      </c>
      <c r="W18" s="402">
        <v>23</v>
      </c>
      <c r="X18" s="402">
        <v>24</v>
      </c>
      <c r="Y18" s="402">
        <v>25</v>
      </c>
      <c r="Z18" s="402">
        <v>26</v>
      </c>
      <c r="AA18" s="402">
        <v>27</v>
      </c>
      <c r="AB18" s="402">
        <v>28</v>
      </c>
      <c r="AC18" s="402">
        <v>29</v>
      </c>
      <c r="AD18" s="218"/>
    </row>
    <row r="19" spans="2:30" s="239" customFormat="1" ht="34.5" customHeight="1" thickBot="1" thickTop="1">
      <c r="B19" s="240"/>
      <c r="C19" s="399" t="s">
        <v>20</v>
      </c>
      <c r="D19" s="399" t="s">
        <v>63</v>
      </c>
      <c r="E19" s="399" t="s">
        <v>64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60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6.5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6.5" customHeight="1">
      <c r="B21" s="217"/>
      <c r="C21" s="269"/>
      <c r="D21" s="269"/>
      <c r="E21" s="269"/>
      <c r="F21" s="270"/>
      <c r="G21" s="270"/>
      <c r="H21" s="270"/>
      <c r="I21" s="270"/>
      <c r="J21" s="271"/>
      <c r="K21" s="272"/>
      <c r="L21" s="270"/>
      <c r="M21" s="273"/>
      <c r="N21" s="273"/>
      <c r="O21" s="270"/>
      <c r="P21" s="270"/>
      <c r="Q21" s="270"/>
      <c r="R21" s="270"/>
      <c r="S21" s="136"/>
      <c r="T21" s="134"/>
      <c r="U21" s="274"/>
      <c r="V21" s="275"/>
      <c r="W21" s="276"/>
      <c r="X21" s="277"/>
      <c r="Y21" s="278"/>
      <c r="Z21" s="279"/>
      <c r="AA21" s="280"/>
      <c r="AB21" s="270"/>
      <c r="AC21" s="281"/>
      <c r="AD21" s="218"/>
    </row>
    <row r="22" spans="2:30" s="10" customFormat="1" ht="16.5" customHeight="1">
      <c r="B22" s="217"/>
      <c r="C22" s="269">
        <v>7</v>
      </c>
      <c r="D22" s="269">
        <v>257731</v>
      </c>
      <c r="E22" s="269">
        <v>872</v>
      </c>
      <c r="F22" s="126" t="s">
        <v>70</v>
      </c>
      <c r="G22" s="128" t="s">
        <v>73</v>
      </c>
      <c r="H22" s="282">
        <v>30</v>
      </c>
      <c r="I22" s="138" t="s">
        <v>74</v>
      </c>
      <c r="J22" s="284">
        <f aca="true" t="shared" si="0" ref="J22:J40">H22*$I$16</f>
        <v>35.730000000000004</v>
      </c>
      <c r="K22" s="285">
        <v>41310.71875</v>
      </c>
      <c r="L22" s="285">
        <v>41310.75347222222</v>
      </c>
      <c r="M22" s="286">
        <f aca="true" t="shared" si="1" ref="M22:M40">IF(F22="","",(L22-K22)*24)</f>
        <v>0.8333333332557231</v>
      </c>
      <c r="N22" s="287">
        <f aca="true" t="shared" si="2" ref="N22:N40">IF(F22="","",ROUND((L22-K22)*24*60,0))</f>
        <v>50</v>
      </c>
      <c r="O22" s="288" t="s">
        <v>75</v>
      </c>
      <c r="P22" s="289" t="str">
        <f aca="true" t="shared" si="3" ref="P22:P40">IF(F22="","",IF(OR(O22="P",O22="RP"),"--","NO"))</f>
        <v>NO</v>
      </c>
      <c r="Q22" s="289" t="str">
        <f aca="true" t="shared" si="4" ref="Q22:Q40">IF(F22="","","--")</f>
        <v>--</v>
      </c>
      <c r="R22" s="288" t="s">
        <v>76</v>
      </c>
      <c r="S22" s="152">
        <f aca="true" t="shared" si="5" ref="S22:S40">$I$17*IF(OR(O22="P",O22="RP"),0.1,1)*IF(R22="SI",1,0.1)</f>
        <v>30</v>
      </c>
      <c r="T22" s="290" t="str">
        <f aca="true" t="shared" si="6" ref="T22:T40">IF(O22="P",J22*S22*ROUND(N22/60,2),"--")</f>
        <v>--</v>
      </c>
      <c r="U22" s="291" t="str">
        <f aca="true" t="shared" si="7" ref="U22:U40">IF(O22="RP",J22*S22*ROUND(N22/60,2)*Q22/100,"--")</f>
        <v>--</v>
      </c>
      <c r="V22" s="292">
        <f aca="true" t="shared" si="8" ref="V22:V40">IF(AND(O22="F",P22="NO"),J22*S22,"--")</f>
        <v>1071.9</v>
      </c>
      <c r="W22" s="293">
        <f aca="true" t="shared" si="9" ref="W22:W40">IF(O22="F",J22*S22*ROUND(N22/60,2),"--")</f>
        <v>889.677</v>
      </c>
      <c r="X22" s="294" t="str">
        <f aca="true" t="shared" si="10" ref="X22:X40">IF(AND(O22="R",P22="NO"),J22*S22*Q22/100,"--")</f>
        <v>--</v>
      </c>
      <c r="Y22" s="295" t="str">
        <f aca="true" t="shared" si="11" ref="Y22:Y40">IF(O22="R",J22*S22*ROUND(N22/60,2)*Q22/100,"--")</f>
        <v>--</v>
      </c>
      <c r="Z22" s="296" t="str">
        <f aca="true" t="shared" si="12" ref="Z22:Z40">IF(O22="RF",J22*S22*ROUND(N22/60,2),"--")</f>
        <v>--</v>
      </c>
      <c r="AA22" s="297" t="str">
        <f aca="true" t="shared" si="13" ref="AA22:AA40">IF(O22="RR",J22*S22*ROUND(N22/60,2)*Q22/100,"--")</f>
        <v>--</v>
      </c>
      <c r="AB22" s="288" t="str">
        <f aca="true" t="shared" si="14" ref="AB22:AB40">IF(F22="","","SI")</f>
        <v>SI</v>
      </c>
      <c r="AC22" s="298">
        <f aca="true" t="shared" si="15" ref="AC22:AC40">IF(F22="","",SUM(T22:AA22)*IF(AB22="SI",1,2))</f>
        <v>1961.5770000000002</v>
      </c>
      <c r="AD22" s="299"/>
    </row>
    <row r="23" spans="2:30" s="10" customFormat="1" ht="16.5" customHeight="1">
      <c r="B23" s="217"/>
      <c r="C23" s="269">
        <v>8</v>
      </c>
      <c r="D23" s="269">
        <v>257881</v>
      </c>
      <c r="E23" s="269">
        <v>869</v>
      </c>
      <c r="F23" s="126" t="s">
        <v>77</v>
      </c>
      <c r="G23" s="128" t="s">
        <v>71</v>
      </c>
      <c r="H23" s="282">
        <v>30</v>
      </c>
      <c r="I23" s="138" t="s">
        <v>72</v>
      </c>
      <c r="J23" s="284">
        <f t="shared" si="0"/>
        <v>35.730000000000004</v>
      </c>
      <c r="K23" s="285">
        <v>41320.873611111114</v>
      </c>
      <c r="L23" s="285">
        <v>41333.99930555555</v>
      </c>
      <c r="M23" s="286">
        <f t="shared" si="1"/>
        <v>315.01666666654637</v>
      </c>
      <c r="N23" s="287">
        <f t="shared" si="2"/>
        <v>18901</v>
      </c>
      <c r="O23" s="288" t="s">
        <v>75</v>
      </c>
      <c r="P23" s="289" t="str">
        <f t="shared" si="3"/>
        <v>NO</v>
      </c>
      <c r="Q23" s="289" t="str">
        <f t="shared" si="4"/>
        <v>--</v>
      </c>
      <c r="R23" s="288" t="str">
        <f aca="true" t="shared" si="16" ref="R23:R40">IF(F23="","","NO")</f>
        <v>NO</v>
      </c>
      <c r="S23" s="152">
        <f t="shared" si="5"/>
        <v>3</v>
      </c>
      <c r="T23" s="290" t="str">
        <f t="shared" si="6"/>
        <v>--</v>
      </c>
      <c r="U23" s="291" t="str">
        <f t="shared" si="7"/>
        <v>--</v>
      </c>
      <c r="V23" s="292">
        <f t="shared" si="8"/>
        <v>107.19000000000001</v>
      </c>
      <c r="W23" s="293">
        <f t="shared" si="9"/>
        <v>33766.993800000004</v>
      </c>
      <c r="X23" s="294" t="str">
        <f t="shared" si="10"/>
        <v>--</v>
      </c>
      <c r="Y23" s="295" t="str">
        <f t="shared" si="11"/>
        <v>--</v>
      </c>
      <c r="Z23" s="296" t="str">
        <f t="shared" si="12"/>
        <v>--</v>
      </c>
      <c r="AA23" s="297" t="str">
        <f t="shared" si="13"/>
        <v>--</v>
      </c>
      <c r="AB23" s="288" t="str">
        <f t="shared" si="14"/>
        <v>SI</v>
      </c>
      <c r="AC23" s="298">
        <f t="shared" si="15"/>
        <v>33874.183800000006</v>
      </c>
      <c r="AD23" s="218"/>
    </row>
    <row r="24" spans="2:30" s="10" customFormat="1" ht="16.5" customHeight="1">
      <c r="B24" s="217"/>
      <c r="C24" s="269">
        <v>9</v>
      </c>
      <c r="D24" s="269">
        <v>258263</v>
      </c>
      <c r="E24" s="269">
        <v>870</v>
      </c>
      <c r="F24" s="126" t="s">
        <v>77</v>
      </c>
      <c r="G24" s="128" t="s">
        <v>78</v>
      </c>
      <c r="H24" s="282">
        <v>30</v>
      </c>
      <c r="I24" s="138" t="s">
        <v>72</v>
      </c>
      <c r="J24" s="284">
        <f t="shared" si="0"/>
        <v>35.730000000000004</v>
      </c>
      <c r="K24" s="285">
        <v>41333.135416666664</v>
      </c>
      <c r="L24" s="285">
        <v>41333.28333333333</v>
      </c>
      <c r="M24" s="286">
        <f t="shared" si="1"/>
        <v>3.550000000046566</v>
      </c>
      <c r="N24" s="287">
        <f t="shared" si="2"/>
        <v>213</v>
      </c>
      <c r="O24" s="288" t="s">
        <v>79</v>
      </c>
      <c r="P24" s="289" t="str">
        <f t="shared" si="3"/>
        <v>--</v>
      </c>
      <c r="Q24" s="289">
        <v>50</v>
      </c>
      <c r="R24" s="288" t="str">
        <f t="shared" si="16"/>
        <v>NO</v>
      </c>
      <c r="S24" s="152">
        <f t="shared" si="5"/>
        <v>0.30000000000000004</v>
      </c>
      <c r="T24" s="290" t="str">
        <f t="shared" si="6"/>
        <v>--</v>
      </c>
      <c r="U24" s="291">
        <f t="shared" si="7"/>
        <v>19.026225000000004</v>
      </c>
      <c r="V24" s="292" t="str">
        <f t="shared" si="8"/>
        <v>--</v>
      </c>
      <c r="W24" s="293" t="str">
        <f t="shared" si="9"/>
        <v>--</v>
      </c>
      <c r="X24" s="294" t="str">
        <f t="shared" si="10"/>
        <v>--</v>
      </c>
      <c r="Y24" s="295" t="str">
        <f t="shared" si="11"/>
        <v>--</v>
      </c>
      <c r="Z24" s="296" t="str">
        <f t="shared" si="12"/>
        <v>--</v>
      </c>
      <c r="AA24" s="297" t="str">
        <f t="shared" si="13"/>
        <v>--</v>
      </c>
      <c r="AB24" s="288" t="str">
        <f t="shared" si="14"/>
        <v>SI</v>
      </c>
      <c r="AC24" s="298">
        <f t="shared" si="15"/>
        <v>19.026225000000004</v>
      </c>
      <c r="AD24" s="218"/>
    </row>
    <row r="25" spans="2:30" s="10" customFormat="1" ht="16.5" customHeight="1">
      <c r="B25" s="217"/>
      <c r="C25" s="269">
        <v>10</v>
      </c>
      <c r="D25" s="269">
        <v>258264</v>
      </c>
      <c r="E25" s="269">
        <v>4759</v>
      </c>
      <c r="F25" s="126" t="s">
        <v>77</v>
      </c>
      <c r="G25" s="128" t="s">
        <v>80</v>
      </c>
      <c r="H25" s="282">
        <v>30</v>
      </c>
      <c r="I25" s="138" t="s">
        <v>72</v>
      </c>
      <c r="J25" s="284">
        <f t="shared" si="0"/>
        <v>35.730000000000004</v>
      </c>
      <c r="K25" s="285">
        <v>41333.135416666664</v>
      </c>
      <c r="L25" s="285">
        <v>41333.28333333333</v>
      </c>
      <c r="M25" s="286">
        <f t="shared" si="1"/>
        <v>3.550000000046566</v>
      </c>
      <c r="N25" s="287">
        <f t="shared" si="2"/>
        <v>213</v>
      </c>
      <c r="O25" s="288" t="s">
        <v>79</v>
      </c>
      <c r="P25" s="289" t="str">
        <f t="shared" si="3"/>
        <v>--</v>
      </c>
      <c r="Q25" s="289">
        <v>50</v>
      </c>
      <c r="R25" s="288" t="str">
        <f t="shared" si="16"/>
        <v>NO</v>
      </c>
      <c r="S25" s="152">
        <f t="shared" si="5"/>
        <v>0.30000000000000004</v>
      </c>
      <c r="T25" s="290" t="str">
        <f t="shared" si="6"/>
        <v>--</v>
      </c>
      <c r="U25" s="291">
        <f t="shared" si="7"/>
        <v>19.026225000000004</v>
      </c>
      <c r="V25" s="292" t="str">
        <f t="shared" si="8"/>
        <v>--</v>
      </c>
      <c r="W25" s="293" t="str">
        <f t="shared" si="9"/>
        <v>--</v>
      </c>
      <c r="X25" s="294" t="str">
        <f t="shared" si="10"/>
        <v>--</v>
      </c>
      <c r="Y25" s="295" t="str">
        <f t="shared" si="11"/>
        <v>--</v>
      </c>
      <c r="Z25" s="296" t="str">
        <f t="shared" si="12"/>
        <v>--</v>
      </c>
      <c r="AA25" s="297" t="str">
        <f t="shared" si="13"/>
        <v>--</v>
      </c>
      <c r="AB25" s="288" t="str">
        <f t="shared" si="14"/>
        <v>SI</v>
      </c>
      <c r="AC25" s="298">
        <f t="shared" si="15"/>
        <v>19.026225000000004</v>
      </c>
      <c r="AD25" s="218"/>
    </row>
    <row r="26" spans="2:30" s="10" customFormat="1" ht="16.5" customHeight="1">
      <c r="B26" s="217"/>
      <c r="C26" s="269"/>
      <c r="D26" s="269"/>
      <c r="E26" s="269"/>
      <c r="F26" s="126"/>
      <c r="G26" s="128"/>
      <c r="H26" s="282"/>
      <c r="I26" s="283"/>
      <c r="J26" s="284">
        <f t="shared" si="0"/>
        <v>0</v>
      </c>
      <c r="K26" s="285"/>
      <c r="L26" s="285"/>
      <c r="M26" s="286">
        <f t="shared" si="1"/>
      </c>
      <c r="N26" s="287">
        <f t="shared" si="2"/>
      </c>
      <c r="O26" s="288"/>
      <c r="P26" s="289">
        <f t="shared" si="3"/>
      </c>
      <c r="Q26" s="289">
        <f t="shared" si="4"/>
      </c>
      <c r="R26" s="288">
        <f t="shared" si="16"/>
      </c>
      <c r="S26" s="152">
        <f t="shared" si="5"/>
        <v>3</v>
      </c>
      <c r="T26" s="290" t="str">
        <f t="shared" si="6"/>
        <v>--</v>
      </c>
      <c r="U26" s="291" t="str">
        <f t="shared" si="7"/>
        <v>--</v>
      </c>
      <c r="V26" s="292" t="str">
        <f t="shared" si="8"/>
        <v>--</v>
      </c>
      <c r="W26" s="293" t="str">
        <f t="shared" si="9"/>
        <v>--</v>
      </c>
      <c r="X26" s="294" t="str">
        <f t="shared" si="10"/>
        <v>--</v>
      </c>
      <c r="Y26" s="295" t="str">
        <f t="shared" si="11"/>
        <v>--</v>
      </c>
      <c r="Z26" s="296" t="str">
        <f t="shared" si="12"/>
        <v>--</v>
      </c>
      <c r="AA26" s="297" t="str">
        <f t="shared" si="13"/>
        <v>--</v>
      </c>
      <c r="AB26" s="288">
        <f t="shared" si="14"/>
      </c>
      <c r="AC26" s="298">
        <f t="shared" si="15"/>
      </c>
      <c r="AD26" s="218"/>
    </row>
    <row r="27" spans="2:30" s="10" customFormat="1" ht="16.5" customHeight="1">
      <c r="B27" s="217"/>
      <c r="C27" s="269"/>
      <c r="D27" s="269"/>
      <c r="E27" s="269"/>
      <c r="F27" s="126"/>
      <c r="G27" s="128"/>
      <c r="H27" s="282"/>
      <c r="I27" s="283"/>
      <c r="J27" s="284">
        <f t="shared" si="0"/>
        <v>0</v>
      </c>
      <c r="K27" s="285"/>
      <c r="L27" s="285"/>
      <c r="M27" s="286">
        <f t="shared" si="1"/>
      </c>
      <c r="N27" s="287">
        <f t="shared" si="2"/>
      </c>
      <c r="O27" s="288"/>
      <c r="P27" s="289">
        <f t="shared" si="3"/>
      </c>
      <c r="Q27" s="289">
        <f t="shared" si="4"/>
      </c>
      <c r="R27" s="288">
        <f t="shared" si="16"/>
      </c>
      <c r="S27" s="152">
        <f t="shared" si="5"/>
        <v>3</v>
      </c>
      <c r="T27" s="290" t="str">
        <f t="shared" si="6"/>
        <v>--</v>
      </c>
      <c r="U27" s="291" t="str">
        <f t="shared" si="7"/>
        <v>--</v>
      </c>
      <c r="V27" s="292" t="str">
        <f t="shared" si="8"/>
        <v>--</v>
      </c>
      <c r="W27" s="293" t="str">
        <f t="shared" si="9"/>
        <v>--</v>
      </c>
      <c r="X27" s="294" t="str">
        <f t="shared" si="10"/>
        <v>--</v>
      </c>
      <c r="Y27" s="295" t="str">
        <f t="shared" si="11"/>
        <v>--</v>
      </c>
      <c r="Z27" s="296" t="str">
        <f t="shared" si="12"/>
        <v>--</v>
      </c>
      <c r="AA27" s="297" t="str">
        <f t="shared" si="13"/>
        <v>--</v>
      </c>
      <c r="AB27" s="288">
        <f t="shared" si="14"/>
      </c>
      <c r="AC27" s="298">
        <f t="shared" si="15"/>
      </c>
      <c r="AD27" s="218"/>
    </row>
    <row r="28" spans="2:30" s="10" customFormat="1" ht="16.5" customHeight="1">
      <c r="B28" s="217"/>
      <c r="C28" s="269"/>
      <c r="D28" s="269"/>
      <c r="E28" s="269"/>
      <c r="F28" s="126"/>
      <c r="G28" s="128"/>
      <c r="H28" s="282"/>
      <c r="I28" s="283"/>
      <c r="J28" s="284">
        <f t="shared" si="0"/>
        <v>0</v>
      </c>
      <c r="K28" s="285"/>
      <c r="L28" s="285"/>
      <c r="M28" s="286">
        <f t="shared" si="1"/>
      </c>
      <c r="N28" s="287">
        <f t="shared" si="2"/>
      </c>
      <c r="O28" s="288"/>
      <c r="P28" s="289">
        <f t="shared" si="3"/>
      </c>
      <c r="Q28" s="289">
        <f t="shared" si="4"/>
      </c>
      <c r="R28" s="288">
        <f t="shared" si="16"/>
      </c>
      <c r="S28" s="152">
        <f t="shared" si="5"/>
        <v>3</v>
      </c>
      <c r="T28" s="290" t="str">
        <f t="shared" si="6"/>
        <v>--</v>
      </c>
      <c r="U28" s="291" t="str">
        <f t="shared" si="7"/>
        <v>--</v>
      </c>
      <c r="V28" s="292" t="str">
        <f t="shared" si="8"/>
        <v>--</v>
      </c>
      <c r="W28" s="293" t="str">
        <f t="shared" si="9"/>
        <v>--</v>
      </c>
      <c r="X28" s="294" t="str">
        <f t="shared" si="10"/>
        <v>--</v>
      </c>
      <c r="Y28" s="295" t="str">
        <f t="shared" si="11"/>
        <v>--</v>
      </c>
      <c r="Z28" s="296" t="str">
        <f t="shared" si="12"/>
        <v>--</v>
      </c>
      <c r="AA28" s="297" t="str">
        <f t="shared" si="13"/>
        <v>--</v>
      </c>
      <c r="AB28" s="288">
        <f t="shared" si="14"/>
      </c>
      <c r="AC28" s="298">
        <f t="shared" si="15"/>
      </c>
      <c r="AD28" s="218"/>
    </row>
    <row r="29" spans="2:30" s="10" customFormat="1" ht="16.5" customHeight="1">
      <c r="B29" s="217"/>
      <c r="C29" s="269"/>
      <c r="D29" s="269"/>
      <c r="E29" s="269"/>
      <c r="F29" s="126"/>
      <c r="G29" s="128"/>
      <c r="H29" s="282"/>
      <c r="I29" s="283"/>
      <c r="J29" s="284">
        <f t="shared" si="0"/>
        <v>0</v>
      </c>
      <c r="K29" s="285"/>
      <c r="L29" s="285"/>
      <c r="M29" s="286">
        <f t="shared" si="1"/>
      </c>
      <c r="N29" s="287">
        <f t="shared" si="2"/>
      </c>
      <c r="O29" s="288"/>
      <c r="P29" s="289">
        <f t="shared" si="3"/>
      </c>
      <c r="Q29" s="289">
        <f t="shared" si="4"/>
      </c>
      <c r="R29" s="288">
        <f t="shared" si="16"/>
      </c>
      <c r="S29" s="152">
        <f t="shared" si="5"/>
        <v>3</v>
      </c>
      <c r="T29" s="290" t="str">
        <f t="shared" si="6"/>
        <v>--</v>
      </c>
      <c r="U29" s="291" t="str">
        <f t="shared" si="7"/>
        <v>--</v>
      </c>
      <c r="V29" s="292" t="str">
        <f t="shared" si="8"/>
        <v>--</v>
      </c>
      <c r="W29" s="293" t="str">
        <f t="shared" si="9"/>
        <v>--</v>
      </c>
      <c r="X29" s="294" t="str">
        <f t="shared" si="10"/>
        <v>--</v>
      </c>
      <c r="Y29" s="295" t="str">
        <f t="shared" si="11"/>
        <v>--</v>
      </c>
      <c r="Z29" s="296" t="str">
        <f t="shared" si="12"/>
        <v>--</v>
      </c>
      <c r="AA29" s="297" t="str">
        <f t="shared" si="13"/>
        <v>--</v>
      </c>
      <c r="AB29" s="288">
        <f t="shared" si="14"/>
      </c>
      <c r="AC29" s="298">
        <f t="shared" si="15"/>
      </c>
      <c r="AD29" s="218"/>
    </row>
    <row r="30" spans="2:30" s="10" customFormat="1" ht="16.5" customHeight="1">
      <c r="B30" s="217"/>
      <c r="C30" s="269"/>
      <c r="D30" s="269"/>
      <c r="E30" s="269"/>
      <c r="F30" s="126"/>
      <c r="G30" s="128"/>
      <c r="H30" s="282"/>
      <c r="I30" s="283"/>
      <c r="J30" s="284">
        <f t="shared" si="0"/>
        <v>0</v>
      </c>
      <c r="K30" s="285"/>
      <c r="L30" s="285"/>
      <c r="M30" s="286">
        <f t="shared" si="1"/>
      </c>
      <c r="N30" s="287">
        <f t="shared" si="2"/>
      </c>
      <c r="O30" s="288"/>
      <c r="P30" s="289">
        <f t="shared" si="3"/>
      </c>
      <c r="Q30" s="289">
        <f t="shared" si="4"/>
      </c>
      <c r="R30" s="288">
        <f t="shared" si="16"/>
      </c>
      <c r="S30" s="152">
        <f t="shared" si="5"/>
        <v>3</v>
      </c>
      <c r="T30" s="290" t="str">
        <f t="shared" si="6"/>
        <v>--</v>
      </c>
      <c r="U30" s="291" t="str">
        <f t="shared" si="7"/>
        <v>--</v>
      </c>
      <c r="V30" s="292" t="str">
        <f t="shared" si="8"/>
        <v>--</v>
      </c>
      <c r="W30" s="293" t="str">
        <f t="shared" si="9"/>
        <v>--</v>
      </c>
      <c r="X30" s="294" t="str">
        <f t="shared" si="10"/>
        <v>--</v>
      </c>
      <c r="Y30" s="295" t="str">
        <f t="shared" si="11"/>
        <v>--</v>
      </c>
      <c r="Z30" s="296" t="str">
        <f t="shared" si="12"/>
        <v>--</v>
      </c>
      <c r="AA30" s="297" t="str">
        <f t="shared" si="13"/>
        <v>--</v>
      </c>
      <c r="AB30" s="288">
        <f t="shared" si="14"/>
      </c>
      <c r="AC30" s="298">
        <f t="shared" si="15"/>
      </c>
      <c r="AD30" s="218"/>
    </row>
    <row r="31" spans="2:30" s="10" customFormat="1" ht="16.5" customHeight="1">
      <c r="B31" s="217"/>
      <c r="C31" s="269"/>
      <c r="D31" s="269"/>
      <c r="E31" s="269"/>
      <c r="F31" s="126"/>
      <c r="G31" s="128"/>
      <c r="H31" s="282"/>
      <c r="I31" s="283"/>
      <c r="J31" s="284">
        <f t="shared" si="0"/>
        <v>0</v>
      </c>
      <c r="K31" s="285"/>
      <c r="L31" s="285"/>
      <c r="M31" s="286">
        <f t="shared" si="1"/>
      </c>
      <c r="N31" s="287">
        <f t="shared" si="2"/>
      </c>
      <c r="O31" s="288"/>
      <c r="P31" s="289">
        <f t="shared" si="3"/>
      </c>
      <c r="Q31" s="289">
        <f t="shared" si="4"/>
      </c>
      <c r="R31" s="288">
        <f t="shared" si="16"/>
      </c>
      <c r="S31" s="152">
        <f t="shared" si="5"/>
        <v>3</v>
      </c>
      <c r="T31" s="290" t="str">
        <f t="shared" si="6"/>
        <v>--</v>
      </c>
      <c r="U31" s="291" t="str">
        <f t="shared" si="7"/>
        <v>--</v>
      </c>
      <c r="V31" s="292" t="str">
        <f t="shared" si="8"/>
        <v>--</v>
      </c>
      <c r="W31" s="293" t="str">
        <f t="shared" si="9"/>
        <v>--</v>
      </c>
      <c r="X31" s="294" t="str">
        <f t="shared" si="10"/>
        <v>--</v>
      </c>
      <c r="Y31" s="295" t="str">
        <f t="shared" si="11"/>
        <v>--</v>
      </c>
      <c r="Z31" s="296" t="str">
        <f t="shared" si="12"/>
        <v>--</v>
      </c>
      <c r="AA31" s="297" t="str">
        <f t="shared" si="13"/>
        <v>--</v>
      </c>
      <c r="AB31" s="288">
        <f t="shared" si="14"/>
      </c>
      <c r="AC31" s="298">
        <f t="shared" si="15"/>
      </c>
      <c r="AD31" s="218"/>
    </row>
    <row r="32" spans="2:30" s="10" customFormat="1" ht="16.5" customHeight="1">
      <c r="B32" s="217"/>
      <c r="C32" s="269"/>
      <c r="D32" s="269"/>
      <c r="E32" s="269"/>
      <c r="F32" s="126"/>
      <c r="G32" s="128"/>
      <c r="H32" s="282"/>
      <c r="I32" s="283"/>
      <c r="J32" s="284">
        <f t="shared" si="0"/>
        <v>0</v>
      </c>
      <c r="K32" s="285"/>
      <c r="L32" s="285"/>
      <c r="M32" s="286">
        <f t="shared" si="1"/>
      </c>
      <c r="N32" s="287">
        <f t="shared" si="2"/>
      </c>
      <c r="O32" s="288"/>
      <c r="P32" s="289">
        <f t="shared" si="3"/>
      </c>
      <c r="Q32" s="289">
        <f t="shared" si="4"/>
      </c>
      <c r="R32" s="288">
        <f t="shared" si="16"/>
      </c>
      <c r="S32" s="152">
        <f t="shared" si="5"/>
        <v>3</v>
      </c>
      <c r="T32" s="290" t="str">
        <f t="shared" si="6"/>
        <v>--</v>
      </c>
      <c r="U32" s="291" t="str">
        <f t="shared" si="7"/>
        <v>--</v>
      </c>
      <c r="V32" s="292" t="str">
        <f t="shared" si="8"/>
        <v>--</v>
      </c>
      <c r="W32" s="293" t="str">
        <f t="shared" si="9"/>
        <v>--</v>
      </c>
      <c r="X32" s="294" t="str">
        <f t="shared" si="10"/>
        <v>--</v>
      </c>
      <c r="Y32" s="295" t="str">
        <f t="shared" si="11"/>
        <v>--</v>
      </c>
      <c r="Z32" s="296" t="str">
        <f t="shared" si="12"/>
        <v>--</v>
      </c>
      <c r="AA32" s="297" t="str">
        <f t="shared" si="13"/>
        <v>--</v>
      </c>
      <c r="AB32" s="288">
        <f t="shared" si="14"/>
      </c>
      <c r="AC32" s="298">
        <f t="shared" si="15"/>
      </c>
      <c r="AD32" s="218"/>
    </row>
    <row r="33" spans="2:30" s="10" customFormat="1" ht="16.5" customHeight="1">
      <c r="B33" s="217"/>
      <c r="C33" s="269"/>
      <c r="D33" s="269"/>
      <c r="E33" s="269"/>
      <c r="F33" s="126"/>
      <c r="G33" s="128"/>
      <c r="H33" s="282"/>
      <c r="I33" s="283"/>
      <c r="J33" s="284">
        <f t="shared" si="0"/>
        <v>0</v>
      </c>
      <c r="K33" s="285"/>
      <c r="L33" s="285"/>
      <c r="M33" s="286">
        <f t="shared" si="1"/>
      </c>
      <c r="N33" s="287">
        <f t="shared" si="2"/>
      </c>
      <c r="O33" s="288"/>
      <c r="P33" s="289">
        <f t="shared" si="3"/>
      </c>
      <c r="Q33" s="289">
        <f t="shared" si="4"/>
      </c>
      <c r="R33" s="288">
        <f t="shared" si="16"/>
      </c>
      <c r="S33" s="152">
        <f t="shared" si="5"/>
        <v>3</v>
      </c>
      <c r="T33" s="290" t="str">
        <f t="shared" si="6"/>
        <v>--</v>
      </c>
      <c r="U33" s="291" t="str">
        <f t="shared" si="7"/>
        <v>--</v>
      </c>
      <c r="V33" s="292" t="str">
        <f t="shared" si="8"/>
        <v>--</v>
      </c>
      <c r="W33" s="293" t="str">
        <f t="shared" si="9"/>
        <v>--</v>
      </c>
      <c r="X33" s="294" t="str">
        <f t="shared" si="10"/>
        <v>--</v>
      </c>
      <c r="Y33" s="295" t="str">
        <f t="shared" si="11"/>
        <v>--</v>
      </c>
      <c r="Z33" s="296" t="str">
        <f t="shared" si="12"/>
        <v>--</v>
      </c>
      <c r="AA33" s="297" t="str">
        <f t="shared" si="13"/>
        <v>--</v>
      </c>
      <c r="AB33" s="288">
        <f t="shared" si="14"/>
      </c>
      <c r="AC33" s="298">
        <f t="shared" si="15"/>
      </c>
      <c r="AD33" s="218"/>
    </row>
    <row r="34" spans="2:30" s="10" customFormat="1" ht="16.5" customHeight="1">
      <c r="B34" s="217"/>
      <c r="C34" s="269"/>
      <c r="D34" s="269"/>
      <c r="E34" s="269"/>
      <c r="F34" s="126"/>
      <c r="G34" s="128"/>
      <c r="H34" s="282"/>
      <c r="I34" s="283"/>
      <c r="J34" s="284">
        <f t="shared" si="0"/>
        <v>0</v>
      </c>
      <c r="K34" s="285"/>
      <c r="L34" s="285"/>
      <c r="M34" s="286">
        <f t="shared" si="1"/>
      </c>
      <c r="N34" s="287">
        <f t="shared" si="2"/>
      </c>
      <c r="O34" s="288"/>
      <c r="P34" s="289">
        <f t="shared" si="3"/>
      </c>
      <c r="Q34" s="289">
        <f t="shared" si="4"/>
      </c>
      <c r="R34" s="288">
        <f t="shared" si="16"/>
      </c>
      <c r="S34" s="152">
        <f t="shared" si="5"/>
        <v>3</v>
      </c>
      <c r="T34" s="290" t="str">
        <f t="shared" si="6"/>
        <v>--</v>
      </c>
      <c r="U34" s="291" t="str">
        <f t="shared" si="7"/>
        <v>--</v>
      </c>
      <c r="V34" s="292" t="str">
        <f t="shared" si="8"/>
        <v>--</v>
      </c>
      <c r="W34" s="293" t="str">
        <f t="shared" si="9"/>
        <v>--</v>
      </c>
      <c r="X34" s="294" t="str">
        <f t="shared" si="10"/>
        <v>--</v>
      </c>
      <c r="Y34" s="295" t="str">
        <f t="shared" si="11"/>
        <v>--</v>
      </c>
      <c r="Z34" s="296" t="str">
        <f t="shared" si="12"/>
        <v>--</v>
      </c>
      <c r="AA34" s="297" t="str">
        <f t="shared" si="13"/>
        <v>--</v>
      </c>
      <c r="AB34" s="288">
        <f t="shared" si="14"/>
      </c>
      <c r="AC34" s="298">
        <f t="shared" si="15"/>
      </c>
      <c r="AD34" s="218"/>
    </row>
    <row r="35" spans="2:30" s="10" customFormat="1" ht="16.5" customHeight="1">
      <c r="B35" s="217"/>
      <c r="C35" s="269"/>
      <c r="D35" s="269"/>
      <c r="E35" s="269"/>
      <c r="F35" s="126"/>
      <c r="G35" s="128"/>
      <c r="H35" s="282"/>
      <c r="I35" s="283"/>
      <c r="J35" s="284">
        <f t="shared" si="0"/>
        <v>0</v>
      </c>
      <c r="K35" s="285"/>
      <c r="L35" s="285"/>
      <c r="M35" s="286">
        <f t="shared" si="1"/>
      </c>
      <c r="N35" s="287">
        <f t="shared" si="2"/>
      </c>
      <c r="O35" s="288"/>
      <c r="P35" s="289">
        <f t="shared" si="3"/>
      </c>
      <c r="Q35" s="289">
        <f t="shared" si="4"/>
      </c>
      <c r="R35" s="288">
        <f t="shared" si="16"/>
      </c>
      <c r="S35" s="152">
        <f t="shared" si="5"/>
        <v>3</v>
      </c>
      <c r="T35" s="290" t="str">
        <f t="shared" si="6"/>
        <v>--</v>
      </c>
      <c r="U35" s="291" t="str">
        <f t="shared" si="7"/>
        <v>--</v>
      </c>
      <c r="V35" s="292" t="str">
        <f t="shared" si="8"/>
        <v>--</v>
      </c>
      <c r="W35" s="293" t="str">
        <f t="shared" si="9"/>
        <v>--</v>
      </c>
      <c r="X35" s="294" t="str">
        <f t="shared" si="10"/>
        <v>--</v>
      </c>
      <c r="Y35" s="295" t="str">
        <f t="shared" si="11"/>
        <v>--</v>
      </c>
      <c r="Z35" s="296" t="str">
        <f t="shared" si="12"/>
        <v>--</v>
      </c>
      <c r="AA35" s="297" t="str">
        <f t="shared" si="13"/>
        <v>--</v>
      </c>
      <c r="AB35" s="288">
        <f t="shared" si="14"/>
      </c>
      <c r="AC35" s="298">
        <f t="shared" si="15"/>
      </c>
      <c r="AD35" s="218"/>
    </row>
    <row r="36" spans="2:30" s="10" customFormat="1" ht="16.5" customHeight="1">
      <c r="B36" s="217"/>
      <c r="C36" s="269"/>
      <c r="D36" s="269"/>
      <c r="E36" s="269"/>
      <c r="F36" s="126"/>
      <c r="G36" s="128"/>
      <c r="H36" s="282"/>
      <c r="I36" s="283"/>
      <c r="J36" s="284">
        <f t="shared" si="0"/>
        <v>0</v>
      </c>
      <c r="K36" s="285"/>
      <c r="L36" s="285"/>
      <c r="M36" s="286">
        <f t="shared" si="1"/>
      </c>
      <c r="N36" s="287">
        <f t="shared" si="2"/>
      </c>
      <c r="O36" s="288"/>
      <c r="P36" s="289">
        <f t="shared" si="3"/>
      </c>
      <c r="Q36" s="289">
        <f t="shared" si="4"/>
      </c>
      <c r="R36" s="288">
        <f t="shared" si="16"/>
      </c>
      <c r="S36" s="152">
        <f t="shared" si="5"/>
        <v>3</v>
      </c>
      <c r="T36" s="290" t="str">
        <f t="shared" si="6"/>
        <v>--</v>
      </c>
      <c r="U36" s="291" t="str">
        <f t="shared" si="7"/>
        <v>--</v>
      </c>
      <c r="V36" s="292" t="str">
        <f t="shared" si="8"/>
        <v>--</v>
      </c>
      <c r="W36" s="293" t="str">
        <f t="shared" si="9"/>
        <v>--</v>
      </c>
      <c r="X36" s="294" t="str">
        <f t="shared" si="10"/>
        <v>--</v>
      </c>
      <c r="Y36" s="295" t="str">
        <f t="shared" si="11"/>
        <v>--</v>
      </c>
      <c r="Z36" s="296" t="str">
        <f t="shared" si="12"/>
        <v>--</v>
      </c>
      <c r="AA36" s="297" t="str">
        <f t="shared" si="13"/>
        <v>--</v>
      </c>
      <c r="AB36" s="288">
        <f t="shared" si="14"/>
      </c>
      <c r="AC36" s="298">
        <f t="shared" si="15"/>
      </c>
      <c r="AD36" s="218"/>
    </row>
    <row r="37" spans="2:30" s="10" customFormat="1" ht="16.5" customHeight="1">
      <c r="B37" s="217"/>
      <c r="C37" s="269"/>
      <c r="D37" s="269"/>
      <c r="E37" s="269"/>
      <c r="F37" s="126"/>
      <c r="G37" s="128"/>
      <c r="H37" s="282"/>
      <c r="I37" s="283"/>
      <c r="J37" s="284">
        <f t="shared" si="0"/>
        <v>0</v>
      </c>
      <c r="K37" s="285"/>
      <c r="L37" s="285"/>
      <c r="M37" s="286">
        <f t="shared" si="1"/>
      </c>
      <c r="N37" s="287">
        <f t="shared" si="2"/>
      </c>
      <c r="O37" s="288"/>
      <c r="P37" s="289">
        <f t="shared" si="3"/>
      </c>
      <c r="Q37" s="289">
        <f t="shared" si="4"/>
      </c>
      <c r="R37" s="288">
        <f t="shared" si="16"/>
      </c>
      <c r="S37" s="152">
        <f t="shared" si="5"/>
        <v>3</v>
      </c>
      <c r="T37" s="290" t="str">
        <f t="shared" si="6"/>
        <v>--</v>
      </c>
      <c r="U37" s="291" t="str">
        <f t="shared" si="7"/>
        <v>--</v>
      </c>
      <c r="V37" s="292" t="str">
        <f t="shared" si="8"/>
        <v>--</v>
      </c>
      <c r="W37" s="293" t="str">
        <f t="shared" si="9"/>
        <v>--</v>
      </c>
      <c r="X37" s="294" t="str">
        <f t="shared" si="10"/>
        <v>--</v>
      </c>
      <c r="Y37" s="295" t="str">
        <f t="shared" si="11"/>
        <v>--</v>
      </c>
      <c r="Z37" s="296" t="str">
        <f t="shared" si="12"/>
        <v>--</v>
      </c>
      <c r="AA37" s="297" t="str">
        <f t="shared" si="13"/>
        <v>--</v>
      </c>
      <c r="AB37" s="288">
        <f t="shared" si="14"/>
      </c>
      <c r="AC37" s="298">
        <f t="shared" si="15"/>
      </c>
      <c r="AD37" s="218"/>
    </row>
    <row r="38" spans="2:30" s="10" customFormat="1" ht="16.5" customHeight="1">
      <c r="B38" s="217"/>
      <c r="C38" s="269"/>
      <c r="D38" s="269"/>
      <c r="E38" s="269"/>
      <c r="F38" s="126"/>
      <c r="G38" s="128"/>
      <c r="H38" s="282"/>
      <c r="I38" s="283"/>
      <c r="J38" s="284">
        <f t="shared" si="0"/>
        <v>0</v>
      </c>
      <c r="K38" s="285"/>
      <c r="L38" s="285"/>
      <c r="M38" s="286">
        <f t="shared" si="1"/>
      </c>
      <c r="N38" s="287">
        <f t="shared" si="2"/>
      </c>
      <c r="O38" s="288"/>
      <c r="P38" s="289">
        <f t="shared" si="3"/>
      </c>
      <c r="Q38" s="289">
        <f t="shared" si="4"/>
      </c>
      <c r="R38" s="288">
        <f t="shared" si="16"/>
      </c>
      <c r="S38" s="152">
        <f t="shared" si="5"/>
        <v>3</v>
      </c>
      <c r="T38" s="290" t="str">
        <f t="shared" si="6"/>
        <v>--</v>
      </c>
      <c r="U38" s="291" t="str">
        <f t="shared" si="7"/>
        <v>--</v>
      </c>
      <c r="V38" s="292" t="str">
        <f t="shared" si="8"/>
        <v>--</v>
      </c>
      <c r="W38" s="293" t="str">
        <f t="shared" si="9"/>
        <v>--</v>
      </c>
      <c r="X38" s="294" t="str">
        <f t="shared" si="10"/>
        <v>--</v>
      </c>
      <c r="Y38" s="295" t="str">
        <f t="shared" si="11"/>
        <v>--</v>
      </c>
      <c r="Z38" s="296" t="str">
        <f t="shared" si="12"/>
        <v>--</v>
      </c>
      <c r="AA38" s="297" t="str">
        <f t="shared" si="13"/>
        <v>--</v>
      </c>
      <c r="AB38" s="288">
        <f t="shared" si="14"/>
      </c>
      <c r="AC38" s="298">
        <f t="shared" si="15"/>
      </c>
      <c r="AD38" s="218"/>
    </row>
    <row r="39" spans="2:30" s="10" customFormat="1" ht="16.5" customHeight="1">
      <c r="B39" s="217"/>
      <c r="C39" s="269"/>
      <c r="D39" s="269"/>
      <c r="E39" s="269"/>
      <c r="F39" s="126"/>
      <c r="G39" s="128"/>
      <c r="H39" s="282"/>
      <c r="I39" s="283"/>
      <c r="J39" s="284">
        <f t="shared" si="0"/>
        <v>0</v>
      </c>
      <c r="K39" s="285"/>
      <c r="L39" s="285"/>
      <c r="M39" s="286">
        <f t="shared" si="1"/>
      </c>
      <c r="N39" s="287">
        <f t="shared" si="2"/>
      </c>
      <c r="O39" s="288"/>
      <c r="P39" s="289">
        <f t="shared" si="3"/>
      </c>
      <c r="Q39" s="289">
        <f t="shared" si="4"/>
      </c>
      <c r="R39" s="288">
        <f t="shared" si="16"/>
      </c>
      <c r="S39" s="152">
        <f t="shared" si="5"/>
        <v>3</v>
      </c>
      <c r="T39" s="290" t="str">
        <f t="shared" si="6"/>
        <v>--</v>
      </c>
      <c r="U39" s="291" t="str">
        <f t="shared" si="7"/>
        <v>--</v>
      </c>
      <c r="V39" s="292" t="str">
        <f t="shared" si="8"/>
        <v>--</v>
      </c>
      <c r="W39" s="293" t="str">
        <f t="shared" si="9"/>
        <v>--</v>
      </c>
      <c r="X39" s="294" t="str">
        <f t="shared" si="10"/>
        <v>--</v>
      </c>
      <c r="Y39" s="295" t="str">
        <f t="shared" si="11"/>
        <v>--</v>
      </c>
      <c r="Z39" s="296" t="str">
        <f t="shared" si="12"/>
        <v>--</v>
      </c>
      <c r="AA39" s="297" t="str">
        <f t="shared" si="13"/>
        <v>--</v>
      </c>
      <c r="AB39" s="288">
        <f t="shared" si="14"/>
      </c>
      <c r="AC39" s="298">
        <f t="shared" si="15"/>
      </c>
      <c r="AD39" s="218"/>
    </row>
    <row r="40" spans="2:30" s="10" customFormat="1" ht="16.5" customHeight="1">
      <c r="B40" s="217"/>
      <c r="C40" s="269"/>
      <c r="D40" s="269"/>
      <c r="E40" s="269"/>
      <c r="F40" s="126"/>
      <c r="G40" s="128"/>
      <c r="H40" s="282"/>
      <c r="I40" s="283"/>
      <c r="J40" s="284">
        <f t="shared" si="0"/>
        <v>0</v>
      </c>
      <c r="K40" s="285"/>
      <c r="L40" s="285"/>
      <c r="M40" s="286">
        <f t="shared" si="1"/>
      </c>
      <c r="N40" s="287">
        <f t="shared" si="2"/>
      </c>
      <c r="O40" s="288"/>
      <c r="P40" s="289">
        <f t="shared" si="3"/>
      </c>
      <c r="Q40" s="289">
        <f t="shared" si="4"/>
      </c>
      <c r="R40" s="288">
        <f t="shared" si="16"/>
      </c>
      <c r="S40" s="152">
        <f t="shared" si="5"/>
        <v>3</v>
      </c>
      <c r="T40" s="290" t="str">
        <f t="shared" si="6"/>
        <v>--</v>
      </c>
      <c r="U40" s="291" t="str">
        <f t="shared" si="7"/>
        <v>--</v>
      </c>
      <c r="V40" s="292" t="str">
        <f t="shared" si="8"/>
        <v>--</v>
      </c>
      <c r="W40" s="293" t="str">
        <f t="shared" si="9"/>
        <v>--</v>
      </c>
      <c r="X40" s="294" t="str">
        <f t="shared" si="10"/>
        <v>--</v>
      </c>
      <c r="Y40" s="295" t="str">
        <f t="shared" si="11"/>
        <v>--</v>
      </c>
      <c r="Z40" s="296" t="str">
        <f t="shared" si="12"/>
        <v>--</v>
      </c>
      <c r="AA40" s="297" t="str">
        <f t="shared" si="13"/>
        <v>--</v>
      </c>
      <c r="AB40" s="288">
        <f t="shared" si="14"/>
      </c>
      <c r="AC40" s="298">
        <f t="shared" si="15"/>
      </c>
      <c r="AD40" s="218"/>
    </row>
    <row r="41" spans="2:30" s="10" customFormat="1" ht="16.5" customHeight="1" thickBot="1">
      <c r="B41" s="217"/>
      <c r="C41" s="300"/>
      <c r="D41" s="300"/>
      <c r="E41" s="300"/>
      <c r="F41" s="300"/>
      <c r="G41" s="300"/>
      <c r="H41" s="300"/>
      <c r="I41" s="300"/>
      <c r="J41" s="301"/>
      <c r="K41" s="300"/>
      <c r="L41" s="300"/>
      <c r="M41" s="300"/>
      <c r="N41" s="300"/>
      <c r="O41" s="300"/>
      <c r="P41" s="300"/>
      <c r="Q41" s="300"/>
      <c r="R41" s="300"/>
      <c r="S41" s="302"/>
      <c r="T41" s="303"/>
      <c r="U41" s="304"/>
      <c r="V41" s="305"/>
      <c r="W41" s="306"/>
      <c r="X41" s="307"/>
      <c r="Y41" s="308"/>
      <c r="Z41" s="309"/>
      <c r="AA41" s="310"/>
      <c r="AB41" s="300"/>
      <c r="AC41" s="311"/>
      <c r="AD41" s="218"/>
    </row>
    <row r="42" spans="2:30" s="10" customFormat="1" ht="16.5" customHeight="1" thickBot="1" thickTop="1">
      <c r="B42" s="217"/>
      <c r="C42" s="404" t="s">
        <v>89</v>
      </c>
      <c r="D42" s="403" t="s">
        <v>88</v>
      </c>
      <c r="E42" s="187"/>
      <c r="F42" s="17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312">
        <f>SUM(T20:T41)</f>
        <v>0</v>
      </c>
      <c r="U42" s="313">
        <f>SUM(U20:U41)</f>
        <v>38.05245000000001</v>
      </c>
      <c r="V42" s="314">
        <f>SUM(V20:V41)</f>
        <v>1179.0900000000001</v>
      </c>
      <c r="W42" s="315">
        <f>SUM(W22:W41)</f>
        <v>34656.67080000001</v>
      </c>
      <c r="X42" s="316">
        <f>SUM(X20:X41)</f>
        <v>0</v>
      </c>
      <c r="Y42" s="316">
        <f>SUM(Y22:Y41)</f>
        <v>0</v>
      </c>
      <c r="Z42" s="317">
        <f>SUM(Z20:Z41)</f>
        <v>0</v>
      </c>
      <c r="AA42" s="318">
        <f>SUM(AA22:AA41)</f>
        <v>0</v>
      </c>
      <c r="AB42" s="319"/>
      <c r="AC42" s="320">
        <f>ROUND(SUM(AC20:AC41),2)</f>
        <v>35873.81</v>
      </c>
      <c r="AD42" s="218"/>
    </row>
    <row r="43" spans="2:30" s="185" customFormat="1" ht="9.75" thickTop="1">
      <c r="B43" s="321"/>
      <c r="C43" s="187"/>
      <c r="D43" s="187"/>
      <c r="E43" s="187"/>
      <c r="F43" s="188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3"/>
      <c r="U43" s="323"/>
      <c r="V43" s="323"/>
      <c r="W43" s="323"/>
      <c r="X43" s="323"/>
      <c r="Y43" s="323"/>
      <c r="Z43" s="323"/>
      <c r="AA43" s="323"/>
      <c r="AB43" s="322"/>
      <c r="AC43" s="324"/>
      <c r="AD43" s="325"/>
    </row>
    <row r="44" spans="2:30" s="10" customFormat="1" ht="16.5" customHeight="1" thickBot="1"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8"/>
    </row>
    <row r="45" spans="2:30" ht="16.5" customHeight="1" thickTop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29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">
      <selection activeCell="C22" sqref="C22:V25"/>
    </sheetView>
  </sheetViews>
  <sheetFormatPr defaultColWidth="11.421875" defaultRowHeight="12.75"/>
  <cols>
    <col min="1" max="1" width="18.5742187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30"/>
      <c r="W1" s="394"/>
    </row>
    <row r="2" spans="1:23" s="6" customFormat="1" ht="26.25">
      <c r="A2" s="330"/>
      <c r="B2" s="68" t="str">
        <f>+'TOT-0213'!B2</f>
        <v>ANEXO III al Memorándum  D.T.E.E.  N° 376/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1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32"/>
    </row>
    <row r="5" spans="1:2" s="13" customFormat="1" ht="11.25">
      <c r="A5" s="205" t="s">
        <v>4</v>
      </c>
      <c r="B5" s="332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3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+'TOT-0213'!B14</f>
        <v>Desde el 01 al 28 de febrero de 2013</v>
      </c>
      <c r="C12" s="334"/>
      <c r="D12" s="334"/>
      <c r="E12" s="334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5" t="s">
        <v>54</v>
      </c>
      <c r="G14" s="336">
        <v>31.72</v>
      </c>
      <c r="H14" s="337">
        <f>60*'TOT-0213'!B13</f>
        <v>60</v>
      </c>
      <c r="I14" s="86"/>
      <c r="J14" s="237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5" t="s">
        <v>55</v>
      </c>
      <c r="G15" s="336">
        <v>15.862</v>
      </c>
      <c r="H15" s="337">
        <f>50*'TOT-0213'!B13</f>
        <v>50</v>
      </c>
      <c r="J15" s="237" t="str">
        <f>IF(H15=50," ",IF(H15=100,"    Coeficiente duplicado por tasa de falla &gt;4 Sal. x año/100 km.","    REVISAR COEFICIENTE"))</f>
        <v> </v>
      </c>
      <c r="S15" s="12"/>
      <c r="T15" s="12"/>
      <c r="U15" s="12"/>
      <c r="V15" s="338"/>
      <c r="W15" s="49"/>
    </row>
    <row r="16" spans="2:23" s="10" customFormat="1" ht="16.5" customHeight="1" thickBot="1" thickTop="1">
      <c r="B16" s="44"/>
      <c r="C16" s="12"/>
      <c r="D16" s="12"/>
      <c r="E16" s="12"/>
      <c r="F16" s="339" t="s">
        <v>56</v>
      </c>
      <c r="G16" s="400">
        <v>11.899</v>
      </c>
      <c r="H16" s="340">
        <f>25*'TOT-0213'!B13</f>
        <v>25</v>
      </c>
      <c r="J16" s="237" t="str">
        <f>IF(H16=25," ",IF(H16=50,"    Coeficiente duplicado por tasa de falla &gt;4 Sal. x año/100 km.","    REVISAR COEFICIENTE"))</f>
        <v> </v>
      </c>
      <c r="K16" s="95"/>
      <c r="L16" s="95"/>
      <c r="M16" s="12"/>
      <c r="P16" s="341"/>
      <c r="Q16" s="342"/>
      <c r="R16" s="4"/>
      <c r="S16" s="12"/>
      <c r="T16" s="12"/>
      <c r="U16" s="12"/>
      <c r="V16" s="338"/>
      <c r="W16" s="49"/>
    </row>
    <row r="17" spans="2:23" s="10" customFormat="1" ht="16.5" customHeight="1" thickBot="1" thickTop="1">
      <c r="B17" s="44"/>
      <c r="C17" s="12"/>
      <c r="D17" s="12"/>
      <c r="E17" s="12"/>
      <c r="F17" s="343" t="s">
        <v>57</v>
      </c>
      <c r="G17" s="400">
        <v>11.899</v>
      </c>
      <c r="H17" s="344">
        <f>20*'TOT-0213'!B13</f>
        <v>20</v>
      </c>
      <c r="J17" s="237" t="str">
        <f>IF(H17=20," ",IF(H17=40,"    Coeficiente duplicado por tasa de falla &gt;4 Sal. x año/100 km.","    REVISAR COEFICIENTE"))</f>
        <v> </v>
      </c>
      <c r="K17" s="95"/>
      <c r="L17" s="95"/>
      <c r="M17" s="12"/>
      <c r="P17" s="341"/>
      <c r="Q17" s="342"/>
      <c r="R17" s="4"/>
      <c r="S17" s="12"/>
      <c r="T17" s="12"/>
      <c r="U17" s="12"/>
      <c r="V17" s="338"/>
      <c r="W17" s="49"/>
    </row>
    <row r="18" spans="2:23" s="10" customFormat="1" ht="16.5" customHeight="1" thickBot="1" thickTop="1">
      <c r="B18" s="44"/>
      <c r="C18" s="12"/>
      <c r="D18" s="401">
        <v>4</v>
      </c>
      <c r="E18" s="401">
        <v>5</v>
      </c>
      <c r="F18" s="401">
        <v>6</v>
      </c>
      <c r="G18" s="401">
        <v>7</v>
      </c>
      <c r="H18" s="401">
        <v>8</v>
      </c>
      <c r="I18" s="401">
        <v>9</v>
      </c>
      <c r="J18" s="401">
        <v>10</v>
      </c>
      <c r="K18" s="401">
        <v>11</v>
      </c>
      <c r="L18" s="401">
        <v>12</v>
      </c>
      <c r="M18" s="401">
        <v>13</v>
      </c>
      <c r="N18" s="401">
        <v>14</v>
      </c>
      <c r="O18" s="401">
        <v>15</v>
      </c>
      <c r="P18" s="401">
        <v>16</v>
      </c>
      <c r="Q18" s="401">
        <v>17</v>
      </c>
      <c r="R18" s="401">
        <v>18</v>
      </c>
      <c r="S18" s="401">
        <v>19</v>
      </c>
      <c r="T18" s="401">
        <v>20</v>
      </c>
      <c r="U18" s="401">
        <v>21</v>
      </c>
      <c r="V18" s="401">
        <v>22</v>
      </c>
      <c r="W18" s="49"/>
    </row>
    <row r="19" spans="2:23" s="345" customFormat="1" ht="34.5" customHeight="1" thickBot="1" thickTop="1">
      <c r="B19" s="346"/>
      <c r="C19" s="399" t="s">
        <v>20</v>
      </c>
      <c r="D19" s="399" t="s">
        <v>63</v>
      </c>
      <c r="E19" s="399" t="s">
        <v>64</v>
      </c>
      <c r="F19" s="241" t="s">
        <v>41</v>
      </c>
      <c r="G19" s="347" t="s">
        <v>42</v>
      </c>
      <c r="H19" s="348" t="s">
        <v>21</v>
      </c>
      <c r="I19" s="100" t="s">
        <v>23</v>
      </c>
      <c r="J19" s="242" t="s">
        <v>24</v>
      </c>
      <c r="K19" s="347" t="s">
        <v>25</v>
      </c>
      <c r="L19" s="241" t="s">
        <v>44</v>
      </c>
      <c r="M19" s="241" t="s">
        <v>45</v>
      </c>
      <c r="N19" s="99" t="s">
        <v>60</v>
      </c>
      <c r="O19" s="242" t="s">
        <v>46</v>
      </c>
      <c r="P19" s="349" t="s">
        <v>58</v>
      </c>
      <c r="Q19" s="350" t="s">
        <v>59</v>
      </c>
      <c r="R19" s="351" t="s">
        <v>49</v>
      </c>
      <c r="S19" s="352"/>
      <c r="T19" s="353" t="s">
        <v>33</v>
      </c>
      <c r="U19" s="244" t="s">
        <v>35</v>
      </c>
      <c r="V19" s="244" t="s">
        <v>36</v>
      </c>
      <c r="W19" s="354"/>
    </row>
    <row r="20" spans="2:23" s="10" customFormat="1" ht="16.5" customHeight="1" thickTop="1">
      <c r="B20" s="44"/>
      <c r="C20" s="270"/>
      <c r="D20" s="398"/>
      <c r="E20" s="398"/>
      <c r="F20" s="269"/>
      <c r="G20" s="269"/>
      <c r="H20" s="355"/>
      <c r="I20" s="356"/>
      <c r="J20" s="272"/>
      <c r="K20" s="357"/>
      <c r="L20" s="273"/>
      <c r="M20" s="273"/>
      <c r="N20" s="272"/>
      <c r="O20" s="272"/>
      <c r="P20" s="358"/>
      <c r="Q20" s="359"/>
      <c r="R20" s="360"/>
      <c r="S20" s="361"/>
      <c r="T20" s="362"/>
      <c r="U20" s="363"/>
      <c r="V20" s="364"/>
      <c r="W20" s="218"/>
    </row>
    <row r="21" spans="2:23" s="10" customFormat="1" ht="16.5" customHeight="1">
      <c r="B21" s="44"/>
      <c r="C21" s="272"/>
      <c r="D21" s="269"/>
      <c r="E21" s="269"/>
      <c r="F21" s="365"/>
      <c r="G21" s="365"/>
      <c r="H21" s="366"/>
      <c r="I21" s="367"/>
      <c r="J21" s="368"/>
      <c r="K21" s="369"/>
      <c r="L21" s="286"/>
      <c r="M21" s="370"/>
      <c r="N21" s="288"/>
      <c r="O21" s="288"/>
      <c r="P21" s="371"/>
      <c r="Q21" s="372"/>
      <c r="R21" s="373"/>
      <c r="S21" s="374"/>
      <c r="T21" s="375"/>
      <c r="U21" s="376"/>
      <c r="V21" s="377"/>
      <c r="W21" s="218"/>
    </row>
    <row r="22" spans="2:23" s="10" customFormat="1" ht="16.5" customHeight="1">
      <c r="B22" s="44"/>
      <c r="C22" s="272">
        <v>11</v>
      </c>
      <c r="D22" s="269">
        <v>258100</v>
      </c>
      <c r="E22" s="269">
        <v>886</v>
      </c>
      <c r="F22" s="365" t="s">
        <v>81</v>
      </c>
      <c r="G22" s="365" t="s">
        <v>82</v>
      </c>
      <c r="H22" s="378">
        <v>66</v>
      </c>
      <c r="I22" s="367">
        <f aca="true" t="shared" si="0" ref="I22:I41">IF(H22=220,$G$14,IF(AND(H22&lt;=132,H22&gt;=66),$G$15,IF(AND(H22&lt;66,H22&gt;=33),$G$16,$G$17)))</f>
        <v>15.862</v>
      </c>
      <c r="J22" s="368">
        <v>41326.59375</v>
      </c>
      <c r="K22" s="369">
        <v>41326.709027777775</v>
      </c>
      <c r="L22" s="286">
        <f aca="true" t="shared" si="1" ref="L22:L41">IF(F22="","",(K22-J22)*24)</f>
        <v>2.7666666666045785</v>
      </c>
      <c r="M22" s="370">
        <f aca="true" t="shared" si="2" ref="M22:M41">IF(F22="","",ROUND((K22-J22)*24*60,0))</f>
        <v>166</v>
      </c>
      <c r="N22" s="288" t="s">
        <v>67</v>
      </c>
      <c r="O22" s="288" t="str">
        <f>IF(F22="","",IF(OR(N22="P",N22="RP"),"--","NO"))</f>
        <v>--</v>
      </c>
      <c r="P22" s="371">
        <f aca="true" t="shared" si="3" ref="P22:P41">IF(H22=220,$H$14,IF(AND(H22&lt;=132,H22&gt;=66),$H$15,IF(AND(H22&lt;66,H22&gt;13.2),$H$16,$H$17)))</f>
        <v>50</v>
      </c>
      <c r="Q22" s="372">
        <f aca="true" t="shared" si="4" ref="Q22:Q41">IF(N22="P",I22*P22*ROUND(M22/60,2)*0.1,"--")</f>
        <v>219.68870000000004</v>
      </c>
      <c r="R22" s="373" t="str">
        <f aca="true" t="shared" si="5" ref="R22:R41">IF(AND(N22="F",O22="NO"),I22*P22,"--")</f>
        <v>--</v>
      </c>
      <c r="S22" s="374" t="str">
        <f aca="true" t="shared" si="6" ref="S22:S41">IF(N22="F",I22*P22*ROUND(M22/60,2),"--")</f>
        <v>--</v>
      </c>
      <c r="T22" s="375" t="str">
        <f aca="true" t="shared" si="7" ref="T22:T41">IF(N22="RF",I22*P22*ROUND(M22/60,2),"--")</f>
        <v>--</v>
      </c>
      <c r="U22" s="376" t="str">
        <f aca="true" t="shared" si="8" ref="U22:U41">IF(F22="","","SI")</f>
        <v>SI</v>
      </c>
      <c r="V22" s="379">
        <f aca="true" t="shared" si="9" ref="V22:V41">IF(F22="","",SUM(Q22:T22)*IF(U22="SI",1,2)*IF(H22="500/220",0,1))</f>
        <v>219.68870000000004</v>
      </c>
      <c r="W22" s="299"/>
    </row>
    <row r="23" spans="2:23" s="10" customFormat="1" ht="16.5" customHeight="1">
      <c r="B23" s="44"/>
      <c r="C23" s="272">
        <v>12</v>
      </c>
      <c r="D23" s="269">
        <v>258266</v>
      </c>
      <c r="E23" s="269">
        <v>915</v>
      </c>
      <c r="F23" s="365" t="s">
        <v>83</v>
      </c>
      <c r="G23" s="365" t="s">
        <v>84</v>
      </c>
      <c r="H23" s="366">
        <v>66</v>
      </c>
      <c r="I23" s="367">
        <f t="shared" si="0"/>
        <v>15.862</v>
      </c>
      <c r="J23" s="368">
        <v>41333.135416666664</v>
      </c>
      <c r="K23" s="369">
        <v>41333.28333333333</v>
      </c>
      <c r="L23" s="286">
        <f t="shared" si="1"/>
        <v>3.550000000046566</v>
      </c>
      <c r="M23" s="370">
        <f t="shared" si="2"/>
        <v>213</v>
      </c>
      <c r="N23" s="288" t="s">
        <v>67</v>
      </c>
      <c r="O23" s="288" t="str">
        <f aca="true" t="shared" si="10" ref="O23:O41">IF(F23="","",IF(OR(N23="P",N23="RP"),"--","NO"))</f>
        <v>--</v>
      </c>
      <c r="P23" s="371">
        <f t="shared" si="3"/>
        <v>50</v>
      </c>
      <c r="Q23" s="372">
        <f t="shared" si="4"/>
        <v>281.5505</v>
      </c>
      <c r="R23" s="373" t="str">
        <f t="shared" si="5"/>
        <v>--</v>
      </c>
      <c r="S23" s="374" t="str">
        <f t="shared" si="6"/>
        <v>--</v>
      </c>
      <c r="T23" s="375" t="str">
        <f t="shared" si="7"/>
        <v>--</v>
      </c>
      <c r="U23" s="376" t="str">
        <f t="shared" si="8"/>
        <v>SI</v>
      </c>
      <c r="V23" s="379">
        <f t="shared" si="9"/>
        <v>281.5505</v>
      </c>
      <c r="W23" s="299"/>
    </row>
    <row r="24" spans="2:23" s="10" customFormat="1" ht="16.5" customHeight="1">
      <c r="B24" s="44"/>
      <c r="C24" s="272">
        <v>13</v>
      </c>
      <c r="D24" s="269">
        <v>258265</v>
      </c>
      <c r="E24" s="269">
        <v>913</v>
      </c>
      <c r="F24" s="365" t="s">
        <v>83</v>
      </c>
      <c r="G24" s="365" t="s">
        <v>85</v>
      </c>
      <c r="H24" s="366">
        <v>66</v>
      </c>
      <c r="I24" s="367">
        <f t="shared" si="0"/>
        <v>15.862</v>
      </c>
      <c r="J24" s="368">
        <v>41333.135416666664</v>
      </c>
      <c r="K24" s="369">
        <v>41333.28333333333</v>
      </c>
      <c r="L24" s="286">
        <f t="shared" si="1"/>
        <v>3.550000000046566</v>
      </c>
      <c r="M24" s="370">
        <f t="shared" si="2"/>
        <v>213</v>
      </c>
      <c r="N24" s="288" t="s">
        <v>67</v>
      </c>
      <c r="O24" s="288" t="str">
        <f t="shared" si="10"/>
        <v>--</v>
      </c>
      <c r="P24" s="371">
        <f t="shared" si="3"/>
        <v>50</v>
      </c>
      <c r="Q24" s="372">
        <f t="shared" si="4"/>
        <v>281.5505</v>
      </c>
      <c r="R24" s="373" t="str">
        <f t="shared" si="5"/>
        <v>--</v>
      </c>
      <c r="S24" s="374" t="str">
        <f t="shared" si="6"/>
        <v>--</v>
      </c>
      <c r="T24" s="375" t="str">
        <f t="shared" si="7"/>
        <v>--</v>
      </c>
      <c r="U24" s="376" t="str">
        <f t="shared" si="8"/>
        <v>SI</v>
      </c>
      <c r="V24" s="379">
        <f t="shared" si="9"/>
        <v>281.5505</v>
      </c>
      <c r="W24" s="299"/>
    </row>
    <row r="25" spans="2:23" s="10" customFormat="1" ht="16.5" customHeight="1">
      <c r="B25" s="44"/>
      <c r="C25" s="272">
        <v>14</v>
      </c>
      <c r="D25" s="269">
        <v>258267</v>
      </c>
      <c r="E25" s="269">
        <v>914</v>
      </c>
      <c r="F25" s="365" t="s">
        <v>83</v>
      </c>
      <c r="G25" s="365" t="s">
        <v>86</v>
      </c>
      <c r="H25" s="366">
        <v>66</v>
      </c>
      <c r="I25" s="367">
        <f t="shared" si="0"/>
        <v>15.862</v>
      </c>
      <c r="J25" s="368">
        <v>41333.135416666664</v>
      </c>
      <c r="K25" s="369">
        <v>41333.28333333333</v>
      </c>
      <c r="L25" s="286">
        <f t="shared" si="1"/>
        <v>3.550000000046566</v>
      </c>
      <c r="M25" s="370">
        <f t="shared" si="2"/>
        <v>213</v>
      </c>
      <c r="N25" s="288" t="s">
        <v>67</v>
      </c>
      <c r="O25" s="288" t="str">
        <f t="shared" si="10"/>
        <v>--</v>
      </c>
      <c r="P25" s="371">
        <f t="shared" si="3"/>
        <v>50</v>
      </c>
      <c r="Q25" s="372">
        <f t="shared" si="4"/>
        <v>281.5505</v>
      </c>
      <c r="R25" s="373" t="str">
        <f t="shared" si="5"/>
        <v>--</v>
      </c>
      <c r="S25" s="374" t="str">
        <f t="shared" si="6"/>
        <v>--</v>
      </c>
      <c r="T25" s="375" t="str">
        <f t="shared" si="7"/>
        <v>--</v>
      </c>
      <c r="U25" s="376" t="str">
        <f t="shared" si="8"/>
        <v>SI</v>
      </c>
      <c r="V25" s="379">
        <f t="shared" si="9"/>
        <v>281.5505</v>
      </c>
      <c r="W25" s="299"/>
    </row>
    <row r="26" spans="2:23" s="10" customFormat="1" ht="16.5" customHeight="1">
      <c r="B26" s="44"/>
      <c r="C26" s="272"/>
      <c r="D26" s="269"/>
      <c r="E26" s="269"/>
      <c r="F26" s="365"/>
      <c r="G26" s="365"/>
      <c r="H26" s="366"/>
      <c r="I26" s="367">
        <f t="shared" si="0"/>
        <v>11.899</v>
      </c>
      <c r="J26" s="368"/>
      <c r="K26" s="369"/>
      <c r="L26" s="286">
        <f t="shared" si="1"/>
      </c>
      <c r="M26" s="370">
        <f t="shared" si="2"/>
      </c>
      <c r="N26" s="288"/>
      <c r="O26" s="288">
        <f t="shared" si="10"/>
      </c>
      <c r="P26" s="371">
        <f t="shared" si="3"/>
        <v>20</v>
      </c>
      <c r="Q26" s="372" t="str">
        <f t="shared" si="4"/>
        <v>--</v>
      </c>
      <c r="R26" s="373" t="str">
        <f t="shared" si="5"/>
        <v>--</v>
      </c>
      <c r="S26" s="374" t="str">
        <f t="shared" si="6"/>
        <v>--</v>
      </c>
      <c r="T26" s="375" t="str">
        <f t="shared" si="7"/>
        <v>--</v>
      </c>
      <c r="U26" s="376">
        <f t="shared" si="8"/>
      </c>
      <c r="V26" s="379">
        <f t="shared" si="9"/>
      </c>
      <c r="W26" s="299"/>
    </row>
    <row r="27" spans="2:23" s="10" customFormat="1" ht="16.5" customHeight="1">
      <c r="B27" s="44"/>
      <c r="C27" s="272"/>
      <c r="D27" s="269"/>
      <c r="E27" s="269"/>
      <c r="F27" s="365"/>
      <c r="G27" s="365"/>
      <c r="H27" s="366"/>
      <c r="I27" s="367">
        <f t="shared" si="0"/>
        <v>11.899</v>
      </c>
      <c r="J27" s="368"/>
      <c r="K27" s="369"/>
      <c r="L27" s="286">
        <f t="shared" si="1"/>
      </c>
      <c r="M27" s="370">
        <f t="shared" si="2"/>
      </c>
      <c r="N27" s="288"/>
      <c r="O27" s="288">
        <f t="shared" si="10"/>
      </c>
      <c r="P27" s="371">
        <f t="shared" si="3"/>
        <v>20</v>
      </c>
      <c r="Q27" s="372" t="str">
        <f t="shared" si="4"/>
        <v>--</v>
      </c>
      <c r="R27" s="373" t="str">
        <f t="shared" si="5"/>
        <v>--</v>
      </c>
      <c r="S27" s="374" t="str">
        <f t="shared" si="6"/>
        <v>--</v>
      </c>
      <c r="T27" s="375" t="str">
        <f t="shared" si="7"/>
        <v>--</v>
      </c>
      <c r="U27" s="376">
        <f t="shared" si="8"/>
      </c>
      <c r="V27" s="379">
        <f t="shared" si="9"/>
      </c>
      <c r="W27" s="299"/>
    </row>
    <row r="28" spans="2:23" s="10" customFormat="1" ht="16.5" customHeight="1">
      <c r="B28" s="44"/>
      <c r="C28" s="272"/>
      <c r="D28" s="269"/>
      <c r="E28" s="269"/>
      <c r="F28" s="365"/>
      <c r="G28" s="365"/>
      <c r="H28" s="366"/>
      <c r="I28" s="367">
        <f t="shared" si="0"/>
        <v>11.899</v>
      </c>
      <c r="J28" s="368"/>
      <c r="K28" s="369"/>
      <c r="L28" s="286">
        <f t="shared" si="1"/>
      </c>
      <c r="M28" s="370">
        <f t="shared" si="2"/>
      </c>
      <c r="N28" s="288"/>
      <c r="O28" s="288">
        <f t="shared" si="10"/>
      </c>
      <c r="P28" s="371">
        <f t="shared" si="3"/>
        <v>20</v>
      </c>
      <c r="Q28" s="372" t="str">
        <f t="shared" si="4"/>
        <v>--</v>
      </c>
      <c r="R28" s="373" t="str">
        <f t="shared" si="5"/>
        <v>--</v>
      </c>
      <c r="S28" s="374" t="str">
        <f t="shared" si="6"/>
        <v>--</v>
      </c>
      <c r="T28" s="375" t="str">
        <f t="shared" si="7"/>
        <v>--</v>
      </c>
      <c r="U28" s="376">
        <f t="shared" si="8"/>
      </c>
      <c r="V28" s="379">
        <f t="shared" si="9"/>
      </c>
      <c r="W28" s="299"/>
    </row>
    <row r="29" spans="2:23" s="10" customFormat="1" ht="16.5" customHeight="1">
      <c r="B29" s="44"/>
      <c r="C29" s="272"/>
      <c r="D29" s="269"/>
      <c r="E29" s="269"/>
      <c r="F29" s="365"/>
      <c r="G29" s="365"/>
      <c r="H29" s="366"/>
      <c r="I29" s="367">
        <f t="shared" si="0"/>
        <v>11.899</v>
      </c>
      <c r="J29" s="368"/>
      <c r="K29" s="369"/>
      <c r="L29" s="286">
        <f t="shared" si="1"/>
      </c>
      <c r="M29" s="370">
        <f t="shared" si="2"/>
      </c>
      <c r="N29" s="288"/>
      <c r="O29" s="288">
        <f t="shared" si="10"/>
      </c>
      <c r="P29" s="371">
        <f t="shared" si="3"/>
        <v>20</v>
      </c>
      <c r="Q29" s="372" t="str">
        <f t="shared" si="4"/>
        <v>--</v>
      </c>
      <c r="R29" s="373" t="str">
        <f t="shared" si="5"/>
        <v>--</v>
      </c>
      <c r="S29" s="374" t="str">
        <f t="shared" si="6"/>
        <v>--</v>
      </c>
      <c r="T29" s="375" t="str">
        <f t="shared" si="7"/>
        <v>--</v>
      </c>
      <c r="U29" s="376">
        <f t="shared" si="8"/>
      </c>
      <c r="V29" s="379">
        <f t="shared" si="9"/>
      </c>
      <c r="W29" s="299"/>
    </row>
    <row r="30" spans="2:23" s="10" customFormat="1" ht="16.5" customHeight="1">
      <c r="B30" s="44"/>
      <c r="C30" s="272"/>
      <c r="D30" s="269"/>
      <c r="E30" s="269"/>
      <c r="F30" s="365"/>
      <c r="G30" s="365"/>
      <c r="H30" s="366"/>
      <c r="I30" s="367">
        <f t="shared" si="0"/>
        <v>11.899</v>
      </c>
      <c r="J30" s="368"/>
      <c r="K30" s="369"/>
      <c r="L30" s="286">
        <f t="shared" si="1"/>
      </c>
      <c r="M30" s="370">
        <f t="shared" si="2"/>
      </c>
      <c r="N30" s="288"/>
      <c r="O30" s="288">
        <f t="shared" si="10"/>
      </c>
      <c r="P30" s="371">
        <f t="shared" si="3"/>
        <v>20</v>
      </c>
      <c r="Q30" s="372" t="str">
        <f t="shared" si="4"/>
        <v>--</v>
      </c>
      <c r="R30" s="373" t="str">
        <f t="shared" si="5"/>
        <v>--</v>
      </c>
      <c r="S30" s="374" t="str">
        <f t="shared" si="6"/>
        <v>--</v>
      </c>
      <c r="T30" s="375" t="str">
        <f t="shared" si="7"/>
        <v>--</v>
      </c>
      <c r="U30" s="376">
        <f t="shared" si="8"/>
      </c>
      <c r="V30" s="379">
        <f t="shared" si="9"/>
      </c>
      <c r="W30" s="299"/>
    </row>
    <row r="31" spans="2:23" s="10" customFormat="1" ht="16.5" customHeight="1">
      <c r="B31" s="44"/>
      <c r="C31" s="272"/>
      <c r="D31" s="269"/>
      <c r="E31" s="269"/>
      <c r="F31" s="365"/>
      <c r="G31" s="365"/>
      <c r="H31" s="366"/>
      <c r="I31" s="367">
        <f t="shared" si="0"/>
        <v>11.899</v>
      </c>
      <c r="J31" s="368"/>
      <c r="K31" s="369"/>
      <c r="L31" s="286">
        <f t="shared" si="1"/>
      </c>
      <c r="M31" s="370">
        <f t="shared" si="2"/>
      </c>
      <c r="N31" s="288"/>
      <c r="O31" s="288">
        <f t="shared" si="10"/>
      </c>
      <c r="P31" s="371">
        <f t="shared" si="3"/>
        <v>20</v>
      </c>
      <c r="Q31" s="372" t="str">
        <f t="shared" si="4"/>
        <v>--</v>
      </c>
      <c r="R31" s="373" t="str">
        <f t="shared" si="5"/>
        <v>--</v>
      </c>
      <c r="S31" s="374" t="str">
        <f t="shared" si="6"/>
        <v>--</v>
      </c>
      <c r="T31" s="375" t="str">
        <f t="shared" si="7"/>
        <v>--</v>
      </c>
      <c r="U31" s="376">
        <f t="shared" si="8"/>
      </c>
      <c r="V31" s="379">
        <f t="shared" si="9"/>
      </c>
      <c r="W31" s="299"/>
    </row>
    <row r="32" spans="2:23" s="10" customFormat="1" ht="16.5" customHeight="1">
      <c r="B32" s="44"/>
      <c r="C32" s="272"/>
      <c r="D32" s="269"/>
      <c r="E32" s="269"/>
      <c r="F32" s="365"/>
      <c r="G32" s="365"/>
      <c r="H32" s="366"/>
      <c r="I32" s="367">
        <f t="shared" si="0"/>
        <v>11.899</v>
      </c>
      <c r="J32" s="368"/>
      <c r="K32" s="369"/>
      <c r="L32" s="286">
        <f t="shared" si="1"/>
      </c>
      <c r="M32" s="370">
        <f t="shared" si="2"/>
      </c>
      <c r="N32" s="288"/>
      <c r="O32" s="288">
        <f t="shared" si="10"/>
      </c>
      <c r="P32" s="371">
        <f t="shared" si="3"/>
        <v>20</v>
      </c>
      <c r="Q32" s="372" t="str">
        <f t="shared" si="4"/>
        <v>--</v>
      </c>
      <c r="R32" s="373" t="str">
        <f t="shared" si="5"/>
        <v>--</v>
      </c>
      <c r="S32" s="374" t="str">
        <f t="shared" si="6"/>
        <v>--</v>
      </c>
      <c r="T32" s="375" t="str">
        <f t="shared" si="7"/>
        <v>--</v>
      </c>
      <c r="U32" s="376">
        <f t="shared" si="8"/>
      </c>
      <c r="V32" s="379">
        <f t="shared" si="9"/>
      </c>
      <c r="W32" s="299"/>
    </row>
    <row r="33" spans="2:23" s="10" customFormat="1" ht="16.5" customHeight="1">
      <c r="B33" s="44"/>
      <c r="C33" s="272"/>
      <c r="D33" s="269"/>
      <c r="E33" s="269"/>
      <c r="F33" s="365"/>
      <c r="G33" s="365"/>
      <c r="H33" s="366"/>
      <c r="I33" s="367">
        <f t="shared" si="0"/>
        <v>11.899</v>
      </c>
      <c r="J33" s="368"/>
      <c r="K33" s="369"/>
      <c r="L33" s="286">
        <f t="shared" si="1"/>
      </c>
      <c r="M33" s="370">
        <f t="shared" si="2"/>
      </c>
      <c r="N33" s="288"/>
      <c r="O33" s="288">
        <f t="shared" si="10"/>
      </c>
      <c r="P33" s="371">
        <f t="shared" si="3"/>
        <v>20</v>
      </c>
      <c r="Q33" s="372" t="str">
        <f t="shared" si="4"/>
        <v>--</v>
      </c>
      <c r="R33" s="373" t="str">
        <f t="shared" si="5"/>
        <v>--</v>
      </c>
      <c r="S33" s="374" t="str">
        <f t="shared" si="6"/>
        <v>--</v>
      </c>
      <c r="T33" s="375" t="str">
        <f t="shared" si="7"/>
        <v>--</v>
      </c>
      <c r="U33" s="376">
        <f t="shared" si="8"/>
      </c>
      <c r="V33" s="379">
        <f t="shared" si="9"/>
      </c>
      <c r="W33" s="299"/>
    </row>
    <row r="34" spans="2:23" s="10" customFormat="1" ht="16.5" customHeight="1">
      <c r="B34" s="44"/>
      <c r="C34" s="272"/>
      <c r="D34" s="269"/>
      <c r="E34" s="269"/>
      <c r="F34" s="365"/>
      <c r="G34" s="365"/>
      <c r="H34" s="366"/>
      <c r="I34" s="367">
        <f t="shared" si="0"/>
        <v>11.899</v>
      </c>
      <c r="J34" s="368"/>
      <c r="K34" s="369"/>
      <c r="L34" s="286">
        <f t="shared" si="1"/>
      </c>
      <c r="M34" s="370">
        <f t="shared" si="2"/>
      </c>
      <c r="N34" s="288"/>
      <c r="O34" s="288">
        <f t="shared" si="10"/>
      </c>
      <c r="P34" s="371">
        <f t="shared" si="3"/>
        <v>20</v>
      </c>
      <c r="Q34" s="372" t="str">
        <f t="shared" si="4"/>
        <v>--</v>
      </c>
      <c r="R34" s="373" t="str">
        <f t="shared" si="5"/>
        <v>--</v>
      </c>
      <c r="S34" s="374" t="str">
        <f t="shared" si="6"/>
        <v>--</v>
      </c>
      <c r="T34" s="375" t="str">
        <f t="shared" si="7"/>
        <v>--</v>
      </c>
      <c r="U34" s="376">
        <f t="shared" si="8"/>
      </c>
      <c r="V34" s="379">
        <f t="shared" si="9"/>
      </c>
      <c r="W34" s="299"/>
    </row>
    <row r="35" spans="2:23" s="10" customFormat="1" ht="16.5" customHeight="1">
      <c r="B35" s="44"/>
      <c r="C35" s="272"/>
      <c r="D35" s="269"/>
      <c r="E35" s="269"/>
      <c r="F35" s="365"/>
      <c r="G35" s="365"/>
      <c r="H35" s="366"/>
      <c r="I35" s="367">
        <f t="shared" si="0"/>
        <v>11.899</v>
      </c>
      <c r="J35" s="368"/>
      <c r="K35" s="369"/>
      <c r="L35" s="286">
        <f t="shared" si="1"/>
      </c>
      <c r="M35" s="370">
        <f t="shared" si="2"/>
      </c>
      <c r="N35" s="288"/>
      <c r="O35" s="288">
        <f t="shared" si="10"/>
      </c>
      <c r="P35" s="371">
        <f t="shared" si="3"/>
        <v>20</v>
      </c>
      <c r="Q35" s="372" t="str">
        <f t="shared" si="4"/>
        <v>--</v>
      </c>
      <c r="R35" s="373" t="str">
        <f t="shared" si="5"/>
        <v>--</v>
      </c>
      <c r="S35" s="374" t="str">
        <f t="shared" si="6"/>
        <v>--</v>
      </c>
      <c r="T35" s="375" t="str">
        <f t="shared" si="7"/>
        <v>--</v>
      </c>
      <c r="U35" s="376">
        <f t="shared" si="8"/>
      </c>
      <c r="V35" s="379">
        <f t="shared" si="9"/>
      </c>
      <c r="W35" s="299"/>
    </row>
    <row r="36" spans="2:23" s="10" customFormat="1" ht="16.5" customHeight="1">
      <c r="B36" s="44"/>
      <c r="C36" s="272"/>
      <c r="D36" s="269"/>
      <c r="E36" s="269"/>
      <c r="F36" s="365"/>
      <c r="G36" s="365"/>
      <c r="H36" s="366"/>
      <c r="I36" s="367">
        <f t="shared" si="0"/>
        <v>11.899</v>
      </c>
      <c r="J36" s="368"/>
      <c r="K36" s="369"/>
      <c r="L36" s="286">
        <f t="shared" si="1"/>
      </c>
      <c r="M36" s="370">
        <f t="shared" si="2"/>
      </c>
      <c r="N36" s="288"/>
      <c r="O36" s="288">
        <f t="shared" si="10"/>
      </c>
      <c r="P36" s="371">
        <f t="shared" si="3"/>
        <v>20</v>
      </c>
      <c r="Q36" s="372" t="str">
        <f t="shared" si="4"/>
        <v>--</v>
      </c>
      <c r="R36" s="373" t="str">
        <f t="shared" si="5"/>
        <v>--</v>
      </c>
      <c r="S36" s="374" t="str">
        <f t="shared" si="6"/>
        <v>--</v>
      </c>
      <c r="T36" s="375" t="str">
        <f t="shared" si="7"/>
        <v>--</v>
      </c>
      <c r="U36" s="376">
        <f t="shared" si="8"/>
      </c>
      <c r="V36" s="379">
        <f t="shared" si="9"/>
      </c>
      <c r="W36" s="299"/>
    </row>
    <row r="37" spans="2:23" s="10" customFormat="1" ht="16.5" customHeight="1">
      <c r="B37" s="44"/>
      <c r="C37" s="272"/>
      <c r="D37" s="269"/>
      <c r="E37" s="269"/>
      <c r="F37" s="365"/>
      <c r="G37" s="365"/>
      <c r="H37" s="366"/>
      <c r="I37" s="367">
        <f t="shared" si="0"/>
        <v>11.899</v>
      </c>
      <c r="J37" s="368"/>
      <c r="K37" s="369"/>
      <c r="L37" s="286">
        <f t="shared" si="1"/>
      </c>
      <c r="M37" s="370">
        <f t="shared" si="2"/>
      </c>
      <c r="N37" s="288"/>
      <c r="O37" s="288">
        <f t="shared" si="10"/>
      </c>
      <c r="P37" s="371">
        <f t="shared" si="3"/>
        <v>20</v>
      </c>
      <c r="Q37" s="372" t="str">
        <f t="shared" si="4"/>
        <v>--</v>
      </c>
      <c r="R37" s="373" t="str">
        <f t="shared" si="5"/>
        <v>--</v>
      </c>
      <c r="S37" s="374" t="str">
        <f t="shared" si="6"/>
        <v>--</v>
      </c>
      <c r="T37" s="375" t="str">
        <f t="shared" si="7"/>
        <v>--</v>
      </c>
      <c r="U37" s="376">
        <f t="shared" si="8"/>
      </c>
      <c r="V37" s="379">
        <f t="shared" si="9"/>
      </c>
      <c r="W37" s="299"/>
    </row>
    <row r="38" spans="2:23" s="10" customFormat="1" ht="16.5" customHeight="1">
      <c r="B38" s="44"/>
      <c r="C38" s="272"/>
      <c r="D38" s="269"/>
      <c r="E38" s="269"/>
      <c r="F38" s="365"/>
      <c r="G38" s="365"/>
      <c r="H38" s="366"/>
      <c r="I38" s="367">
        <f t="shared" si="0"/>
        <v>11.899</v>
      </c>
      <c r="J38" s="368"/>
      <c r="K38" s="369"/>
      <c r="L38" s="286">
        <f t="shared" si="1"/>
      </c>
      <c r="M38" s="370">
        <f t="shared" si="2"/>
      </c>
      <c r="N38" s="288"/>
      <c r="O38" s="288">
        <f t="shared" si="10"/>
      </c>
      <c r="P38" s="371">
        <f t="shared" si="3"/>
        <v>20</v>
      </c>
      <c r="Q38" s="372" t="str">
        <f t="shared" si="4"/>
        <v>--</v>
      </c>
      <c r="R38" s="373" t="str">
        <f t="shared" si="5"/>
        <v>--</v>
      </c>
      <c r="S38" s="374" t="str">
        <f t="shared" si="6"/>
        <v>--</v>
      </c>
      <c r="T38" s="375" t="str">
        <f t="shared" si="7"/>
        <v>--</v>
      </c>
      <c r="U38" s="376">
        <f t="shared" si="8"/>
      </c>
      <c r="V38" s="379">
        <f t="shared" si="9"/>
      </c>
      <c r="W38" s="299"/>
    </row>
    <row r="39" spans="2:23" s="10" customFormat="1" ht="16.5" customHeight="1">
      <c r="B39" s="44"/>
      <c r="C39" s="272"/>
      <c r="D39" s="269"/>
      <c r="E39" s="269"/>
      <c r="F39" s="365"/>
      <c r="G39" s="365"/>
      <c r="H39" s="366"/>
      <c r="I39" s="367">
        <f t="shared" si="0"/>
        <v>11.899</v>
      </c>
      <c r="J39" s="368"/>
      <c r="K39" s="369"/>
      <c r="L39" s="286">
        <f t="shared" si="1"/>
      </c>
      <c r="M39" s="370">
        <f t="shared" si="2"/>
      </c>
      <c r="N39" s="288"/>
      <c r="O39" s="288">
        <f t="shared" si="10"/>
      </c>
      <c r="P39" s="371">
        <f t="shared" si="3"/>
        <v>20</v>
      </c>
      <c r="Q39" s="372" t="str">
        <f t="shared" si="4"/>
        <v>--</v>
      </c>
      <c r="R39" s="373" t="str">
        <f t="shared" si="5"/>
        <v>--</v>
      </c>
      <c r="S39" s="374" t="str">
        <f t="shared" si="6"/>
        <v>--</v>
      </c>
      <c r="T39" s="375" t="str">
        <f t="shared" si="7"/>
        <v>--</v>
      </c>
      <c r="U39" s="376">
        <f t="shared" si="8"/>
      </c>
      <c r="V39" s="379">
        <f t="shared" si="9"/>
      </c>
      <c r="W39" s="299"/>
    </row>
    <row r="40" spans="2:23" s="10" customFormat="1" ht="16.5" customHeight="1">
      <c r="B40" s="44"/>
      <c r="C40" s="272"/>
      <c r="D40" s="269"/>
      <c r="E40" s="269"/>
      <c r="F40" s="365"/>
      <c r="G40" s="365"/>
      <c r="H40" s="366"/>
      <c r="I40" s="367">
        <f t="shared" si="0"/>
        <v>11.899</v>
      </c>
      <c r="J40" s="368"/>
      <c r="K40" s="369"/>
      <c r="L40" s="286">
        <f t="shared" si="1"/>
      </c>
      <c r="M40" s="370">
        <f t="shared" si="2"/>
      </c>
      <c r="N40" s="288"/>
      <c r="O40" s="288">
        <f t="shared" si="10"/>
      </c>
      <c r="P40" s="371">
        <f t="shared" si="3"/>
        <v>20</v>
      </c>
      <c r="Q40" s="372" t="str">
        <f t="shared" si="4"/>
        <v>--</v>
      </c>
      <c r="R40" s="373" t="str">
        <f t="shared" si="5"/>
        <v>--</v>
      </c>
      <c r="S40" s="374" t="str">
        <f t="shared" si="6"/>
        <v>--</v>
      </c>
      <c r="T40" s="375" t="str">
        <f t="shared" si="7"/>
        <v>--</v>
      </c>
      <c r="U40" s="376">
        <f t="shared" si="8"/>
      </c>
      <c r="V40" s="379">
        <f t="shared" si="9"/>
      </c>
      <c r="W40" s="299"/>
    </row>
    <row r="41" spans="2:23" s="10" customFormat="1" ht="16.5" customHeight="1">
      <c r="B41" s="44"/>
      <c r="C41" s="272"/>
      <c r="D41" s="269"/>
      <c r="E41" s="269"/>
      <c r="F41" s="365"/>
      <c r="G41" s="365"/>
      <c r="H41" s="366"/>
      <c r="I41" s="367">
        <f t="shared" si="0"/>
        <v>11.899</v>
      </c>
      <c r="J41" s="368"/>
      <c r="K41" s="369"/>
      <c r="L41" s="286">
        <f t="shared" si="1"/>
      </c>
      <c r="M41" s="370">
        <f t="shared" si="2"/>
      </c>
      <c r="N41" s="288"/>
      <c r="O41" s="288">
        <f t="shared" si="10"/>
      </c>
      <c r="P41" s="371">
        <f t="shared" si="3"/>
        <v>20</v>
      </c>
      <c r="Q41" s="372" t="str">
        <f t="shared" si="4"/>
        <v>--</v>
      </c>
      <c r="R41" s="373" t="str">
        <f t="shared" si="5"/>
        <v>--</v>
      </c>
      <c r="S41" s="374" t="str">
        <f t="shared" si="6"/>
        <v>--</v>
      </c>
      <c r="T41" s="375" t="str">
        <f t="shared" si="7"/>
        <v>--</v>
      </c>
      <c r="U41" s="376">
        <f t="shared" si="8"/>
      </c>
      <c r="V41" s="379">
        <f t="shared" si="9"/>
      </c>
      <c r="W41" s="299"/>
    </row>
    <row r="42" spans="2:23" s="10" customFormat="1" ht="16.5" customHeight="1" thickBot="1">
      <c r="B42" s="44"/>
      <c r="C42" s="300"/>
      <c r="D42" s="300"/>
      <c r="E42" s="300"/>
      <c r="F42" s="300"/>
      <c r="G42" s="300"/>
      <c r="H42" s="300"/>
      <c r="I42" s="380"/>
      <c r="J42" s="300"/>
      <c r="K42" s="300"/>
      <c r="L42" s="300"/>
      <c r="M42" s="300"/>
      <c r="N42" s="300"/>
      <c r="O42" s="300"/>
      <c r="P42" s="381"/>
      <c r="Q42" s="382"/>
      <c r="R42" s="383"/>
      <c r="S42" s="384"/>
      <c r="T42" s="385"/>
      <c r="U42" s="300"/>
      <c r="V42" s="386"/>
      <c r="W42" s="299"/>
    </row>
    <row r="43" spans="2:23" s="10" customFormat="1" ht="16.5" customHeight="1" thickBot="1" thickTop="1">
      <c r="B43" s="44"/>
      <c r="C43" s="404" t="s">
        <v>89</v>
      </c>
      <c r="D43" s="403" t="s">
        <v>87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7">
        <f>SUM(Q20:Q42)</f>
        <v>1064.3402</v>
      </c>
      <c r="R43" s="388">
        <f>SUM(R20:R42)</f>
        <v>0</v>
      </c>
      <c r="S43" s="388">
        <f>SUM(S20:S42)</f>
        <v>0</v>
      </c>
      <c r="T43" s="389">
        <f>SUM(T20:T42)</f>
        <v>0</v>
      </c>
      <c r="U43" s="390"/>
      <c r="V43" s="391">
        <f>ROUND(SUM(V20:V42),2)</f>
        <v>1064.34</v>
      </c>
      <c r="W43" s="299"/>
    </row>
    <row r="44" spans="2:23" s="185" customFormat="1" ht="9.75" thickTop="1">
      <c r="B44" s="186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3"/>
      <c r="V44" s="392"/>
      <c r="W44" s="325"/>
    </row>
    <row r="45" spans="2:23" s="10" customFormat="1" ht="16.5" customHeight="1" thickBot="1">
      <c r="B45" s="198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8"/>
    </row>
    <row r="46" spans="2:23" ht="16.5" customHeight="1" thickTop="1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</row>
    <row r="47" spans="3:6" ht="16.5" customHeight="1">
      <c r="C47" s="393"/>
      <c r="D47" s="393"/>
      <c r="E47" s="393"/>
      <c r="F47" s="39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2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A1">
      <selection activeCell="R43" sqref="R43"/>
    </sheetView>
  </sheetViews>
  <sheetFormatPr defaultColWidth="11.421875" defaultRowHeight="12.75"/>
  <cols>
    <col min="1" max="1" width="22.7109375" style="406" customWidth="1"/>
    <col min="2" max="2" width="15.7109375" style="406" customWidth="1"/>
    <col min="3" max="3" width="5.7109375" style="406" customWidth="1"/>
    <col min="4" max="4" width="56.421875" style="406" customWidth="1"/>
    <col min="5" max="5" width="10.421875" style="406" customWidth="1"/>
    <col min="6" max="6" width="14.140625" style="406" customWidth="1"/>
    <col min="7" max="19" width="10.7109375" style="406" customWidth="1"/>
    <col min="20" max="20" width="15.7109375" style="406" customWidth="1"/>
    <col min="21" max="16384" width="11.421875" style="406" customWidth="1"/>
  </cols>
  <sheetData>
    <row r="1" ht="38.25" customHeight="1">
      <c r="T1" s="407"/>
    </row>
    <row r="2" spans="2:20" s="408" customFormat="1" ht="40.5" customHeight="1">
      <c r="B2" s="409" t="str">
        <f>'TOT-0213'!B2</f>
        <v>ANEXO III al Memorándum  D.T.E.E.  N° 376/ 2014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2" s="412" customFormat="1" ht="11.25" customHeight="1">
      <c r="A3" s="410" t="s">
        <v>3</v>
      </c>
      <c r="B3" s="411"/>
    </row>
    <row r="4" spans="1:4" s="412" customFormat="1" ht="11.25" customHeight="1">
      <c r="A4" s="410" t="s">
        <v>4</v>
      </c>
      <c r="B4" s="411"/>
      <c r="D4" s="413"/>
    </row>
    <row r="5" spans="1:4" ht="10.5" customHeight="1">
      <c r="A5" s="414"/>
      <c r="D5" s="415"/>
    </row>
    <row r="6" spans="1:20" ht="26.25">
      <c r="A6" s="414"/>
      <c r="B6" s="416" t="s">
        <v>93</v>
      </c>
      <c r="C6" s="417"/>
      <c r="D6" s="415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</row>
    <row r="7" spans="1:4" ht="18.75" customHeight="1">
      <c r="A7" s="414"/>
      <c r="D7" s="415"/>
    </row>
    <row r="8" spans="1:20" ht="26.25">
      <c r="A8" s="414"/>
      <c r="B8" s="418" t="s">
        <v>1</v>
      </c>
      <c r="C8" s="417"/>
      <c r="D8" s="415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</row>
    <row r="9" spans="1:4" ht="18.75" customHeight="1">
      <c r="A9" s="414"/>
      <c r="D9" s="415"/>
    </row>
    <row r="10" spans="1:20" ht="26.25">
      <c r="A10" s="414"/>
      <c r="B10" s="418" t="s">
        <v>94</v>
      </c>
      <c r="C10" s="417"/>
      <c r="D10" s="415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</row>
    <row r="11" ht="18.75" customHeight="1" thickBot="1"/>
    <row r="12" spans="2:20" ht="18.75" customHeight="1" thickTop="1">
      <c r="B12" s="419"/>
      <c r="C12" s="420"/>
      <c r="D12" s="421"/>
      <c r="E12" s="421"/>
      <c r="F12" s="421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2"/>
    </row>
    <row r="13" spans="2:20" ht="30" customHeight="1">
      <c r="B13" s="423" t="s">
        <v>102</v>
      </c>
      <c r="C13" s="417"/>
      <c r="D13" s="424"/>
      <c r="E13" s="424"/>
      <c r="F13" s="424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6"/>
    </row>
    <row r="14" spans="2:20" ht="18.75" customHeight="1" thickBot="1">
      <c r="B14" s="427"/>
      <c r="C14" s="428"/>
      <c r="D14" s="429"/>
      <c r="E14" s="429"/>
      <c r="F14" s="430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2"/>
    </row>
    <row r="15" spans="1:20" s="440" customFormat="1" ht="34.5" customHeight="1" thickBot="1" thickTop="1">
      <c r="A15" s="433"/>
      <c r="B15" s="434"/>
      <c r="C15" s="435"/>
      <c r="D15" s="435" t="s">
        <v>95</v>
      </c>
      <c r="E15" s="436" t="s">
        <v>21</v>
      </c>
      <c r="F15" s="437" t="s">
        <v>22</v>
      </c>
      <c r="G15" s="438">
        <f>'[1]Tasa de Falla'!GX15</f>
        <v>40940</v>
      </c>
      <c r="H15" s="438">
        <f>'[1]Tasa de Falla'!GY15</f>
        <v>40969</v>
      </c>
      <c r="I15" s="438">
        <f>'[1]Tasa de Falla'!GZ15</f>
        <v>41000</v>
      </c>
      <c r="J15" s="438">
        <f>'[1]Tasa de Falla'!HA15</f>
        <v>41030</v>
      </c>
      <c r="K15" s="438">
        <f>'[1]Tasa de Falla'!HB15</f>
        <v>41061</v>
      </c>
      <c r="L15" s="438">
        <f>'[1]Tasa de Falla'!HC15</f>
        <v>41091</v>
      </c>
      <c r="M15" s="438">
        <f>'[1]Tasa de Falla'!HD15</f>
        <v>41122</v>
      </c>
      <c r="N15" s="438">
        <f>'[1]Tasa de Falla'!HE15</f>
        <v>41153</v>
      </c>
      <c r="O15" s="438">
        <f>'[1]Tasa de Falla'!HF15</f>
        <v>41183</v>
      </c>
      <c r="P15" s="438">
        <f>'[1]Tasa de Falla'!HG15</f>
        <v>41214</v>
      </c>
      <c r="Q15" s="438">
        <f>'[1]Tasa de Falla'!HH15</f>
        <v>41244</v>
      </c>
      <c r="R15" s="438">
        <f>'[1]Tasa de Falla'!HI15</f>
        <v>41275</v>
      </c>
      <c r="S15" s="438">
        <f>'[1]Tasa de Falla'!HJ15</f>
        <v>41306</v>
      </c>
      <c r="T15" s="439"/>
    </row>
    <row r="16" spans="2:20" s="440" customFormat="1" ht="24.75" customHeight="1" thickTop="1">
      <c r="B16" s="441"/>
      <c r="C16" s="442"/>
      <c r="D16" s="443"/>
      <c r="E16" s="443"/>
      <c r="F16" s="444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5"/>
      <c r="T16" s="439"/>
    </row>
    <row r="17" spans="2:20" s="440" customFormat="1" ht="24.75" customHeight="1">
      <c r="B17" s="441"/>
      <c r="C17" s="446">
        <f>'[1]Tasa de Falla'!C17</f>
        <v>1</v>
      </c>
      <c r="D17" s="447" t="str">
        <f>'[1]Tasa de Falla'!D17</f>
        <v>AGUA DEL TORO - CRUZ DE PIEDRA</v>
      </c>
      <c r="E17" s="447">
        <f>'[1]Tasa de Falla'!E17</f>
        <v>220</v>
      </c>
      <c r="F17" s="448">
        <f>'[1]Tasa de Falla'!F17</f>
        <v>177.9</v>
      </c>
      <c r="G17" s="447">
        <f>IF('[1]Tasa de Falla'!GX17="","",'[1]Tasa de Falla'!GX17)</f>
      </c>
      <c r="H17" s="447">
        <f>IF('[1]Tasa de Falla'!GY17="","",'[1]Tasa de Falla'!GY17)</f>
      </c>
      <c r="I17" s="447">
        <f>IF('[1]Tasa de Falla'!GZ17="","",'[1]Tasa de Falla'!GZ17)</f>
      </c>
      <c r="J17" s="447">
        <f>IF('[1]Tasa de Falla'!HA17="","",'[1]Tasa de Falla'!HA17)</f>
      </c>
      <c r="K17" s="447">
        <f>IF('[1]Tasa de Falla'!HB17="","",'[1]Tasa de Falla'!HB17)</f>
      </c>
      <c r="L17" s="447">
        <f>IF('[1]Tasa de Falla'!HC17="","",'[1]Tasa de Falla'!HC17)</f>
      </c>
      <c r="M17" s="447">
        <f>IF('[1]Tasa de Falla'!HD17="","",'[1]Tasa de Falla'!HD17)</f>
      </c>
      <c r="N17" s="447">
        <f>IF('[1]Tasa de Falla'!HE17="","",'[1]Tasa de Falla'!HE17)</f>
      </c>
      <c r="O17" s="447">
        <f>IF('[1]Tasa de Falla'!HF17="","",'[1]Tasa de Falla'!HF17)</f>
      </c>
      <c r="P17" s="447">
        <f>IF('[1]Tasa de Falla'!HG17="","",'[1]Tasa de Falla'!HG17)</f>
      </c>
      <c r="Q17" s="447">
        <f>IF('[1]Tasa de Falla'!HH17="","",'[1]Tasa de Falla'!HH17)</f>
      </c>
      <c r="R17" s="447">
        <f>IF('[1]Tasa de Falla'!HI17="","",'[1]Tasa de Falla'!HI17)</f>
      </c>
      <c r="S17" s="444"/>
      <c r="T17" s="439"/>
    </row>
    <row r="18" spans="2:20" s="440" customFormat="1" ht="24.75" customHeight="1">
      <c r="B18" s="441"/>
      <c r="C18" s="449">
        <f>'[1]Tasa de Falla'!C18</f>
        <v>2</v>
      </c>
      <c r="D18" s="450" t="str">
        <f>'[1]Tasa de Falla'!D18</f>
        <v>AGUA DEL TORO - LOS REYUNOS</v>
      </c>
      <c r="E18" s="450">
        <f>'[1]Tasa de Falla'!E18</f>
        <v>220</v>
      </c>
      <c r="F18" s="451">
        <f>'[1]Tasa de Falla'!F18</f>
        <v>43</v>
      </c>
      <c r="G18" s="450">
        <f>IF('[1]Tasa de Falla'!GX18="","",'[1]Tasa de Falla'!GX18)</f>
      </c>
      <c r="H18" s="450">
        <f>IF('[1]Tasa de Falla'!GY18="","",'[1]Tasa de Falla'!GY18)</f>
      </c>
      <c r="I18" s="450">
        <f>IF('[1]Tasa de Falla'!GZ18="","",'[1]Tasa de Falla'!GZ18)</f>
      </c>
      <c r="J18" s="450">
        <f>IF('[1]Tasa de Falla'!HA18="","",'[1]Tasa de Falla'!HA18)</f>
      </c>
      <c r="K18" s="450">
        <f>IF('[1]Tasa de Falla'!HB18="","",'[1]Tasa de Falla'!HB18)</f>
      </c>
      <c r="L18" s="450">
        <f>IF('[1]Tasa de Falla'!HC18="","",'[1]Tasa de Falla'!HC18)</f>
      </c>
      <c r="M18" s="450">
        <f>IF('[1]Tasa de Falla'!HD18="","",'[1]Tasa de Falla'!HD18)</f>
      </c>
      <c r="N18" s="450">
        <f>IF('[1]Tasa de Falla'!HE18="","",'[1]Tasa de Falla'!HE18)</f>
      </c>
      <c r="O18" s="450">
        <f>IF('[1]Tasa de Falla'!HF18="","",'[1]Tasa de Falla'!HF18)</f>
      </c>
      <c r="P18" s="450">
        <f>IF('[1]Tasa de Falla'!HG18="","",'[1]Tasa de Falla'!HG18)</f>
      </c>
      <c r="Q18" s="450">
        <f>IF('[1]Tasa de Falla'!HH18="","",'[1]Tasa de Falla'!HH18)</f>
      </c>
      <c r="R18" s="450">
        <f>IF('[1]Tasa de Falla'!HI18="","",'[1]Tasa de Falla'!HI18)</f>
      </c>
      <c r="S18" s="444"/>
      <c r="T18" s="439"/>
    </row>
    <row r="19" spans="2:20" s="440" customFormat="1" ht="24.75" customHeight="1">
      <c r="B19" s="441"/>
      <c r="C19" s="446">
        <f>'[1]Tasa de Falla'!C19</f>
        <v>3</v>
      </c>
      <c r="D19" s="447" t="str">
        <f>'[1]Tasa de Falla'!D19</f>
        <v>AGUA DEL TORO - NIHUIL II</v>
      </c>
      <c r="E19" s="447">
        <f>'[1]Tasa de Falla'!E19</f>
        <v>220</v>
      </c>
      <c r="F19" s="448">
        <f>'[1]Tasa de Falla'!F19</f>
        <v>53.5</v>
      </c>
      <c r="G19" s="447">
        <f>IF('[1]Tasa de Falla'!GX19="","",'[1]Tasa de Falla'!GX19)</f>
      </c>
      <c r="H19" s="447">
        <f>IF('[1]Tasa de Falla'!GY19="","",'[1]Tasa de Falla'!GY19)</f>
      </c>
      <c r="I19" s="447">
        <f>IF('[1]Tasa de Falla'!GZ19="","",'[1]Tasa de Falla'!GZ19)</f>
      </c>
      <c r="J19" s="447">
        <f>IF('[1]Tasa de Falla'!HA19="","",'[1]Tasa de Falla'!HA19)</f>
      </c>
      <c r="K19" s="447">
        <f>IF('[1]Tasa de Falla'!HB19="","",'[1]Tasa de Falla'!HB19)</f>
      </c>
      <c r="L19" s="447">
        <f>IF('[1]Tasa de Falla'!HC19="","",'[1]Tasa de Falla'!HC19)</f>
      </c>
      <c r="M19" s="447">
        <f>IF('[1]Tasa de Falla'!HD19="","",'[1]Tasa de Falla'!HD19)</f>
      </c>
      <c r="N19" s="447">
        <f>IF('[1]Tasa de Falla'!HE19="","",'[1]Tasa de Falla'!HE19)</f>
      </c>
      <c r="O19" s="447">
        <f>IF('[1]Tasa de Falla'!HF19="","",'[1]Tasa de Falla'!HF19)</f>
      </c>
      <c r="P19" s="447">
        <f>IF('[1]Tasa de Falla'!HG19="","",'[1]Tasa de Falla'!HG19)</f>
      </c>
      <c r="Q19" s="447">
        <f>IF('[1]Tasa de Falla'!HH19="","",'[1]Tasa de Falla'!HH19)</f>
      </c>
      <c r="R19" s="447">
        <f>IF('[1]Tasa de Falla'!HI19="","",'[1]Tasa de Falla'!HI19)</f>
      </c>
      <c r="S19" s="444"/>
      <c r="T19" s="439"/>
    </row>
    <row r="20" spans="2:20" s="440" customFormat="1" ht="24.75" customHeight="1">
      <c r="B20" s="441"/>
      <c r="C20" s="449">
        <f>'[1]Tasa de Falla'!C20</f>
        <v>4</v>
      </c>
      <c r="D20" s="450" t="str">
        <f>'[1]Tasa de Falla'!D20</f>
        <v>CRUZ DE PIEDRA - SAN JUAN</v>
      </c>
      <c r="E20" s="450">
        <f>'[1]Tasa de Falla'!E20</f>
        <v>220</v>
      </c>
      <c r="F20" s="451">
        <f>'[1]Tasa de Falla'!F20</f>
        <v>171.6</v>
      </c>
      <c r="G20" s="450">
        <f>IF('[1]Tasa de Falla'!GX20="","",'[1]Tasa de Falla'!GX20)</f>
      </c>
      <c r="H20" s="450">
        <f>IF('[1]Tasa de Falla'!GY20="","",'[1]Tasa de Falla'!GY20)</f>
        <v>1</v>
      </c>
      <c r="I20" s="450">
        <f>IF('[1]Tasa de Falla'!GZ20="","",'[1]Tasa de Falla'!GZ20)</f>
      </c>
      <c r="J20" s="450">
        <f>IF('[1]Tasa de Falla'!HA20="","",'[1]Tasa de Falla'!HA20)</f>
      </c>
      <c r="K20" s="450">
        <f>IF('[1]Tasa de Falla'!HB20="","",'[1]Tasa de Falla'!HB20)</f>
      </c>
      <c r="L20" s="450">
        <f>IF('[1]Tasa de Falla'!HC20="","",'[1]Tasa de Falla'!HC20)</f>
      </c>
      <c r="M20" s="450">
        <f>IF('[1]Tasa de Falla'!HD20="","",'[1]Tasa de Falla'!HD20)</f>
      </c>
      <c r="N20" s="450">
        <f>IF('[1]Tasa de Falla'!HE20="","",'[1]Tasa de Falla'!HE20)</f>
      </c>
      <c r="O20" s="450">
        <f>IF('[1]Tasa de Falla'!HF20="","",'[1]Tasa de Falla'!HF20)</f>
      </c>
      <c r="P20" s="450">
        <f>IF('[1]Tasa de Falla'!HG20="","",'[1]Tasa de Falla'!HG20)</f>
      </c>
      <c r="Q20" s="450">
        <f>IF('[1]Tasa de Falla'!HH20="","",'[1]Tasa de Falla'!HH20)</f>
      </c>
      <c r="R20" s="450">
        <f>IF('[1]Tasa de Falla'!HI20="","",'[1]Tasa de Falla'!HI20)</f>
      </c>
      <c r="S20" s="444"/>
      <c r="T20" s="439"/>
    </row>
    <row r="21" spans="2:20" s="440" customFormat="1" ht="24.75" customHeight="1">
      <c r="B21" s="441"/>
      <c r="C21" s="446">
        <f>'[1]Tasa de Falla'!C21</f>
        <v>5</v>
      </c>
      <c r="D21" s="447" t="str">
        <f>'[1]Tasa de Falla'!D21</f>
        <v>LOS REYUNOS - GRAN MENDOZA</v>
      </c>
      <c r="E21" s="447">
        <f>'[1]Tasa de Falla'!E21</f>
        <v>220</v>
      </c>
      <c r="F21" s="448">
        <f>'[1]Tasa de Falla'!F21</f>
        <v>188.3</v>
      </c>
      <c r="G21" s="447">
        <f>IF('[1]Tasa de Falla'!GX21="","",'[1]Tasa de Falla'!GX21)</f>
      </c>
      <c r="H21" s="447">
        <f>IF('[1]Tasa de Falla'!GY21="","",'[1]Tasa de Falla'!GY21)</f>
      </c>
      <c r="I21" s="447">
        <f>IF('[1]Tasa de Falla'!GZ21="","",'[1]Tasa de Falla'!GZ21)</f>
      </c>
      <c r="J21" s="447">
        <f>IF('[1]Tasa de Falla'!HA21="","",'[1]Tasa de Falla'!HA21)</f>
      </c>
      <c r="K21" s="447">
        <f>IF('[1]Tasa de Falla'!HB21="","",'[1]Tasa de Falla'!HB21)</f>
      </c>
      <c r="L21" s="447">
        <f>IF('[1]Tasa de Falla'!HC21="","",'[1]Tasa de Falla'!HC21)</f>
        <v>1</v>
      </c>
      <c r="M21" s="447">
        <f>IF('[1]Tasa de Falla'!HD21="","",'[1]Tasa de Falla'!HD21)</f>
      </c>
      <c r="N21" s="447">
        <f>IF('[1]Tasa de Falla'!HE21="","",'[1]Tasa de Falla'!HE21)</f>
      </c>
      <c r="O21" s="447">
        <f>IF('[1]Tasa de Falla'!HF21="","",'[1]Tasa de Falla'!HF21)</f>
      </c>
      <c r="P21" s="447">
        <f>IF('[1]Tasa de Falla'!HG21="","",'[1]Tasa de Falla'!HG21)</f>
      </c>
      <c r="Q21" s="447">
        <f>IF('[1]Tasa de Falla'!HH21="","",'[1]Tasa de Falla'!HH21)</f>
      </c>
      <c r="R21" s="447">
        <f>IF('[1]Tasa de Falla'!HI21="","",'[1]Tasa de Falla'!HI21)</f>
      </c>
      <c r="S21" s="444"/>
      <c r="T21" s="439"/>
    </row>
    <row r="22" spans="2:20" s="440" customFormat="1" ht="24.75" customHeight="1">
      <c r="B22" s="441"/>
      <c r="C22" s="446">
        <f>'[1]Tasa de Falla'!C22</f>
        <v>6</v>
      </c>
      <c r="D22" s="447" t="str">
        <f>'[1]Tasa de Falla'!D22</f>
        <v>CRUZ DE PIEDRA - CAÑADA HONDA</v>
      </c>
      <c r="E22" s="447">
        <f>'[1]Tasa de Falla'!E22</f>
        <v>132</v>
      </c>
      <c r="F22" s="448">
        <f>'[1]Tasa de Falla'!F22</f>
        <v>125.8</v>
      </c>
      <c r="G22" s="447">
        <f>IF('[1]Tasa de Falla'!GX22="","",'[1]Tasa de Falla'!GX22)</f>
      </c>
      <c r="H22" s="447">
        <f>IF('[1]Tasa de Falla'!GY22="","",'[1]Tasa de Falla'!GY22)</f>
      </c>
      <c r="I22" s="447">
        <f>IF('[1]Tasa de Falla'!GZ22="","",'[1]Tasa de Falla'!GZ22)</f>
      </c>
      <c r="J22" s="447">
        <f>IF('[1]Tasa de Falla'!HA22="","",'[1]Tasa de Falla'!HA22)</f>
      </c>
      <c r="K22" s="447">
        <f>IF('[1]Tasa de Falla'!HB22="","",'[1]Tasa de Falla'!HB22)</f>
      </c>
      <c r="L22" s="447">
        <f>IF('[1]Tasa de Falla'!HC22="","",'[1]Tasa de Falla'!HC22)</f>
      </c>
      <c r="M22" s="447">
        <f>IF('[1]Tasa de Falla'!HD22="","",'[1]Tasa de Falla'!HD22)</f>
      </c>
      <c r="N22" s="447">
        <f>IF('[1]Tasa de Falla'!HE22="","",'[1]Tasa de Falla'!HE22)</f>
        <v>1</v>
      </c>
      <c r="O22" s="447">
        <f>IF('[1]Tasa de Falla'!HF22="","",'[1]Tasa de Falla'!HF22)</f>
      </c>
      <c r="P22" s="447">
        <f>IF('[1]Tasa de Falla'!HG22="","",'[1]Tasa de Falla'!HG22)</f>
      </c>
      <c r="Q22" s="447">
        <f>IF('[1]Tasa de Falla'!HH22="","",'[1]Tasa de Falla'!HH22)</f>
      </c>
      <c r="R22" s="447">
        <f>IF('[1]Tasa de Falla'!HI22="","",'[1]Tasa de Falla'!HI22)</f>
      </c>
      <c r="S22" s="444"/>
      <c r="T22" s="439"/>
    </row>
    <row r="23" spans="2:20" s="440" customFormat="1" ht="24.75" customHeight="1">
      <c r="B23" s="441"/>
      <c r="C23" s="449">
        <f>'[1]Tasa de Falla'!C23</f>
        <v>7</v>
      </c>
      <c r="D23" s="450" t="str">
        <f>'[1]Tasa de Falla'!D23</f>
        <v>ANCHORIS - CAPIZ</v>
      </c>
      <c r="E23" s="450">
        <f>'[1]Tasa de Falla'!E23</f>
        <v>132</v>
      </c>
      <c r="F23" s="451">
        <f>'[1]Tasa de Falla'!F23</f>
        <v>42</v>
      </c>
      <c r="G23" s="450">
        <f>IF('[1]Tasa de Falla'!GX23="","",'[1]Tasa de Falla'!GX23)</f>
      </c>
      <c r="H23" s="450">
        <f>IF('[1]Tasa de Falla'!GY23="","",'[1]Tasa de Falla'!GY23)</f>
      </c>
      <c r="I23" s="450">
        <f>IF('[1]Tasa de Falla'!GZ23="","",'[1]Tasa de Falla'!GZ23)</f>
      </c>
      <c r="J23" s="450">
        <f>IF('[1]Tasa de Falla'!HA23="","",'[1]Tasa de Falla'!HA23)</f>
        <v>1</v>
      </c>
      <c r="K23" s="450">
        <f>IF('[1]Tasa de Falla'!HB23="","",'[1]Tasa de Falla'!HB23)</f>
      </c>
      <c r="L23" s="450">
        <f>IF('[1]Tasa de Falla'!HC23="","",'[1]Tasa de Falla'!HC23)</f>
      </c>
      <c r="M23" s="450">
        <f>IF('[1]Tasa de Falla'!HD23="","",'[1]Tasa de Falla'!HD23)</f>
        <v>1</v>
      </c>
      <c r="N23" s="450">
        <f>IF('[1]Tasa de Falla'!HE23="","",'[1]Tasa de Falla'!HE23)</f>
      </c>
      <c r="O23" s="450">
        <f>IF('[1]Tasa de Falla'!HF23="","",'[1]Tasa de Falla'!HF23)</f>
      </c>
      <c r="P23" s="450">
        <f>IF('[1]Tasa de Falla'!HG23="","",'[1]Tasa de Falla'!HG23)</f>
      </c>
      <c r="Q23" s="450">
        <f>IF('[1]Tasa de Falla'!HH23="","",'[1]Tasa de Falla'!HH23)</f>
      </c>
      <c r="R23" s="450">
        <f>IF('[1]Tasa de Falla'!HI23="","",'[1]Tasa de Falla'!HI23)</f>
      </c>
      <c r="S23" s="444"/>
      <c r="T23" s="439"/>
    </row>
    <row r="24" spans="2:20" s="440" customFormat="1" ht="24.75" customHeight="1">
      <c r="B24" s="441"/>
      <c r="C24" s="446">
        <f>'[1]Tasa de Falla'!C24</f>
        <v>8</v>
      </c>
      <c r="D24" s="447" t="str">
        <f>'[1]Tasa de Falla'!D24</f>
        <v>ANCHORIS - CRUZ DE PIEDRA</v>
      </c>
      <c r="E24" s="447">
        <f>'[1]Tasa de Falla'!E24</f>
        <v>132</v>
      </c>
      <c r="F24" s="448">
        <f>'[1]Tasa de Falla'!F24</f>
        <v>33.5</v>
      </c>
      <c r="G24" s="447">
        <f>IF('[1]Tasa de Falla'!GX24="","",'[1]Tasa de Falla'!GX24)</f>
      </c>
      <c r="H24" s="447">
        <f>IF('[1]Tasa de Falla'!GY24="","",'[1]Tasa de Falla'!GY24)</f>
      </c>
      <c r="I24" s="447">
        <f>IF('[1]Tasa de Falla'!GZ24="","",'[1]Tasa de Falla'!GZ24)</f>
      </c>
      <c r="J24" s="447">
        <f>IF('[1]Tasa de Falla'!HA24="","",'[1]Tasa de Falla'!HA24)</f>
      </c>
      <c r="K24" s="447">
        <f>IF('[1]Tasa de Falla'!HB24="","",'[1]Tasa de Falla'!HB24)</f>
      </c>
      <c r="L24" s="447">
        <f>IF('[1]Tasa de Falla'!HC24="","",'[1]Tasa de Falla'!HC24)</f>
      </c>
      <c r="M24" s="447">
        <f>IF('[1]Tasa de Falla'!HD24="","",'[1]Tasa de Falla'!HD24)</f>
      </c>
      <c r="N24" s="447">
        <f>IF('[1]Tasa de Falla'!HE24="","",'[1]Tasa de Falla'!HE24)</f>
      </c>
      <c r="O24" s="447">
        <f>IF('[1]Tasa de Falla'!HF24="","",'[1]Tasa de Falla'!HF24)</f>
      </c>
      <c r="P24" s="447">
        <f>IF('[1]Tasa de Falla'!HG24="","",'[1]Tasa de Falla'!HG24)</f>
      </c>
      <c r="Q24" s="447">
        <f>IF('[1]Tasa de Falla'!HH24="","",'[1]Tasa de Falla'!HH24)</f>
      </c>
      <c r="R24" s="447">
        <f>IF('[1]Tasa de Falla'!HI24="","",'[1]Tasa de Falla'!HI24)</f>
      </c>
      <c r="S24" s="444"/>
      <c r="T24" s="439"/>
    </row>
    <row r="25" spans="2:20" s="440" customFormat="1" ht="24.75" customHeight="1">
      <c r="B25" s="441"/>
      <c r="C25" s="449">
        <f>'[1]Tasa de Falla'!C25</f>
        <v>9</v>
      </c>
      <c r="D25" s="450" t="str">
        <f>'[1]Tasa de Falla'!D25</f>
        <v>ANCHORIZ -Deriv."T" a LC 35-B.R.Tunuyan</v>
      </c>
      <c r="E25" s="450">
        <f>'[1]Tasa de Falla'!E25</f>
        <v>132</v>
      </c>
      <c r="F25" s="451">
        <f>'[1]Tasa de Falla'!F25</f>
        <v>52.9</v>
      </c>
      <c r="G25" s="450">
        <f>IF('[1]Tasa de Falla'!GX25="","",'[1]Tasa de Falla'!GX25)</f>
      </c>
      <c r="H25" s="450">
        <f>IF('[1]Tasa de Falla'!GY25="","",'[1]Tasa de Falla'!GY25)</f>
      </c>
      <c r="I25" s="450">
        <f>IF('[1]Tasa de Falla'!GZ25="","",'[1]Tasa de Falla'!GZ25)</f>
      </c>
      <c r="J25" s="450">
        <f>IF('[1]Tasa de Falla'!HA25="","",'[1]Tasa de Falla'!HA25)</f>
      </c>
      <c r="K25" s="450">
        <f>IF('[1]Tasa de Falla'!HB25="","",'[1]Tasa de Falla'!HB25)</f>
        <v>1</v>
      </c>
      <c r="L25" s="450">
        <f>IF('[1]Tasa de Falla'!HC25="","",'[1]Tasa de Falla'!HC25)</f>
      </c>
      <c r="M25" s="450">
        <f>IF('[1]Tasa de Falla'!HD25="","",'[1]Tasa de Falla'!HD25)</f>
      </c>
      <c r="N25" s="450">
        <f>IF('[1]Tasa de Falla'!HE25="","",'[1]Tasa de Falla'!HE25)</f>
      </c>
      <c r="O25" s="450">
        <f>IF('[1]Tasa de Falla'!HF25="","",'[1]Tasa de Falla'!HF25)</f>
      </c>
      <c r="P25" s="450">
        <f>IF('[1]Tasa de Falla'!HG25="","",'[1]Tasa de Falla'!HG25)</f>
      </c>
      <c r="Q25" s="450">
        <f>IF('[1]Tasa de Falla'!HH25="","",'[1]Tasa de Falla'!HH25)</f>
      </c>
      <c r="R25" s="450">
        <f>IF('[1]Tasa de Falla'!HI25="","",'[1]Tasa de Falla'!HI25)</f>
      </c>
      <c r="S25" s="444"/>
      <c r="T25" s="439"/>
    </row>
    <row r="26" spans="2:20" s="440" customFormat="1" ht="24.75" customHeight="1">
      <c r="B26" s="441"/>
      <c r="C26" s="446">
        <f>'[1]Tasa de Falla'!C26</f>
        <v>10</v>
      </c>
      <c r="D26" s="447" t="str">
        <f>'[1]Tasa de Falla'!D26</f>
        <v>CAPIZ - PEDRO VARGAS</v>
      </c>
      <c r="E26" s="447">
        <f>'[1]Tasa de Falla'!E26</f>
        <v>132</v>
      </c>
      <c r="F26" s="448">
        <f>'[1]Tasa de Falla'!F26</f>
        <v>122.1</v>
      </c>
      <c r="G26" s="447">
        <f>IF('[1]Tasa de Falla'!GX26="","",'[1]Tasa de Falla'!GX26)</f>
      </c>
      <c r="H26" s="447">
        <f>IF('[1]Tasa de Falla'!GY26="","",'[1]Tasa de Falla'!GY26)</f>
      </c>
      <c r="I26" s="447">
        <f>IF('[1]Tasa de Falla'!GZ26="","",'[1]Tasa de Falla'!GZ26)</f>
      </c>
      <c r="J26" s="447">
        <f>IF('[1]Tasa de Falla'!HA26="","",'[1]Tasa de Falla'!HA26)</f>
        <v>1</v>
      </c>
      <c r="K26" s="447">
        <f>IF('[1]Tasa de Falla'!HB26="","",'[1]Tasa de Falla'!HB26)</f>
      </c>
      <c r="L26" s="447">
        <f>IF('[1]Tasa de Falla'!HC26="","",'[1]Tasa de Falla'!HC26)</f>
      </c>
      <c r="M26" s="447">
        <f>IF('[1]Tasa de Falla'!HD26="","",'[1]Tasa de Falla'!HD26)</f>
      </c>
      <c r="N26" s="447">
        <f>IF('[1]Tasa de Falla'!HE26="","",'[1]Tasa de Falla'!HE26)</f>
      </c>
      <c r="O26" s="447">
        <f>IF('[1]Tasa de Falla'!HF26="","",'[1]Tasa de Falla'!HF26)</f>
      </c>
      <c r="P26" s="447">
        <f>IF('[1]Tasa de Falla'!HG26="","",'[1]Tasa de Falla'!HG26)</f>
      </c>
      <c r="Q26" s="447">
        <f>IF('[1]Tasa de Falla'!HH26="","",'[1]Tasa de Falla'!HH26)</f>
      </c>
      <c r="R26" s="447">
        <f>IF('[1]Tasa de Falla'!HI26="","",'[1]Tasa de Falla'!HI26)</f>
      </c>
      <c r="S26" s="444"/>
      <c r="T26" s="439"/>
    </row>
    <row r="27" spans="2:20" s="440" customFormat="1" ht="24.75" customHeight="1">
      <c r="B27" s="441"/>
      <c r="C27" s="449">
        <f>'[1]Tasa de Falla'!C27</f>
        <v>11</v>
      </c>
      <c r="D27" s="450" t="str">
        <f>'[1]Tasa de Falla'!D27</f>
        <v>SAN RAFAEL - PEDRO VARGAS</v>
      </c>
      <c r="E27" s="450">
        <f>'[1]Tasa de Falla'!E27</f>
        <v>132</v>
      </c>
      <c r="F27" s="451">
        <f>'[1]Tasa de Falla'!F27</f>
        <v>15.6</v>
      </c>
      <c r="G27" s="450">
        <f>IF('[1]Tasa de Falla'!GX27="","",'[1]Tasa de Falla'!GX27)</f>
      </c>
      <c r="H27" s="450">
        <f>IF('[1]Tasa de Falla'!GY27="","",'[1]Tasa de Falla'!GY27)</f>
      </c>
      <c r="I27" s="450">
        <f>IF('[1]Tasa de Falla'!GZ27="","",'[1]Tasa de Falla'!GZ27)</f>
      </c>
      <c r="J27" s="450">
        <f>IF('[1]Tasa de Falla'!HA27="","",'[1]Tasa de Falla'!HA27)</f>
      </c>
      <c r="K27" s="450">
        <f>IF('[1]Tasa de Falla'!HB27="","",'[1]Tasa de Falla'!HB27)</f>
      </c>
      <c r="L27" s="450">
        <f>IF('[1]Tasa de Falla'!HC27="","",'[1]Tasa de Falla'!HC27)</f>
      </c>
      <c r="M27" s="450">
        <f>IF('[1]Tasa de Falla'!HD27="","",'[1]Tasa de Falla'!HD27)</f>
      </c>
      <c r="N27" s="450">
        <f>IF('[1]Tasa de Falla'!HE27="","",'[1]Tasa de Falla'!HE27)</f>
      </c>
      <c r="O27" s="450">
        <f>IF('[1]Tasa de Falla'!HF27="","",'[1]Tasa de Falla'!HF27)</f>
      </c>
      <c r="P27" s="450">
        <f>IF('[1]Tasa de Falla'!HG27="","",'[1]Tasa de Falla'!HG27)</f>
      </c>
      <c r="Q27" s="450">
        <f>IF('[1]Tasa de Falla'!HH27="","",'[1]Tasa de Falla'!HH27)</f>
      </c>
      <c r="R27" s="450">
        <f>IF('[1]Tasa de Falla'!HI27="","",'[1]Tasa de Falla'!HI27)</f>
      </c>
      <c r="S27" s="444"/>
      <c r="T27" s="439"/>
    </row>
    <row r="28" spans="2:20" s="440" customFormat="1" ht="24.75" customHeight="1">
      <c r="B28" s="441"/>
      <c r="C28" s="446">
        <f>'[1]Tasa de Falla'!C28</f>
        <v>12</v>
      </c>
      <c r="D28" s="447" t="str">
        <f>'[1]Tasa de Falla'!D28</f>
        <v>GRAN MENDOZA - MONTE CASEROS 1</v>
      </c>
      <c r="E28" s="447">
        <f>'[1]Tasa de Falla'!E28</f>
        <v>132</v>
      </c>
      <c r="F28" s="448">
        <f>'[1]Tasa de Falla'!F28</f>
        <v>19.1</v>
      </c>
      <c r="G28" s="447">
        <f>IF('[1]Tasa de Falla'!GX28="","",'[1]Tasa de Falla'!GX28)</f>
      </c>
      <c r="H28" s="447">
        <f>IF('[1]Tasa de Falla'!GY28="","",'[1]Tasa de Falla'!GY28)</f>
      </c>
      <c r="I28" s="447">
        <f>IF('[1]Tasa de Falla'!GZ28="","",'[1]Tasa de Falla'!GZ28)</f>
      </c>
      <c r="J28" s="447">
        <f>IF('[1]Tasa de Falla'!HA28="","",'[1]Tasa de Falla'!HA28)</f>
      </c>
      <c r="K28" s="447">
        <f>IF('[1]Tasa de Falla'!HB28="","",'[1]Tasa de Falla'!HB28)</f>
      </c>
      <c r="L28" s="447">
        <f>IF('[1]Tasa de Falla'!HC28="","",'[1]Tasa de Falla'!HC28)</f>
      </c>
      <c r="M28" s="447">
        <f>IF('[1]Tasa de Falla'!HD28="","",'[1]Tasa de Falla'!HD28)</f>
      </c>
      <c r="N28" s="447">
        <f>IF('[1]Tasa de Falla'!HE28="","",'[1]Tasa de Falla'!HE28)</f>
      </c>
      <c r="O28" s="447">
        <f>IF('[1]Tasa de Falla'!HF28="","",'[1]Tasa de Falla'!HF28)</f>
      </c>
      <c r="P28" s="447">
        <f>IF('[1]Tasa de Falla'!HG28="","",'[1]Tasa de Falla'!HG28)</f>
      </c>
      <c r="Q28" s="447">
        <f>IF('[1]Tasa de Falla'!HH28="","",'[1]Tasa de Falla'!HH28)</f>
      </c>
      <c r="R28" s="447">
        <f>IF('[1]Tasa de Falla'!HI28="","",'[1]Tasa de Falla'!HI28)</f>
      </c>
      <c r="S28" s="444"/>
      <c r="T28" s="439"/>
    </row>
    <row r="29" spans="2:20" s="440" customFormat="1" ht="24.75" customHeight="1">
      <c r="B29" s="441"/>
      <c r="C29" s="449">
        <f>'[1]Tasa de Falla'!C29</f>
        <v>13</v>
      </c>
      <c r="D29" s="450" t="str">
        <f>'[1]Tasa de Falla'!D29</f>
        <v>GRAN MENDOZA - MONTE CASEROS 2</v>
      </c>
      <c r="E29" s="450">
        <f>'[1]Tasa de Falla'!E29</f>
        <v>132</v>
      </c>
      <c r="F29" s="451">
        <f>'[1]Tasa de Falla'!F29</f>
        <v>19.1</v>
      </c>
      <c r="G29" s="450">
        <f>IF('[1]Tasa de Falla'!GX29="","",'[1]Tasa de Falla'!GX29)</f>
      </c>
      <c r="H29" s="450">
        <f>IF('[1]Tasa de Falla'!GY29="","",'[1]Tasa de Falla'!GY29)</f>
      </c>
      <c r="I29" s="450">
        <f>IF('[1]Tasa de Falla'!GZ29="","",'[1]Tasa de Falla'!GZ29)</f>
      </c>
      <c r="J29" s="450">
        <f>IF('[1]Tasa de Falla'!HA29="","",'[1]Tasa de Falla'!HA29)</f>
      </c>
      <c r="K29" s="450">
        <f>IF('[1]Tasa de Falla'!HB29="","",'[1]Tasa de Falla'!HB29)</f>
      </c>
      <c r="L29" s="450">
        <f>IF('[1]Tasa de Falla'!HC29="","",'[1]Tasa de Falla'!HC29)</f>
      </c>
      <c r="M29" s="450">
        <f>IF('[1]Tasa de Falla'!HD29="","",'[1]Tasa de Falla'!HD29)</f>
      </c>
      <c r="N29" s="450">
        <f>IF('[1]Tasa de Falla'!HE29="","",'[1]Tasa de Falla'!HE29)</f>
      </c>
      <c r="O29" s="450">
        <f>IF('[1]Tasa de Falla'!HF29="","",'[1]Tasa de Falla'!HF29)</f>
      </c>
      <c r="P29" s="450">
        <f>IF('[1]Tasa de Falla'!HG29="","",'[1]Tasa de Falla'!HG29)</f>
      </c>
      <c r="Q29" s="450">
        <f>IF('[1]Tasa de Falla'!HH29="","",'[1]Tasa de Falla'!HH29)</f>
      </c>
      <c r="R29" s="450">
        <f>IF('[1]Tasa de Falla'!HI29="","",'[1]Tasa de Falla'!HI29)</f>
      </c>
      <c r="S29" s="444"/>
      <c r="T29" s="439"/>
    </row>
    <row r="30" spans="2:20" s="440" customFormat="1" ht="24.75" customHeight="1">
      <c r="B30" s="441"/>
      <c r="C30" s="446">
        <f>'[1]Tasa de Falla'!C30</f>
        <v>14</v>
      </c>
      <c r="D30" s="447" t="str">
        <f>'[1]Tasa de Falla'!D30</f>
        <v>CRUZ DE PIEDRA - GRAN MENDOZA 1</v>
      </c>
      <c r="E30" s="447">
        <f>'[1]Tasa de Falla'!E30</f>
        <v>132</v>
      </c>
      <c r="F30" s="448">
        <f>'[1]Tasa de Falla'!F30</f>
        <v>22</v>
      </c>
      <c r="G30" s="447">
        <f>IF('[1]Tasa de Falla'!GX30="","",'[1]Tasa de Falla'!GX30)</f>
      </c>
      <c r="H30" s="447">
        <f>IF('[1]Tasa de Falla'!GY30="","",'[1]Tasa de Falla'!GY30)</f>
      </c>
      <c r="I30" s="447">
        <f>IF('[1]Tasa de Falla'!GZ30="","",'[1]Tasa de Falla'!GZ30)</f>
      </c>
      <c r="J30" s="447">
        <f>IF('[1]Tasa de Falla'!HA30="","",'[1]Tasa de Falla'!HA30)</f>
      </c>
      <c r="K30" s="447">
        <f>IF('[1]Tasa de Falla'!HB30="","",'[1]Tasa de Falla'!HB30)</f>
      </c>
      <c r="L30" s="447">
        <f>IF('[1]Tasa de Falla'!HC30="","",'[1]Tasa de Falla'!HC30)</f>
      </c>
      <c r="M30" s="447">
        <f>IF('[1]Tasa de Falla'!HD30="","",'[1]Tasa de Falla'!HD30)</f>
      </c>
      <c r="N30" s="447">
        <f>IF('[1]Tasa de Falla'!HE30="","",'[1]Tasa de Falla'!HE30)</f>
      </c>
      <c r="O30" s="447">
        <f>IF('[1]Tasa de Falla'!HF30="","",'[1]Tasa de Falla'!HF30)</f>
      </c>
      <c r="P30" s="447">
        <f>IF('[1]Tasa de Falla'!HG30="","",'[1]Tasa de Falla'!HG30)</f>
      </c>
      <c r="Q30" s="447">
        <f>IF('[1]Tasa de Falla'!HH30="","",'[1]Tasa de Falla'!HH30)</f>
      </c>
      <c r="R30" s="447">
        <f>IF('[1]Tasa de Falla'!HI30="","",'[1]Tasa de Falla'!HI30)</f>
        <v>1</v>
      </c>
      <c r="S30" s="444"/>
      <c r="T30" s="439"/>
    </row>
    <row r="31" spans="2:20" s="440" customFormat="1" ht="24.75" customHeight="1">
      <c r="B31" s="441"/>
      <c r="C31" s="449">
        <f>'[1]Tasa de Falla'!C31</f>
        <v>15</v>
      </c>
      <c r="D31" s="450" t="str">
        <f>'[1]Tasa de Falla'!D31</f>
        <v>CRUZ DE PIEDRA - GRAN MENDOZA 2</v>
      </c>
      <c r="E31" s="450">
        <f>'[1]Tasa de Falla'!E31</f>
        <v>132</v>
      </c>
      <c r="F31" s="451">
        <f>'[1]Tasa de Falla'!F31</f>
        <v>22</v>
      </c>
      <c r="G31" s="450">
        <f>IF('[1]Tasa de Falla'!GX31="","",'[1]Tasa de Falla'!GX31)</f>
      </c>
      <c r="H31" s="450">
        <f>IF('[1]Tasa de Falla'!GY31="","",'[1]Tasa de Falla'!GY31)</f>
      </c>
      <c r="I31" s="450">
        <f>IF('[1]Tasa de Falla'!GZ31="","",'[1]Tasa de Falla'!GZ31)</f>
      </c>
      <c r="J31" s="450">
        <f>IF('[1]Tasa de Falla'!HA31="","",'[1]Tasa de Falla'!HA31)</f>
      </c>
      <c r="K31" s="450">
        <f>IF('[1]Tasa de Falla'!HB31="","",'[1]Tasa de Falla'!HB31)</f>
      </c>
      <c r="L31" s="450">
        <f>IF('[1]Tasa de Falla'!HC31="","",'[1]Tasa de Falla'!HC31)</f>
      </c>
      <c r="M31" s="450">
        <f>IF('[1]Tasa de Falla'!HD31="","",'[1]Tasa de Falla'!HD31)</f>
      </c>
      <c r="N31" s="450">
        <f>IF('[1]Tasa de Falla'!HE31="","",'[1]Tasa de Falla'!HE31)</f>
      </c>
      <c r="O31" s="450">
        <f>IF('[1]Tasa de Falla'!HF31="","",'[1]Tasa de Falla'!HF31)</f>
      </c>
      <c r="P31" s="450">
        <f>IF('[1]Tasa de Falla'!HG31="","",'[1]Tasa de Falla'!HG31)</f>
      </c>
      <c r="Q31" s="450">
        <f>IF('[1]Tasa de Falla'!HH31="","",'[1]Tasa de Falla'!HH31)</f>
      </c>
      <c r="R31" s="450">
        <f>IF('[1]Tasa de Falla'!HI31="","",'[1]Tasa de Falla'!HI31)</f>
        <v>1</v>
      </c>
      <c r="S31" s="444"/>
      <c r="T31" s="439"/>
    </row>
    <row r="32" spans="2:20" s="440" customFormat="1" ht="24.75" customHeight="1">
      <c r="B32" s="441"/>
      <c r="C32" s="446">
        <f>'[1]Tasa de Falla'!C32</f>
        <v>16</v>
      </c>
      <c r="D32" s="447" t="str">
        <f>'[1]Tasa de Falla'!D32</f>
        <v>CRUZ DE PIEDRA - SAN JUAN</v>
      </c>
      <c r="E32" s="447">
        <f>'[1]Tasa de Falla'!E32</f>
        <v>132</v>
      </c>
      <c r="F32" s="448">
        <f>'[1]Tasa de Falla'!F32</f>
        <v>180.18</v>
      </c>
      <c r="G32" s="447" t="str">
        <f>IF('[1]Tasa de Falla'!GX32="","",'[1]Tasa de Falla'!GX32)</f>
        <v>XXXX</v>
      </c>
      <c r="H32" s="447" t="str">
        <f>IF('[1]Tasa de Falla'!GY32="","",'[1]Tasa de Falla'!GY32)</f>
        <v>XXXX</v>
      </c>
      <c r="I32" s="447" t="str">
        <f>IF('[1]Tasa de Falla'!GZ32="","",'[1]Tasa de Falla'!GZ32)</f>
        <v>XXXX</v>
      </c>
      <c r="J32" s="447" t="str">
        <f>IF('[1]Tasa de Falla'!HA32="","",'[1]Tasa de Falla'!HA32)</f>
        <v>XXXX</v>
      </c>
      <c r="K32" s="447" t="str">
        <f>IF('[1]Tasa de Falla'!HB32="","",'[1]Tasa de Falla'!HB32)</f>
        <v>XXXX</v>
      </c>
      <c r="L32" s="447" t="str">
        <f>IF('[1]Tasa de Falla'!HC32="","",'[1]Tasa de Falla'!HC32)</f>
        <v>XXXX</v>
      </c>
      <c r="M32" s="447" t="str">
        <f>IF('[1]Tasa de Falla'!HD32="","",'[1]Tasa de Falla'!HD32)</f>
        <v>XXXX</v>
      </c>
      <c r="N32" s="447" t="str">
        <f>IF('[1]Tasa de Falla'!HE32="","",'[1]Tasa de Falla'!HE32)</f>
        <v>XXXX</v>
      </c>
      <c r="O32" s="447" t="str">
        <f>IF('[1]Tasa de Falla'!HF32="","",'[1]Tasa de Falla'!HF32)</f>
        <v>XXXX</v>
      </c>
      <c r="P32" s="447" t="str">
        <f>IF('[1]Tasa de Falla'!HG32="","",'[1]Tasa de Falla'!HG32)</f>
        <v>XXXX</v>
      </c>
      <c r="Q32" s="447" t="str">
        <f>IF('[1]Tasa de Falla'!HH32="","",'[1]Tasa de Falla'!HH32)</f>
        <v>XXXX</v>
      </c>
      <c r="R32" s="447" t="str">
        <f>IF('[1]Tasa de Falla'!HI32="","",'[1]Tasa de Falla'!HI32)</f>
        <v>XXXX</v>
      </c>
      <c r="S32" s="444"/>
      <c r="T32" s="439"/>
    </row>
    <row r="33" spans="2:20" s="440" customFormat="1" ht="24.75" customHeight="1">
      <c r="B33" s="441"/>
      <c r="C33" s="449">
        <f>'[1]Tasa de Falla'!C33</f>
        <v>17</v>
      </c>
      <c r="D33" s="450" t="str">
        <f>'[1]Tasa de Falla'!D33</f>
        <v>CRUZ DE PIEDRA - LUJAN DE CUYO 1</v>
      </c>
      <c r="E33" s="450">
        <f>'[1]Tasa de Falla'!E33</f>
        <v>132</v>
      </c>
      <c r="F33" s="451">
        <f>'[1]Tasa de Falla'!F33</f>
        <v>18.1</v>
      </c>
      <c r="G33" s="450">
        <f>IF('[1]Tasa de Falla'!GX33="","",'[1]Tasa de Falla'!GX33)</f>
      </c>
      <c r="H33" s="450">
        <f>IF('[1]Tasa de Falla'!GY33="","",'[1]Tasa de Falla'!GY33)</f>
      </c>
      <c r="I33" s="450">
        <f>IF('[1]Tasa de Falla'!GZ33="","",'[1]Tasa de Falla'!GZ33)</f>
      </c>
      <c r="J33" s="450">
        <f>IF('[1]Tasa de Falla'!HA33="","",'[1]Tasa de Falla'!HA33)</f>
      </c>
      <c r="K33" s="450">
        <f>IF('[1]Tasa de Falla'!HB33="","",'[1]Tasa de Falla'!HB33)</f>
      </c>
      <c r="L33" s="450">
        <f>IF('[1]Tasa de Falla'!HC33="","",'[1]Tasa de Falla'!HC33)</f>
      </c>
      <c r="M33" s="450">
        <f>IF('[1]Tasa de Falla'!HD33="","",'[1]Tasa de Falla'!HD33)</f>
      </c>
      <c r="N33" s="450">
        <f>IF('[1]Tasa de Falla'!HE33="","",'[1]Tasa de Falla'!HE33)</f>
      </c>
      <c r="O33" s="450">
        <f>IF('[1]Tasa de Falla'!HF33="","",'[1]Tasa de Falla'!HF33)</f>
      </c>
      <c r="P33" s="450">
        <f>IF('[1]Tasa de Falla'!HG33="","",'[1]Tasa de Falla'!HG33)</f>
      </c>
      <c r="Q33" s="450">
        <f>IF('[1]Tasa de Falla'!HH33="","",'[1]Tasa de Falla'!HH33)</f>
      </c>
      <c r="R33" s="450">
        <f>IF('[1]Tasa de Falla'!HI33="","",'[1]Tasa de Falla'!HI33)</f>
      </c>
      <c r="S33" s="444"/>
      <c r="T33" s="439"/>
    </row>
    <row r="34" spans="2:20" s="440" customFormat="1" ht="24.75" customHeight="1">
      <c r="B34" s="441"/>
      <c r="C34" s="446">
        <f>'[1]Tasa de Falla'!C34</f>
        <v>18</v>
      </c>
      <c r="D34" s="447" t="str">
        <f>'[1]Tasa de Falla'!D34</f>
        <v>CRUZ DE PIEDRA - LUJAN DE CUYO 2</v>
      </c>
      <c r="E34" s="447">
        <f>'[1]Tasa de Falla'!E34</f>
        <v>132</v>
      </c>
      <c r="F34" s="448">
        <f>'[1]Tasa de Falla'!F34</f>
        <v>18.1</v>
      </c>
      <c r="G34" s="447">
        <f>IF('[1]Tasa de Falla'!GX34="","",'[1]Tasa de Falla'!GX34)</f>
      </c>
      <c r="H34" s="447">
        <f>IF('[1]Tasa de Falla'!GY34="","",'[1]Tasa de Falla'!GY34)</f>
      </c>
      <c r="I34" s="447">
        <f>IF('[1]Tasa de Falla'!GZ34="","",'[1]Tasa de Falla'!GZ34)</f>
      </c>
      <c r="J34" s="447">
        <f>IF('[1]Tasa de Falla'!HA34="","",'[1]Tasa de Falla'!HA34)</f>
      </c>
      <c r="K34" s="447">
        <f>IF('[1]Tasa de Falla'!HB34="","",'[1]Tasa de Falla'!HB34)</f>
      </c>
      <c r="L34" s="447">
        <f>IF('[1]Tasa de Falla'!HC34="","",'[1]Tasa de Falla'!HC34)</f>
      </c>
      <c r="M34" s="447">
        <f>IF('[1]Tasa de Falla'!HD34="","",'[1]Tasa de Falla'!HD34)</f>
      </c>
      <c r="N34" s="447">
        <f>IF('[1]Tasa de Falla'!HE34="","",'[1]Tasa de Falla'!HE34)</f>
      </c>
      <c r="O34" s="447">
        <f>IF('[1]Tasa de Falla'!HF34="","",'[1]Tasa de Falla'!HF34)</f>
        <v>1</v>
      </c>
      <c r="P34" s="447">
        <f>IF('[1]Tasa de Falla'!HG34="","",'[1]Tasa de Falla'!HG34)</f>
      </c>
      <c r="Q34" s="447">
        <f>IF('[1]Tasa de Falla'!HH34="","",'[1]Tasa de Falla'!HH34)</f>
      </c>
      <c r="R34" s="447">
        <f>IF('[1]Tasa de Falla'!HI34="","",'[1]Tasa de Falla'!HI34)</f>
      </c>
      <c r="S34" s="444"/>
      <c r="T34" s="439"/>
    </row>
    <row r="35" spans="2:20" s="440" customFormat="1" ht="24.75" customHeight="1">
      <c r="B35" s="441"/>
      <c r="C35" s="452">
        <f>'[1]Tasa de Falla'!C35</f>
        <v>19</v>
      </c>
      <c r="D35" s="453" t="str">
        <f>'[1]Tasa de Falla'!D35</f>
        <v>C.H. NIHUIL I - PEDRO VARGAS</v>
      </c>
      <c r="E35" s="453">
        <f>'[1]Tasa de Falla'!E35</f>
        <v>132</v>
      </c>
      <c r="F35" s="454">
        <f>'[1]Tasa de Falla'!F35</f>
        <v>46.5</v>
      </c>
      <c r="G35" s="453">
        <f>IF('[1]Tasa de Falla'!GX35="","",'[1]Tasa de Falla'!GX35)</f>
      </c>
      <c r="H35" s="453">
        <f>IF('[1]Tasa de Falla'!GY35="","",'[1]Tasa de Falla'!GY35)</f>
      </c>
      <c r="I35" s="453">
        <f>IF('[1]Tasa de Falla'!GZ35="","",'[1]Tasa de Falla'!GZ35)</f>
      </c>
      <c r="J35" s="453">
        <f>IF('[1]Tasa de Falla'!HA35="","",'[1]Tasa de Falla'!HA35)</f>
      </c>
      <c r="K35" s="453">
        <f>IF('[1]Tasa de Falla'!HB35="","",'[1]Tasa de Falla'!HB35)</f>
      </c>
      <c r="L35" s="453">
        <f>IF('[1]Tasa de Falla'!HC35="","",'[1]Tasa de Falla'!HC35)</f>
      </c>
      <c r="M35" s="453">
        <f>IF('[1]Tasa de Falla'!HD35="","",'[1]Tasa de Falla'!HD35)</f>
      </c>
      <c r="N35" s="453">
        <f>IF('[1]Tasa de Falla'!HE35="","",'[1]Tasa de Falla'!HE35)</f>
      </c>
      <c r="O35" s="453">
        <f>IF('[1]Tasa de Falla'!HF35="","",'[1]Tasa de Falla'!HF35)</f>
      </c>
      <c r="P35" s="453">
        <f>IF('[1]Tasa de Falla'!HG35="","",'[1]Tasa de Falla'!HG35)</f>
      </c>
      <c r="Q35" s="453">
        <f>IF('[1]Tasa de Falla'!HH35="","",'[1]Tasa de Falla'!HH35)</f>
      </c>
      <c r="R35" s="453">
        <f>IF('[1]Tasa de Falla'!HI35="","",'[1]Tasa de Falla'!HI35)</f>
      </c>
      <c r="S35" s="444"/>
      <c r="T35" s="439"/>
    </row>
    <row r="36" spans="2:20" s="440" customFormat="1" ht="24.75" customHeight="1">
      <c r="B36" s="441"/>
      <c r="C36" s="446">
        <f>'[1]Tasa de Falla'!C36</f>
        <v>20</v>
      </c>
      <c r="D36" s="447" t="str">
        <f>'[1]Tasa de Falla'!D36</f>
        <v>N AN JUAN - SAN JUAN</v>
      </c>
      <c r="E36" s="447">
        <f>'[1]Tasa de Falla'!E36</f>
        <v>220</v>
      </c>
      <c r="F36" s="448">
        <f>'[1]Tasa de Falla'!F36</f>
        <v>4.5</v>
      </c>
      <c r="G36" s="447">
        <f>IF('[1]Tasa de Falla'!GX36="","",'[1]Tasa de Falla'!GX36)</f>
      </c>
      <c r="H36" s="447">
        <f>IF('[1]Tasa de Falla'!GY36="","",'[1]Tasa de Falla'!GY36)</f>
      </c>
      <c r="I36" s="447">
        <f>IF('[1]Tasa de Falla'!GZ36="","",'[1]Tasa de Falla'!GZ36)</f>
      </c>
      <c r="J36" s="447">
        <f>IF('[1]Tasa de Falla'!HA36="","",'[1]Tasa de Falla'!HA36)</f>
      </c>
      <c r="K36" s="447">
        <f>IF('[1]Tasa de Falla'!HB36="","",'[1]Tasa de Falla'!HB36)</f>
      </c>
      <c r="L36" s="447">
        <f>IF('[1]Tasa de Falla'!HC36="","",'[1]Tasa de Falla'!HC36)</f>
      </c>
      <c r="M36" s="447">
        <f>IF('[1]Tasa de Falla'!HD36="","",'[1]Tasa de Falla'!HD36)</f>
      </c>
      <c r="N36" s="447">
        <f>IF('[1]Tasa de Falla'!HE36="","",'[1]Tasa de Falla'!HE36)</f>
      </c>
      <c r="O36" s="447">
        <f>IF('[1]Tasa de Falla'!HF36="","",'[1]Tasa de Falla'!HF36)</f>
      </c>
      <c r="P36" s="447">
        <f>IF('[1]Tasa de Falla'!HG36="","",'[1]Tasa de Falla'!HG36)</f>
      </c>
      <c r="Q36" s="447">
        <f>IF('[1]Tasa de Falla'!HH36="","",'[1]Tasa de Falla'!HH36)</f>
      </c>
      <c r="R36" s="447">
        <f>IF('[1]Tasa de Falla'!HI36="","",'[1]Tasa de Falla'!HI36)</f>
      </c>
      <c r="S36" s="444"/>
      <c r="T36" s="439"/>
    </row>
    <row r="37" spans="2:20" s="440" customFormat="1" ht="24.75" customHeight="1">
      <c r="B37" s="441"/>
      <c r="C37" s="452">
        <f>'[1]Tasa de Falla'!C37</f>
        <v>21</v>
      </c>
      <c r="D37" s="453" t="str">
        <f>'[1]Tasa de Falla'!D37</f>
        <v>SAN JUAN - CAÑADA HONDA</v>
      </c>
      <c r="E37" s="453">
        <f>'[1]Tasa de Falla'!E37</f>
        <v>132</v>
      </c>
      <c r="F37" s="454">
        <f>'[1]Tasa de Falla'!F37</f>
        <v>54.4</v>
      </c>
      <c r="G37" s="453">
        <f>IF('[1]Tasa de Falla'!GX37="","",'[1]Tasa de Falla'!GX37)</f>
      </c>
      <c r="H37" s="453">
        <f>IF('[1]Tasa de Falla'!GY37="","",'[1]Tasa de Falla'!GY37)</f>
      </c>
      <c r="I37" s="453">
        <f>IF('[1]Tasa de Falla'!GZ37="","",'[1]Tasa de Falla'!GZ37)</f>
      </c>
      <c r="J37" s="453">
        <f>IF('[1]Tasa de Falla'!HA37="","",'[1]Tasa de Falla'!HA37)</f>
      </c>
      <c r="K37" s="453">
        <f>IF('[1]Tasa de Falla'!HB37="","",'[1]Tasa de Falla'!HB37)</f>
      </c>
      <c r="L37" s="453">
        <f>IF('[1]Tasa de Falla'!HC37="","",'[1]Tasa de Falla'!HC37)</f>
      </c>
      <c r="M37" s="453">
        <f>IF('[1]Tasa de Falla'!HD37="","",'[1]Tasa de Falla'!HD37)</f>
      </c>
      <c r="N37" s="453">
        <f>IF('[1]Tasa de Falla'!HE37="","",'[1]Tasa de Falla'!HE37)</f>
      </c>
      <c r="O37" s="453">
        <f>IF('[1]Tasa de Falla'!HF37="","",'[1]Tasa de Falla'!HF37)</f>
        <v>1</v>
      </c>
      <c r="P37" s="453">
        <f>IF('[1]Tasa de Falla'!HG37="","",'[1]Tasa de Falla'!HG37)</f>
        <v>1</v>
      </c>
      <c r="Q37" s="453">
        <f>IF('[1]Tasa de Falla'!HH37="","",'[1]Tasa de Falla'!HH37)</f>
      </c>
      <c r="R37" s="453">
        <f>IF('[1]Tasa de Falla'!HI37="","",'[1]Tasa de Falla'!HI37)</f>
      </c>
      <c r="S37" s="444"/>
      <c r="T37" s="439"/>
    </row>
    <row r="38" spans="2:20" s="440" customFormat="1" ht="24.75" customHeight="1" thickBot="1">
      <c r="B38" s="441"/>
      <c r="C38" s="455">
        <f>IF('[2]Tasa de Falla'!C36=0,"",'[2]Tasa de Falla'!C36)</f>
      </c>
      <c r="D38" s="456">
        <f>IF('[2]Tasa de Falla'!D36=0,"",'[2]Tasa de Falla'!D36)</f>
      </c>
      <c r="E38" s="457">
        <f>IF('[2]Tasa de Falla'!E36=0,"",'[2]Tasa de Falla'!E36)</f>
      </c>
      <c r="F38" s="458">
        <f>IF('[2]Tasa de Falla'!F36=0,"",'[2]Tasa de Falla'!F36)</f>
      </c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44"/>
      <c r="T38" s="439"/>
    </row>
    <row r="39" spans="2:20" s="440" customFormat="1" ht="24.75" customHeight="1" thickBot="1" thickTop="1">
      <c r="B39" s="441"/>
      <c r="C39" s="459"/>
      <c r="D39" s="460"/>
      <c r="E39" s="461" t="s">
        <v>96</v>
      </c>
      <c r="F39" s="462">
        <f>ROUND(SUM($F$17:$F$38)-SUMIF($R17:$R38,"XXXX",$F$17:$F$38),2)</f>
        <v>1250</v>
      </c>
      <c r="G39" s="463"/>
      <c r="H39" s="464"/>
      <c r="I39" s="463"/>
      <c r="J39" s="464"/>
      <c r="K39" s="463"/>
      <c r="L39" s="464"/>
      <c r="M39" s="463"/>
      <c r="N39" s="464"/>
      <c r="O39" s="463"/>
      <c r="P39" s="464"/>
      <c r="Q39" s="463"/>
      <c r="R39" s="464"/>
      <c r="S39" s="444"/>
      <c r="T39" s="439"/>
    </row>
    <row r="40" spans="2:20" s="440" customFormat="1" ht="24.75" customHeight="1" thickBot="1" thickTop="1">
      <c r="B40" s="441"/>
      <c r="C40" s="465"/>
      <c r="D40" s="466"/>
      <c r="F40" s="467" t="s">
        <v>97</v>
      </c>
      <c r="G40" s="468">
        <f aca="true" t="shared" si="0" ref="G40:R40">SUM(G17:G38)</f>
        <v>0</v>
      </c>
      <c r="H40" s="468">
        <f t="shared" si="0"/>
        <v>1</v>
      </c>
      <c r="I40" s="468">
        <f t="shared" si="0"/>
        <v>0</v>
      </c>
      <c r="J40" s="468">
        <f t="shared" si="0"/>
        <v>2</v>
      </c>
      <c r="K40" s="468">
        <f t="shared" si="0"/>
        <v>1</v>
      </c>
      <c r="L40" s="468">
        <f t="shared" si="0"/>
        <v>1</v>
      </c>
      <c r="M40" s="468">
        <f t="shared" si="0"/>
        <v>1</v>
      </c>
      <c r="N40" s="468">
        <f t="shared" si="0"/>
        <v>1</v>
      </c>
      <c r="O40" s="468">
        <f t="shared" si="0"/>
        <v>2</v>
      </c>
      <c r="P40" s="468">
        <f t="shared" si="0"/>
        <v>1</v>
      </c>
      <c r="Q40" s="468">
        <f t="shared" si="0"/>
        <v>0</v>
      </c>
      <c r="R40" s="468">
        <f t="shared" si="0"/>
        <v>2</v>
      </c>
      <c r="S40" s="444"/>
      <c r="T40" s="439"/>
    </row>
    <row r="41" spans="2:20" s="440" customFormat="1" ht="24.75" customHeight="1" thickBot="1" thickTop="1">
      <c r="B41" s="441"/>
      <c r="C41" s="465"/>
      <c r="D41" s="465"/>
      <c r="E41" s="465"/>
      <c r="F41" s="469" t="s">
        <v>98</v>
      </c>
      <c r="G41" s="470">
        <f>'[1]Tasa de Falla'!GX42</f>
        <v>1.28</v>
      </c>
      <c r="H41" s="470">
        <f>'[1]Tasa de Falla'!GY42</f>
        <v>1.2</v>
      </c>
      <c r="I41" s="470">
        <f>'[1]Tasa de Falla'!GZ42</f>
        <v>1.2</v>
      </c>
      <c r="J41" s="470">
        <f>'[1]Tasa de Falla'!HA42</f>
        <v>1.04</v>
      </c>
      <c r="K41" s="470">
        <f>'[1]Tasa de Falla'!HB42</f>
        <v>1.2</v>
      </c>
      <c r="L41" s="470">
        <f>'[1]Tasa de Falla'!HC42</f>
        <v>1.12</v>
      </c>
      <c r="M41" s="470">
        <f>'[1]Tasa de Falla'!HD42</f>
        <v>1.12</v>
      </c>
      <c r="N41" s="470">
        <f>'[1]Tasa de Falla'!HE42</f>
        <v>1.2</v>
      </c>
      <c r="O41" s="470">
        <f>'[1]Tasa de Falla'!HF42</f>
        <v>1.04</v>
      </c>
      <c r="P41" s="470">
        <f>'[1]Tasa de Falla'!HG42</f>
        <v>1.12</v>
      </c>
      <c r="Q41" s="470">
        <f>'[1]Tasa de Falla'!HH42</f>
        <v>1.04</v>
      </c>
      <c r="R41" s="470">
        <f>'[1]Tasa de Falla'!HI42</f>
        <v>0.88</v>
      </c>
      <c r="S41" s="470">
        <f>SUM(G40:R40)/F39*100</f>
        <v>0.96</v>
      </c>
      <c r="T41" s="439"/>
    </row>
    <row r="42" spans="2:20" ht="18.75" customHeight="1" thickBot="1" thickTop="1">
      <c r="B42" s="427"/>
      <c r="C42" s="471"/>
      <c r="D42" s="472" t="s">
        <v>99</v>
      </c>
      <c r="E42" s="473"/>
      <c r="F42" s="474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6"/>
    </row>
    <row r="43" spans="2:20" ht="17.25" thickBot="1" thickTop="1">
      <c r="B43" s="477"/>
      <c r="C43" s="431"/>
      <c r="D43" s="431"/>
      <c r="H43" s="478" t="s">
        <v>100</v>
      </c>
      <c r="I43" s="479"/>
      <c r="J43" s="480">
        <f>S41</f>
        <v>0.96</v>
      </c>
      <c r="K43" s="481" t="s">
        <v>101</v>
      </c>
      <c r="L43" s="482"/>
      <c r="M43" s="483"/>
      <c r="N43" s="484"/>
      <c r="O43" s="484"/>
      <c r="P43" s="484"/>
      <c r="Q43" s="484"/>
      <c r="R43" s="431"/>
      <c r="S43" s="431"/>
      <c r="T43" s="432"/>
    </row>
    <row r="44" spans="2:20" ht="18.75" customHeight="1" thickBot="1" thickTop="1">
      <c r="B44" s="485"/>
      <c r="C44" s="486"/>
      <c r="D44" s="487"/>
      <c r="E44" s="487"/>
      <c r="F44" s="488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90"/>
    </row>
    <row r="45" ht="13.5" thickTop="1">
      <c r="AA45" s="406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2014-06-17T13:28:05Z</cp:lastPrinted>
  <dcterms:created xsi:type="dcterms:W3CDTF">1998-09-02T21:31:22Z</dcterms:created>
  <dcterms:modified xsi:type="dcterms:W3CDTF">2014-06-25T12:22:47Z</dcterms:modified>
  <cp:category/>
  <cp:version/>
  <cp:contentType/>
  <cp:contentStatus/>
</cp:coreProperties>
</file>