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740" activeTab="0"/>
  </bookViews>
  <sheets>
    <sheet name="TOT-0709" sheetId="1" r:id="rId1"/>
    <sheet name="LI-07 (1)" sheetId="2" r:id="rId2"/>
    <sheet name="LI-07 (2)" sheetId="3" r:id="rId3"/>
    <sheet name="L IV-07(1)" sheetId="4" r:id="rId4"/>
    <sheet name="TR-07 (1)" sheetId="5" r:id="rId5"/>
    <sheet name="T4CH - Nota SE N° 2492" sheetId="6" r:id="rId6"/>
    <sheet name="SA-07 (1)" sheetId="7" r:id="rId7"/>
    <sheet name="SA-07 (2)" sheetId="8" r:id="rId8"/>
    <sheet name="SA-07 (3)" sheetId="9" r:id="rId9"/>
    <sheet name="RE-07 (1)" sheetId="10" r:id="rId10"/>
    <sheet name="SA-TIBA-07 (1)" sheetId="11" r:id="rId11"/>
    <sheet name=" L INTESAR-07(1)" sheetId="12" r:id="rId12"/>
    <sheet name="S LIMSA-07(1)" sheetId="13" r:id="rId13"/>
    <sheet name="SUP-TIBA" sheetId="14" r:id="rId14"/>
    <sheet name="SUP-INTESAR" sheetId="15" r:id="rId15"/>
    <sheet name="SUP-LIMSA" sheetId="16" r:id="rId16"/>
    <sheet name="TASA FALLA" sheetId="17" r:id="rId17"/>
  </sheets>
  <externalReferences>
    <externalReference r:id="rId20"/>
    <externalReference r:id="rId21"/>
  </externalReferences>
  <definedNames>
    <definedName name="_xlnm.Print_Area" localSheetId="13">'SUP-TIBA'!$A$1:$X$70</definedName>
    <definedName name="_xlnm.Print_Area" localSheetId="16">'TASA FALLA'!$A$1:$V$99</definedName>
    <definedName name="DD" localSheetId="5">'T4CH - Nota SE N° 2492'!DD</definedName>
    <definedName name="DD" localSheetId="16">'TASA FALLA'!DD</definedName>
    <definedName name="DD">[0]!DD</definedName>
    <definedName name="DDD" localSheetId="5">'T4CH - Nota SE N° 2492'!DDD</definedName>
    <definedName name="DDD" localSheetId="16">'TASA FALLA'!DDD</definedName>
    <definedName name="DDD">[0]!DDD</definedName>
    <definedName name="DISTROCUYO" localSheetId="5">'T4CH - Nota SE N° 2492'!DISTROCUYO</definedName>
    <definedName name="DISTROCUYO" localSheetId="16">'TASA FALLA'!DISTROCUYO</definedName>
    <definedName name="DISTROCUYO">[0]!DISTROCUYO</definedName>
    <definedName name="INICIO" localSheetId="5">'T4CH - Nota SE N° 2492'!INICIO</definedName>
    <definedName name="INICIO" localSheetId="16">'TASA FALLA'!INICIO</definedName>
    <definedName name="INICIO">[0]!INICIO</definedName>
    <definedName name="INICIOTI" localSheetId="5">'T4CH - Nota SE N° 2492'!INICIOTI</definedName>
    <definedName name="INICIOTI" localSheetId="16">'TASA FALLA'!INICIOTI</definedName>
    <definedName name="INICIOTI">[0]!INICIOTI</definedName>
    <definedName name="LINEAS" localSheetId="5">'T4CH - Nota SE N° 2492'!LINEAS</definedName>
    <definedName name="LINEAS" localSheetId="16">'TASA FALLA'!LINEAS</definedName>
    <definedName name="LINEAS">[0]!LINEAS</definedName>
    <definedName name="NAME_L" localSheetId="5">'T4CH - Nota SE N° 2492'!NAME_L</definedName>
    <definedName name="NAME_L" localSheetId="16">'TASA FALLA'!NAME_L</definedName>
    <definedName name="NAME_L">[0]!NAME_L</definedName>
    <definedName name="NAME_L_TI" localSheetId="5">'T4CH - Nota SE N° 2492'!NAME_L_TI</definedName>
    <definedName name="NAME_L_TI" localSheetId="16">'TASA FALLA'!NAME_L_TI</definedName>
    <definedName name="NAME_L_TI">[0]!NAME_L_TI</definedName>
    <definedName name="TRAN" localSheetId="5">'T4CH - Nota SE N° 2492'!TRAN</definedName>
    <definedName name="TRAN" localSheetId="16">'TASA FALLA'!TRAN</definedName>
    <definedName name="TRAN">[0]!TRAN</definedName>
    <definedName name="TRANSNOA" localSheetId="5">'T4CH - Nota SE N° 2492'!TRANSNOA</definedName>
    <definedName name="TRANSNOA" localSheetId="16">'TASA FALLA'!TRANSNOA</definedName>
    <definedName name="TRANSNOA">[0]!TRANSNOA</definedName>
    <definedName name="x" localSheetId="5">'T4CH - Nota SE N° 2492'!x</definedName>
    <definedName name="x" localSheetId="16">'TASA FALLA'!x</definedName>
    <definedName name="x">[0]!x</definedName>
    <definedName name="XX" localSheetId="5">'T4CH - Nota SE N° 2492'!XX</definedName>
    <definedName name="XX" localSheetId="16">'TASA FALLA'!XX</definedName>
    <definedName name="XX">[0]!XX</definedName>
  </definedNames>
  <calcPr fullCalcOnLoad="1"/>
</workbook>
</file>

<file path=xl/comments15.xml><?xml version="1.0" encoding="utf-8"?>
<comments xmlns="http://schemas.openxmlformats.org/spreadsheetml/2006/main">
  <authors>
    <author>Ing. Juan Messina</author>
  </authors>
  <commentList>
    <comment ref="M49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53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16.xml><?xml version="1.0" encoding="utf-8"?>
<comments xmlns="http://schemas.openxmlformats.org/spreadsheetml/2006/main">
  <authors>
    <author>Ing. Juan Messina</author>
  </authors>
  <commentList>
    <comment ref="M61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65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  <comment ref="M62" authorId="0">
      <text>
        <r>
          <rPr>
            <b/>
            <sz val="8"/>
            <rFont val="Tahoma"/>
            <family val="0"/>
          </rPr>
          <t>Ing. Juan Messina:
Anexo2,1 DTE
ATRAXX.TXT</t>
        </r>
      </text>
    </comment>
  </commentList>
</comments>
</file>

<file path=xl/comments7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8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9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sharedStrings.xml><?xml version="1.0" encoding="utf-8"?>
<sst xmlns="http://schemas.openxmlformats.org/spreadsheetml/2006/main" count="1268" uniqueCount="304">
  <si>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</si>
  <si>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</si>
  <si>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</si>
  <si>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</si>
  <si>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</si>
  <si>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</si>
  <si>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</si>
  <si>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</si>
  <si>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</si>
  <si>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</si>
  <si>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</si>
  <si>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</si>
  <si>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</si>
  <si>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</si>
  <si>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</si>
  <si>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</si>
  <si>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</si>
  <si>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</si>
  <si>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</si>
  <si>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</si>
  <si>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</si>
  <si>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</si>
  <si>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</si>
  <si>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</si>
  <si>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</si>
  <si>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</si>
  <si>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</si>
  <si>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</si>
  <si>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</si>
  <si>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</si>
  <si>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</si>
  <si>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</si>
  <si>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</si>
  <si>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</si>
  <si>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</si>
  <si>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</si>
  <si>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</si>
  <si>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</si>
  <si>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</si>
  <si>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</si>
  <si>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</si>
  <si>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</si>
  <si>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</si>
  <si>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</si>
  <si>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Rest.
%</t>
  </si>
  <si>
    <t>R.D.</t>
  </si>
  <si>
    <t>PENALIZACIÓN FORZADA
Por Salida    1ras 5 hs.   hs. Restantes</t>
  </si>
  <si>
    <t>E.T.</t>
  </si>
  <si>
    <t>TRANSENER S.A.</t>
  </si>
  <si>
    <t>SISTEMA DE TRANSPORTE DE ENERGÍA ELÉCTRICA EN ALTA TENSIÓN</t>
  </si>
  <si>
    <t>POTENCIA REACTIVA</t>
  </si>
  <si>
    <t>4.-</t>
  </si>
  <si>
    <t>SUPERVISIÓN</t>
  </si>
  <si>
    <t>Transportista Independiente TIBA S.A.</t>
  </si>
  <si>
    <t>SISTEMA DE TRANSPORTE DE ENERGÍA ELÉCTRICA EN ALTA TENSIÓN - TRANSENER S.A.</t>
  </si>
  <si>
    <t>PENALIZAC.
PROGRAM.</t>
  </si>
  <si>
    <t>CL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</si>
  <si>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</si>
  <si>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</si>
  <si>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</si>
  <si>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</si>
  <si>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</si>
  <si>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</si>
  <si>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</si>
  <si>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</si>
  <si>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</si>
  <si>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</si>
  <si>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</si>
  <si>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</si>
  <si>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</si>
  <si>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</si>
  <si>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</si>
  <si>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</si>
  <si>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</si>
  <si>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</si>
  <si>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a)</t>
  </si>
  <si>
    <t>Datos</t>
  </si>
  <si>
    <t>b)</t>
  </si>
  <si>
    <t>c)</t>
  </si>
  <si>
    <t>Tipo 
Sal.</t>
  </si>
  <si>
    <t>PENALIZAC. FORZADA
Por Salida    hs. Restantes</t>
  </si>
  <si>
    <t>d)</t>
  </si>
  <si>
    <t>e)</t>
  </si>
  <si>
    <t>SANCIÓN</t>
  </si>
  <si>
    <t>Sanción calculada</t>
  </si>
  <si>
    <t>SANCIÓN =</t>
  </si>
  <si>
    <t>$/MVA</t>
  </si>
  <si>
    <t>TRANSFORMADOR</t>
  </si>
  <si>
    <t>POT. [MVA]</t>
  </si>
  <si>
    <t>500/132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</si>
  <si>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</si>
  <si>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</si>
  <si>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</si>
  <si>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</si>
  <si>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</si>
  <si>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</si>
  <si>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</si>
  <si>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</si>
  <si>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</si>
  <si>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</si>
  <si>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TOTAL A PENALIZAR A TRANSENER S.A POR SUPERVISIÓN A T.I.B.A.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</si>
  <si>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</si>
  <si>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</si>
  <si>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</si>
  <si>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</si>
  <si>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</si>
  <si>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1.1.- Líneas propias</t>
  </si>
  <si>
    <t>REDUCCIÓN FORZADA
Por Salida       1ras 5 hs.     hs. Restantes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</si>
  <si>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</si>
  <si>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</si>
  <si>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</si>
  <si>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</si>
  <si>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</si>
  <si>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</si>
  <si>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</si>
  <si>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</si>
  <si>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</si>
  <si>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SI</t>
  </si>
  <si>
    <t xml:space="preserve"> 2.2.- SALIDAS</t>
  </si>
  <si>
    <t>2.1.- TRANSFORMACIÓN</t>
  </si>
  <si>
    <t>2.1.1.- Equipamiento Propio</t>
  </si>
  <si>
    <t>4.3.- Transportista Independiente  TIBA S.A.</t>
  </si>
  <si>
    <t xml:space="preserve"> 2.2.2.- Transportista Independiente TIBA S.A.</t>
  </si>
  <si>
    <t>PENAL.FORZADA x Sal hs. Restantes</t>
  </si>
  <si>
    <t>RED.FORZADA
x Sal hs. Restantes</t>
  </si>
  <si>
    <t>Remuneración T.I.B.A. =</t>
  </si>
  <si>
    <t>Campana trafos</t>
  </si>
  <si>
    <t>POT.
[MVAr]</t>
  </si>
  <si>
    <t>INDISP</t>
  </si>
  <si>
    <t>ID EQUIPO</t>
  </si>
  <si>
    <t>-</t>
  </si>
  <si>
    <t>Desde el 01 al 31 de julio de 2009</t>
  </si>
  <si>
    <t>ROSARIO OESTE - RAMALLO 1</t>
  </si>
  <si>
    <t>C</t>
  </si>
  <si>
    <t>P</t>
  </si>
  <si>
    <t>CHO.W. - CHO. 1 (5WC1)</t>
  </si>
  <si>
    <t>RAMALLO - VILLA LIA  2</t>
  </si>
  <si>
    <t>F</t>
  </si>
  <si>
    <t>VILLA LIA - ATUCHA 1</t>
  </si>
  <si>
    <t>MACACHIN - HENDERSON 2</t>
  </si>
  <si>
    <t>A</t>
  </si>
  <si>
    <t>GRAL. RODRIGUEZ - VILLA  LIA 1</t>
  </si>
  <si>
    <t>EZEIZA - RODRIGUEZ 2</t>
  </si>
  <si>
    <t>CHOCON - C.H. CHOCON 1</t>
  </si>
  <si>
    <t>CHO.W. - CHO. 2 (5WC2)</t>
  </si>
  <si>
    <t>EL BRACHO - RECREO(5)</t>
  </si>
  <si>
    <t>B</t>
  </si>
  <si>
    <t>ROSARIO OESTE - RAMALLO 2</t>
  </si>
  <si>
    <t>SALTO GRANDE - SANTO TOME</t>
  </si>
  <si>
    <t>OLAVARRIA - BAHIA BLANCA 1</t>
  </si>
  <si>
    <t>EL CHOCON</t>
  </si>
  <si>
    <t>TRAFO 4</t>
  </si>
  <si>
    <t>500/132/13,2</t>
  </si>
  <si>
    <t>MALVINAS ARGENTINAS</t>
  </si>
  <si>
    <t>TRAFO 1</t>
  </si>
  <si>
    <t>SANTO TOME</t>
  </si>
  <si>
    <t>TRAFO 2</t>
  </si>
  <si>
    <t>CHOELE CHOEL</t>
  </si>
  <si>
    <t>AUTOTRAFO 5</t>
  </si>
  <si>
    <t>ROSARIO OESTE</t>
  </si>
  <si>
    <t>220/132</t>
  </si>
  <si>
    <t>TRAFO 3</t>
  </si>
  <si>
    <t>EZEIZA</t>
  </si>
  <si>
    <t>500/220/132</t>
  </si>
  <si>
    <t>RESISTENCIA</t>
  </si>
  <si>
    <t>TRAFO T2</t>
  </si>
  <si>
    <t>SALIDA LINEA A BARRANQUERAS 1</t>
  </si>
  <si>
    <t>ALMAFUERTE</t>
  </si>
  <si>
    <t>SALIDA LINEA PILAR 1</t>
  </si>
  <si>
    <t>GRAN MENDOZA</t>
  </si>
  <si>
    <t>SALIDA LINEA LOS REYUNOS</t>
  </si>
  <si>
    <t>SALIDA LINEA STA. CATALINA</t>
  </si>
  <si>
    <t>MACACHIN</t>
  </si>
  <si>
    <t>SALIDA LINEA 1 A STA. ROSA</t>
  </si>
  <si>
    <t>SALIDA LINEA 2 A STA. ROSA</t>
  </si>
  <si>
    <t>SALIDA LINEA PROVINCIAS UNIDAS</t>
  </si>
  <si>
    <t>EL BRACHO</t>
  </si>
  <si>
    <t>SALIDA S. M. TUCUMAN</t>
  </si>
  <si>
    <t>SALIDA LINEA A BARRANQUERAS 2</t>
  </si>
  <si>
    <t>SALIDA LINEA ROSARIO SUR 3</t>
  </si>
  <si>
    <t>SALIDA LINEA A GODOY</t>
  </si>
  <si>
    <t>SALIDA LINEA SORRENTO 2</t>
  </si>
  <si>
    <t>ATUCHA</t>
  </si>
  <si>
    <t>TRAFO MAQ. 2</t>
  </si>
  <si>
    <t>SALIDA LINEA ROSARIO SUR 2</t>
  </si>
  <si>
    <t>SALIDA A MAQ. GENELBA 1</t>
  </si>
  <si>
    <t>SALIDA A MAQ. GENELBA 2</t>
  </si>
  <si>
    <t>SALIDA A MAQ. GENELBA 3</t>
  </si>
  <si>
    <t>SALIDA LINEA A RÍO HONDO</t>
  </si>
  <si>
    <t>SALIDA LINEA TANCACHA</t>
  </si>
  <si>
    <t>SALIDA LINEA CORRIENTES 1</t>
  </si>
  <si>
    <t>SALIDA LINEA PILAR 2</t>
  </si>
  <si>
    <t>SALIDA LINEA SAN CARLOS</t>
  </si>
  <si>
    <t>SALIDA LINEA PILAR</t>
  </si>
  <si>
    <t>RECREO</t>
  </si>
  <si>
    <t>ALIMENTADOR A CATAMARCA</t>
  </si>
  <si>
    <t>ROMANG</t>
  </si>
  <si>
    <t>SALIDA LINEA CALCHAQUI</t>
  </si>
  <si>
    <t>SALIDA LINEA C. N. EMBALSE</t>
  </si>
  <si>
    <t>BAHIA BLANCA</t>
  </si>
  <si>
    <t>SALIDA A COOP. P. ALTA</t>
  </si>
  <si>
    <t>CAMPANA</t>
  </si>
  <si>
    <t>SALIDA A V. LIA</t>
  </si>
  <si>
    <t>SALIDA LINEA PBUENA 2</t>
  </si>
  <si>
    <t>OLAVARRIA</t>
  </si>
  <si>
    <t>SALIDA A G. CHAVES</t>
  </si>
  <si>
    <t>SALIDA A L. NEGRA</t>
  </si>
  <si>
    <t>R1L5MC</t>
  </si>
  <si>
    <t>CS6</t>
  </si>
  <si>
    <t>CS5</t>
  </si>
  <si>
    <t>CS3</t>
  </si>
  <si>
    <t>CS2</t>
  </si>
  <si>
    <t>CS1</t>
  </si>
  <si>
    <t>PUELCHES</t>
  </si>
  <si>
    <t>R3A RL</t>
  </si>
  <si>
    <t>CS4</t>
  </si>
  <si>
    <t>P - PROGRAMADA ;   F - FORZADA</t>
  </si>
  <si>
    <t>P - PROGRAMADA</t>
  </si>
  <si>
    <t>IV LINEA</t>
  </si>
  <si>
    <t>Transportista Independiente INTESAR S.A.</t>
  </si>
  <si>
    <t>Transportista Independiente L.I.M.S.A.</t>
  </si>
  <si>
    <t>Transportista Independiente INTESAR</t>
  </si>
  <si>
    <t>Transportista Independiente LIMSA</t>
  </si>
  <si>
    <t>1.4.- IV LINEA</t>
  </si>
  <si>
    <t>1.5.- Transportista Independiente INTESAR S.A.</t>
  </si>
  <si>
    <t>4.7.- Transportista Independiente INTESAR S.A.</t>
  </si>
  <si>
    <t>Remuneración LÍNEAS 500 kV              =</t>
  </si>
  <si>
    <t>$/100 km-h</t>
  </si>
  <si>
    <t>Remuneración TRANSFORMADOR    =</t>
  </si>
  <si>
    <t>Tipo 
Sal</t>
  </si>
  <si>
    <t>PENALIZACION FORZADA
Por Salida      1ras 5 hs.     hs. Restantes</t>
  </si>
  <si>
    <t>REDUCC. FORZADA
Por Salida        1ras 5 hs.      hs. Restantes</t>
  </si>
  <si>
    <t>REDUCC.
RESTANTE</t>
  </si>
  <si>
    <t>LONG.</t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</si>
  <si>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</si>
  <si>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</si>
  <si>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Total</t>
    </r>
  </si>
  <si>
    <t>Choele Choel - P.Madryn</t>
  </si>
  <si>
    <r>
      <t>RM</t>
    </r>
    <r>
      <rPr>
        <sz val="12"/>
        <rFont val="Times New Roman"/>
        <family val="1"/>
      </rPr>
      <t xml:space="preserve"> por Potencia Puesta a Disposición</t>
    </r>
  </si>
  <si>
    <t>Nueva P. Madryn AT1</t>
  </si>
  <si>
    <t>500/330/33</t>
  </si>
  <si>
    <t>TOTAL A PENALIZAR A TRANSENER S.A POR SUPERVISIÓN A INTESAR</t>
  </si>
  <si>
    <t>Remuneración LÍNEAS 220 kV              =</t>
  </si>
  <si>
    <t>Mercedes - Colonia Elía</t>
  </si>
  <si>
    <t>(DTE 0209)</t>
  </si>
  <si>
    <t>Rincon - Mercedes</t>
  </si>
  <si>
    <t>Mercedes</t>
  </si>
  <si>
    <t>500/132/33</t>
  </si>
  <si>
    <t>CHOELE CHOEL - B. BLANCA 2</t>
  </si>
  <si>
    <t>CHOCON - C.H. CHOCON 3</t>
  </si>
  <si>
    <t>ROSARIO OESTE - RIO CORONDA</t>
  </si>
  <si>
    <t>RIO CORONDA</t>
  </si>
  <si>
    <t>TG1 SM</t>
  </si>
  <si>
    <t>TG2 SM</t>
  </si>
  <si>
    <t>R1L5RM</t>
  </si>
  <si>
    <t>SALIDA A CHILLAR</t>
  </si>
  <si>
    <t xml:space="preserve"> F - FORZADA </t>
  </si>
  <si>
    <t>C.ELÍA - M. BELGRANO</t>
  </si>
  <si>
    <t xml:space="preserve">P - PROGRAMADA </t>
  </si>
  <si>
    <t>SALIDA CESPEDES</t>
  </si>
  <si>
    <t>Remuneración SALIDA 132 kV             =</t>
  </si>
  <si>
    <t>$/hora</t>
  </si>
  <si>
    <t>SALIDA</t>
  </si>
  <si>
    <t>DPEC 1</t>
  </si>
  <si>
    <t>DPEC 2</t>
  </si>
  <si>
    <r>
      <t>RM</t>
    </r>
    <r>
      <rPr>
        <sz val="12"/>
        <rFont val="Times New Roman"/>
        <family val="1"/>
      </rPr>
      <t xml:space="preserve"> por Conexión</t>
    </r>
  </si>
  <si>
    <t xml:space="preserve"> 2.2.6.- Transportista Independiente LIMSA</t>
  </si>
  <si>
    <t>MERCEDES</t>
  </si>
  <si>
    <t>SALIDA MERCEDES - DPEC 1</t>
  </si>
  <si>
    <t>SALIDA MERCEDES - DPEC 2</t>
  </si>
  <si>
    <t>SISTEMA DE TRANSPORTE DE ENERGÍA ELÉCTRICA EN ALTA TENSION</t>
  </si>
  <si>
    <t>INDISPONIBILIDADES FORZADAS DE LÍNEAS - TASA DE FALLA</t>
  </si>
  <si>
    <t>Correspondiente al mes de julio de 2009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</si>
  <si>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</si>
  <si>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</si>
  <si>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</si>
  <si>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</si>
  <si>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</si>
  <si>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</si>
  <si>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</si>
  <si>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SALIDA DPEC 2</t>
  </si>
  <si>
    <t>SALIDA DPEC 1</t>
  </si>
  <si>
    <t>X</t>
  </si>
  <si>
    <t>Transportista Independiente TIBA S.A. **</t>
  </si>
  <si>
    <t xml:space="preserve">Valores remuneratorios según Dec. PEN 1462/05 - Res ENRE N°328/08 </t>
  </si>
  <si>
    <t>4.9.- Transportista Independiente LIMSA</t>
  </si>
  <si>
    <t>TOTAL DE PENALIZACIONES A APLICAR</t>
  </si>
  <si>
    <t>48b</t>
  </si>
  <si>
    <t>51b</t>
  </si>
  <si>
    <t>51c</t>
  </si>
  <si>
    <t>2.1.2.- Indisponibilidad Transformador N° 4 E.T. El Chocón</t>
  </si>
  <si>
    <t>2.1.2.-</t>
  </si>
  <si>
    <t>Indisp. Transformador N° 4 E.T. El Chocón</t>
  </si>
  <si>
    <t>(*)</t>
  </si>
  <si>
    <t>(***)</t>
  </si>
  <si>
    <t>(***): Según Nota S.E. N° 2492</t>
  </si>
  <si>
    <t>(**): Valores remuneratorios según Res ENRE N°327/08</t>
  </si>
  <si>
    <t>RM: Por Capacitores ET Bahía Blanca:</t>
  </si>
  <si>
    <t>100 MVAr</t>
  </si>
  <si>
    <t>(*):</t>
  </si>
  <si>
    <t>Según Resolución ENRE N° 157/07</t>
  </si>
  <si>
    <t>FM</t>
  </si>
  <si>
    <t>Valores al 60% Remuneración - Contrato COM</t>
  </si>
  <si>
    <t>ANEXO II al Memorándum D.T.E.E. N° 256 /2011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</si>
</sst>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1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b/>
      <sz val="12"/>
      <color indexed="9"/>
      <name val="Times New Roman"/>
      <family val="0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i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2"/>
      <color indexed="48"/>
      <name val="Times New Roman"/>
      <family val="0"/>
    </font>
    <font>
      <b/>
      <sz val="10"/>
      <color indexed="34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sz val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</fills>
  <borders count="7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4" fillId="3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3" fillId="0" borderId="0" xfId="0" applyFont="1" applyAlignment="1">
      <alignment horizontal="right" vertical="top"/>
    </xf>
    <xf numFmtId="0" fontId="53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46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5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61" fillId="5" borderId="8" xfId="0" applyFont="1" applyFill="1" applyBorder="1" applyAlignment="1" applyProtection="1">
      <alignment horizontal="centerContinuous" vertical="center" wrapText="1"/>
      <protection/>
    </xf>
    <xf numFmtId="0" fontId="7" fillId="0" borderId="1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0" xfId="0" applyNumberFormat="1" applyFont="1" applyBorder="1" applyAlignment="1" applyProtection="1">
      <alignment horizontal="center"/>
      <protection locked="0"/>
    </xf>
    <xf numFmtId="4" fontId="7" fillId="6" borderId="2" xfId="0" applyNumberFormat="1" applyFont="1" applyFill="1" applyBorder="1" applyAlignment="1" applyProtection="1" quotePrefix="1">
      <alignment horizontal="center"/>
      <protection/>
    </xf>
    <xf numFmtId="164" fontId="7" fillId="6" borderId="2" xfId="0" applyNumberFormat="1" applyFont="1" applyFill="1" applyBorder="1" applyAlignment="1" applyProtection="1" quotePrefix="1">
      <alignment horizontal="center"/>
      <protection/>
    </xf>
    <xf numFmtId="168" fontId="63" fillId="5" borderId="21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5" fillId="7" borderId="14" xfId="0" applyFont="1" applyFill="1" applyBorder="1" applyAlignment="1">
      <alignment horizontal="center" vertical="center" wrapText="1"/>
    </xf>
    <xf numFmtId="0" fontId="66" fillId="8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67" fillId="7" borderId="2" xfId="0" applyNumberFormat="1" applyFont="1" applyFill="1" applyBorder="1" applyAlignment="1" applyProtection="1">
      <alignment horizontal="center"/>
      <protection/>
    </xf>
    <xf numFmtId="4" fontId="68" fillId="8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2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/>
    </xf>
    <xf numFmtId="168" fontId="37" fillId="2" borderId="21" xfId="0" applyNumberFormat="1" applyFont="1" applyFill="1" applyBorder="1" applyAlignment="1" applyProtection="1" quotePrefix="1">
      <alignment horizontal="center"/>
      <protection locked="0"/>
    </xf>
    <xf numFmtId="168" fontId="37" fillId="2" borderId="23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69" fillId="7" borderId="2" xfId="0" applyNumberFormat="1" applyFont="1" applyFill="1" applyBorder="1" applyAlignment="1" applyProtection="1">
      <alignment horizontal="center"/>
      <protection locked="0"/>
    </xf>
    <xf numFmtId="4" fontId="70" fillId="8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7" fillId="2" borderId="24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26" xfId="0" applyNumberFormat="1" applyFont="1" applyFill="1" applyBorder="1" applyAlignment="1" applyProtection="1">
      <alignment horizontal="center"/>
      <protection locked="0"/>
    </xf>
    <xf numFmtId="4" fontId="69" fillId="7" borderId="3" xfId="0" applyNumberFormat="1" applyFont="1" applyFill="1" applyBorder="1" applyAlignment="1" applyProtection="1">
      <alignment horizontal="center"/>
      <protection locked="0"/>
    </xf>
    <xf numFmtId="4" fontId="70" fillId="8" borderId="3" xfId="0" applyNumberFormat="1" applyFont="1" applyFill="1" applyBorder="1" applyAlignment="1" applyProtection="1">
      <alignment horizontal="center"/>
      <protection locked="0"/>
    </xf>
    <xf numFmtId="2" fontId="10" fillId="0" borderId="27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69" fillId="7" borderId="14" xfId="0" applyNumberFormat="1" applyFont="1" applyFill="1" applyBorder="1" applyAlignment="1" applyProtection="1">
      <alignment horizontal="center"/>
      <protection/>
    </xf>
    <xf numFmtId="2" fontId="70" fillId="8" borderId="14" xfId="0" applyNumberFormat="1" applyFont="1" applyFill="1" applyBorder="1" applyAlignment="1" applyProtection="1">
      <alignment horizontal="center"/>
      <protection/>
    </xf>
    <xf numFmtId="2" fontId="60" fillId="0" borderId="28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1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2" fillId="9" borderId="14" xfId="0" applyFont="1" applyFill="1" applyBorder="1" applyAlignment="1" applyProtection="1">
      <alignment horizontal="center" vertical="center"/>
      <protection/>
    </xf>
    <xf numFmtId="0" fontId="72" fillId="7" borderId="14" xfId="0" applyFont="1" applyFill="1" applyBorder="1" applyAlignment="1">
      <alignment horizontal="center" vertical="center" wrapText="1"/>
    </xf>
    <xf numFmtId="0" fontId="73" fillId="5" borderId="14" xfId="0" applyFont="1" applyFill="1" applyBorder="1" applyAlignment="1">
      <alignment horizontal="center" vertical="center" wrapText="1"/>
    </xf>
    <xf numFmtId="0" fontId="40" fillId="10" borderId="8" xfId="0" applyFont="1" applyFill="1" applyBorder="1" applyAlignment="1" applyProtection="1">
      <alignment horizontal="centerContinuous" vertical="center" wrapText="1"/>
      <protection/>
    </xf>
    <xf numFmtId="0" fontId="40" fillId="10" borderId="9" xfId="0" applyFont="1" applyFill="1" applyBorder="1" applyAlignment="1">
      <alignment horizontal="centerContinuous" vertical="center"/>
    </xf>
    <xf numFmtId="0" fontId="44" fillId="11" borderId="1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/>
    </xf>
    <xf numFmtId="164" fontId="7" fillId="0" borderId="29" xfId="0" applyNumberFormat="1" applyFont="1" applyFill="1" applyBorder="1" applyAlignment="1" applyProtection="1">
      <alignment horizontal="center"/>
      <protection/>
    </xf>
    <xf numFmtId="0" fontId="36" fillId="2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43" fillId="9" borderId="29" xfId="0" applyFont="1" applyFill="1" applyBorder="1" applyAlignment="1">
      <alignment horizontal="center"/>
    </xf>
    <xf numFmtId="0" fontId="74" fillId="7" borderId="29" xfId="0" applyFont="1" applyFill="1" applyBorder="1" applyAlignment="1">
      <alignment horizontal="center"/>
    </xf>
    <xf numFmtId="0" fontId="75" fillId="5" borderId="29" xfId="0" applyFont="1" applyFill="1" applyBorder="1" applyAlignment="1">
      <alignment horizontal="center"/>
    </xf>
    <xf numFmtId="0" fontId="37" fillId="2" borderId="31" xfId="0" applyFont="1" applyFill="1" applyBorder="1" applyAlignment="1">
      <alignment horizontal="center"/>
    </xf>
    <xf numFmtId="0" fontId="37" fillId="2" borderId="32" xfId="0" applyFont="1" applyFill="1" applyBorder="1" applyAlignment="1">
      <alignment horizontal="center"/>
    </xf>
    <xf numFmtId="0" fontId="76" fillId="10" borderId="33" xfId="0" applyFont="1" applyFill="1" applyBorder="1" applyAlignment="1">
      <alignment horizontal="center"/>
    </xf>
    <xf numFmtId="0" fontId="76" fillId="10" borderId="34" xfId="0" applyFont="1" applyFill="1" applyBorder="1" applyAlignment="1">
      <alignment horizontal="center"/>
    </xf>
    <xf numFmtId="0" fontId="45" fillId="11" borderId="29" xfId="0" applyFont="1" applyFill="1" applyBorder="1" applyAlignment="1">
      <alignment horizontal="center"/>
    </xf>
    <xf numFmtId="0" fontId="77" fillId="7" borderId="29" xfId="0" applyFont="1" applyFill="1" applyBorder="1" applyAlignment="1">
      <alignment horizontal="center"/>
    </xf>
    <xf numFmtId="7" fontId="10" fillId="0" borderId="30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43" fillId="9" borderId="18" xfId="0" applyFont="1" applyFill="1" applyBorder="1" applyAlignment="1">
      <alignment horizontal="center"/>
    </xf>
    <xf numFmtId="0" fontId="74" fillId="7" borderId="18" xfId="0" applyFont="1" applyFill="1" applyBorder="1" applyAlignment="1">
      <alignment horizontal="center"/>
    </xf>
    <xf numFmtId="0" fontId="75" fillId="5" borderId="18" xfId="0" applyFont="1" applyFill="1" applyBorder="1" applyAlignment="1">
      <alignment horizontal="center"/>
    </xf>
    <xf numFmtId="0" fontId="37" fillId="2" borderId="36" xfId="0" applyFont="1" applyFill="1" applyBorder="1" applyAlignment="1">
      <alignment horizontal="center"/>
    </xf>
    <xf numFmtId="0" fontId="37" fillId="2" borderId="37" xfId="0" applyFont="1" applyFill="1" applyBorder="1" applyAlignment="1">
      <alignment horizontal="center"/>
    </xf>
    <xf numFmtId="0" fontId="76" fillId="10" borderId="36" xfId="0" applyFont="1" applyFill="1" applyBorder="1" applyAlignment="1">
      <alignment horizontal="center"/>
    </xf>
    <xf numFmtId="0" fontId="76" fillId="10" borderId="37" xfId="0" applyFont="1" applyFill="1" applyBorder="1" applyAlignment="1">
      <alignment horizontal="center"/>
    </xf>
    <xf numFmtId="0" fontId="45" fillId="11" borderId="18" xfId="0" applyFont="1" applyFill="1" applyBorder="1" applyAlignment="1">
      <alignment horizontal="center"/>
    </xf>
    <xf numFmtId="0" fontId="77" fillId="7" borderId="1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7" fillId="0" borderId="22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" fontId="7" fillId="0" borderId="37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3" fillId="9" borderId="2" xfId="0" applyNumberFormat="1" applyFont="1" applyFill="1" applyBorder="1" applyAlignment="1" applyProtection="1">
      <alignment horizontal="center"/>
      <protection/>
    </xf>
    <xf numFmtId="2" fontId="74" fillId="7" borderId="2" xfId="0" applyNumberFormat="1" applyFont="1" applyFill="1" applyBorder="1" applyAlignment="1">
      <alignment horizontal="center"/>
    </xf>
    <xf numFmtId="2" fontId="75" fillId="5" borderId="2" xfId="0" applyNumberFormat="1" applyFont="1" applyFill="1" applyBorder="1" applyAlignment="1">
      <alignment horizontal="center"/>
    </xf>
    <xf numFmtId="168" fontId="37" fillId="2" borderId="36" xfId="0" applyNumberFormat="1" applyFont="1" applyFill="1" applyBorder="1" applyAlignment="1" applyProtection="1" quotePrefix="1">
      <alignment horizontal="center"/>
      <protection/>
    </xf>
    <xf numFmtId="168" fontId="37" fillId="2" borderId="37" xfId="0" applyNumberFormat="1" applyFont="1" applyFill="1" applyBorder="1" applyAlignment="1" applyProtection="1" quotePrefix="1">
      <alignment horizontal="center"/>
      <protection/>
    </xf>
    <xf numFmtId="168" fontId="76" fillId="10" borderId="36" xfId="0" applyNumberFormat="1" applyFont="1" applyFill="1" applyBorder="1" applyAlignment="1" applyProtection="1" quotePrefix="1">
      <alignment horizontal="center"/>
      <protection/>
    </xf>
    <xf numFmtId="168" fontId="76" fillId="10" borderId="37" xfId="0" applyNumberFormat="1" applyFont="1" applyFill="1" applyBorder="1" applyAlignment="1" applyProtection="1" quotePrefix="1">
      <alignment horizontal="center"/>
      <protection/>
    </xf>
    <xf numFmtId="168" fontId="45" fillId="11" borderId="2" xfId="0" applyNumberFormat="1" applyFont="1" applyFill="1" applyBorder="1" applyAlignment="1" applyProtection="1" quotePrefix="1">
      <alignment horizontal="center"/>
      <protection/>
    </xf>
    <xf numFmtId="168" fontId="77" fillId="7" borderId="18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5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38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3" fillId="9" borderId="3" xfId="0" applyNumberFormat="1" applyFont="1" applyFill="1" applyBorder="1" applyAlignment="1" applyProtection="1">
      <alignment horizontal="center"/>
      <protection/>
    </xf>
    <xf numFmtId="2" fontId="74" fillId="7" borderId="3" xfId="0" applyNumberFormat="1" applyFont="1" applyFill="1" applyBorder="1" applyAlignment="1">
      <alignment horizontal="center"/>
    </xf>
    <xf numFmtId="2" fontId="75" fillId="5" borderId="3" xfId="0" applyNumberFormat="1" applyFont="1" applyFill="1" applyBorder="1" applyAlignment="1">
      <alignment horizontal="center"/>
    </xf>
    <xf numFmtId="168" fontId="37" fillId="2" borderId="39" xfId="0" applyNumberFormat="1" applyFont="1" applyFill="1" applyBorder="1" applyAlignment="1" applyProtection="1" quotePrefix="1">
      <alignment horizontal="center"/>
      <protection/>
    </xf>
    <xf numFmtId="168" fontId="37" fillId="2" borderId="40" xfId="0" applyNumberFormat="1" applyFont="1" applyFill="1" applyBorder="1" applyAlignment="1" applyProtection="1" quotePrefix="1">
      <alignment horizontal="center"/>
      <protection/>
    </xf>
    <xf numFmtId="168" fontId="76" fillId="10" borderId="24" xfId="0" applyNumberFormat="1" applyFont="1" applyFill="1" applyBorder="1" applyAlignment="1" applyProtection="1" quotePrefix="1">
      <alignment horizontal="center"/>
      <protection/>
    </xf>
    <xf numFmtId="168" fontId="76" fillId="10" borderId="26" xfId="0" applyNumberFormat="1" applyFont="1" applyFill="1" applyBorder="1" applyAlignment="1" applyProtection="1" quotePrefix="1">
      <alignment horizontal="center"/>
      <protection/>
    </xf>
    <xf numFmtId="168" fontId="45" fillId="11" borderId="3" xfId="0" applyNumberFormat="1" applyFont="1" applyFill="1" applyBorder="1" applyAlignment="1" applyProtection="1" quotePrefix="1">
      <alignment horizontal="center"/>
      <protection/>
    </xf>
    <xf numFmtId="168" fontId="77" fillId="7" borderId="3" xfId="0" applyNumberFormat="1" applyFont="1" applyFill="1" applyBorder="1" applyAlignment="1" applyProtection="1" quotePrefix="1">
      <alignment horizontal="center"/>
      <protection/>
    </xf>
    <xf numFmtId="168" fontId="64" fillId="0" borderId="19" xfId="0" applyNumberFormat="1" applyFont="1" applyFill="1" applyBorder="1" applyAlignment="1">
      <alignment horizontal="center"/>
    </xf>
    <xf numFmtId="168" fontId="28" fillId="0" borderId="41" xfId="0" applyNumberFormat="1" applyFont="1" applyFill="1" applyBorder="1" applyAlignment="1">
      <alignment horizontal="center"/>
    </xf>
    <xf numFmtId="4" fontId="74" fillId="7" borderId="14" xfId="0" applyNumberFormat="1" applyFont="1" applyFill="1" applyBorder="1" applyAlignment="1">
      <alignment horizontal="center"/>
    </xf>
    <xf numFmtId="4" fontId="75" fillId="5" borderId="14" xfId="0" applyNumberFormat="1" applyFont="1" applyFill="1" applyBorder="1" applyAlignment="1">
      <alignment horizontal="center"/>
    </xf>
    <xf numFmtId="4" fontId="37" fillId="2" borderId="42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76" fillId="10" borderId="42" xfId="0" applyNumberFormat="1" applyFont="1" applyFill="1" applyBorder="1" applyAlignment="1">
      <alignment horizontal="center"/>
    </xf>
    <xf numFmtId="4" fontId="76" fillId="10" borderId="43" xfId="0" applyNumberFormat="1" applyFont="1" applyFill="1" applyBorder="1" applyAlignment="1">
      <alignment horizontal="center"/>
    </xf>
    <xf numFmtId="4" fontId="45" fillId="11" borderId="14" xfId="0" applyNumberFormat="1" applyFont="1" applyFill="1" applyBorder="1" applyAlignment="1">
      <alignment horizontal="center"/>
    </xf>
    <xf numFmtId="4" fontId="77" fillId="7" borderId="14" xfId="0" applyNumberFormat="1" applyFont="1" applyFill="1" applyBorder="1" applyAlignment="1">
      <alignment horizontal="center"/>
    </xf>
    <xf numFmtId="7" fontId="78" fillId="0" borderId="14" xfId="0" applyNumberFormat="1" applyFont="1" applyFill="1" applyBorder="1" applyAlignment="1">
      <alignment horizontal="right"/>
    </xf>
    <xf numFmtId="0" fontId="36" fillId="2" borderId="44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0" borderId="14" xfId="0" applyFont="1" applyFill="1" applyBorder="1" applyAlignment="1">
      <alignment horizontal="center" vertical="center" wrapText="1"/>
    </xf>
    <xf numFmtId="0" fontId="61" fillId="5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3" fillId="4" borderId="17" xfId="0" applyFont="1" applyFill="1" applyBorder="1" applyAlignment="1" applyProtection="1">
      <alignment horizontal="center"/>
      <protection/>
    </xf>
    <xf numFmtId="0" fontId="76" fillId="10" borderId="17" xfId="0" applyFont="1" applyFill="1" applyBorder="1" applyAlignment="1" applyProtection="1">
      <alignment horizontal="center"/>
      <protection/>
    </xf>
    <xf numFmtId="168" fontId="63" fillId="5" borderId="31" xfId="0" applyNumberFormat="1" applyFont="1" applyFill="1" applyBorder="1" applyAlignment="1" applyProtection="1" quotePrefix="1">
      <alignment horizontal="center"/>
      <protection/>
    </xf>
    <xf numFmtId="168" fontId="63" fillId="5" borderId="32" xfId="0" applyNumberFormat="1" applyFont="1" applyFill="1" applyBorder="1" applyAlignment="1" applyProtection="1" quotePrefix="1">
      <alignment horizontal="center"/>
      <protection/>
    </xf>
    <xf numFmtId="168" fontId="46" fillId="3" borderId="17" xfId="0" applyNumberFormat="1" applyFont="1" applyFill="1" applyBorder="1" applyAlignment="1" applyProtection="1" quotePrefix="1">
      <alignment horizontal="center"/>
      <protection/>
    </xf>
    <xf numFmtId="7" fontId="79" fillId="0" borderId="2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36" fillId="2" borderId="20" xfId="0" applyFont="1" applyFill="1" applyBorder="1" applyAlignment="1" applyProtection="1">
      <alignment horizontal="center"/>
      <protection/>
    </xf>
    <xf numFmtId="0" fontId="43" fillId="4" borderId="2" xfId="0" applyFont="1" applyFill="1" applyBorder="1" applyAlignment="1" applyProtection="1">
      <alignment horizontal="center"/>
      <protection/>
    </xf>
    <xf numFmtId="0" fontId="76" fillId="10" borderId="2" xfId="0" applyFont="1" applyFill="1" applyBorder="1" applyAlignment="1" applyProtection="1">
      <alignment horizontal="center"/>
      <protection/>
    </xf>
    <xf numFmtId="168" fontId="63" fillId="5" borderId="45" xfId="0" applyNumberFormat="1" applyFont="1" applyFill="1" applyBorder="1" applyAlignment="1" applyProtection="1" quotePrefix="1">
      <alignment horizontal="center"/>
      <protection/>
    </xf>
    <xf numFmtId="168" fontId="46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4" fontId="29" fillId="0" borderId="2" xfId="0" applyNumberFormat="1" applyFont="1" applyFill="1" applyBorder="1" applyAlignment="1">
      <alignment horizontal="right"/>
    </xf>
    <xf numFmtId="168" fontId="7" fillId="0" borderId="19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/>
    </xf>
    <xf numFmtId="164" fontId="43" fillId="4" borderId="3" xfId="0" applyNumberFormat="1" applyFont="1" applyFill="1" applyBorder="1" applyAlignment="1" applyProtection="1">
      <alignment horizontal="center"/>
      <protection locked="0"/>
    </xf>
    <xf numFmtId="2" fontId="76" fillId="10" borderId="3" xfId="0" applyNumberFormat="1" applyFont="1" applyFill="1" applyBorder="1" applyAlignment="1" applyProtection="1">
      <alignment horizontal="center"/>
      <protection locked="0"/>
    </xf>
    <xf numFmtId="168" fontId="63" fillId="5" borderId="24" xfId="0" applyNumberFormat="1" applyFont="1" applyFill="1" applyBorder="1" applyAlignment="1" applyProtection="1" quotePrefix="1">
      <alignment horizontal="center"/>
      <protection locked="0"/>
    </xf>
    <xf numFmtId="168" fontId="63" fillId="5" borderId="26" xfId="0" applyNumberFormat="1" applyFont="1" applyFill="1" applyBorder="1" applyAlignment="1" applyProtection="1" quotePrefix="1">
      <alignment horizontal="center"/>
      <protection locked="0"/>
    </xf>
    <xf numFmtId="7" fontId="28" fillId="0" borderId="27" xfId="0" applyNumberFormat="1" applyFont="1" applyFill="1" applyBorder="1" applyAlignment="1">
      <alignment horizontal="right"/>
    </xf>
    <xf numFmtId="4" fontId="76" fillId="10" borderId="14" xfId="0" applyNumberFormat="1" applyFont="1" applyFill="1" applyBorder="1" applyAlignment="1">
      <alignment horizontal="center"/>
    </xf>
    <xf numFmtId="4" fontId="63" fillId="5" borderId="42" xfId="0" applyNumberFormat="1" applyFont="1" applyFill="1" applyBorder="1" applyAlignment="1">
      <alignment horizontal="center"/>
    </xf>
    <xf numFmtId="4" fontId="63" fillId="5" borderId="43" xfId="0" applyNumberFormat="1" applyFont="1" applyFill="1" applyBorder="1" applyAlignment="1">
      <alignment horizontal="center"/>
    </xf>
    <xf numFmtId="4" fontId="46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7" fillId="7" borderId="14" xfId="0" applyFont="1" applyFill="1" applyBorder="1" applyAlignment="1">
      <alignment horizontal="center" vertical="center" wrapText="1"/>
    </xf>
    <xf numFmtId="0" fontId="44" fillId="12" borderId="8" xfId="0" applyFont="1" applyFill="1" applyBorder="1" applyAlignment="1" applyProtection="1">
      <alignment horizontal="centerContinuous" vertical="center" wrapText="1"/>
      <protection/>
    </xf>
    <xf numFmtId="0" fontId="44" fillId="12" borderId="9" xfId="0" applyFont="1" applyFill="1" applyBorder="1" applyAlignment="1">
      <alignment horizontal="centerContinuous" vertical="center"/>
    </xf>
    <xf numFmtId="0" fontId="48" fillId="5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0" fillId="7" borderId="29" xfId="0" applyFont="1" applyFill="1" applyBorder="1" applyAlignment="1">
      <alignment horizontal="center"/>
    </xf>
    <xf numFmtId="0" fontId="45" fillId="12" borderId="31" xfId="0" applyFont="1" applyFill="1" applyBorder="1" applyAlignment="1">
      <alignment horizontal="center"/>
    </xf>
    <xf numFmtId="0" fontId="45" fillId="12" borderId="32" xfId="0" applyFont="1" applyFill="1" applyBorder="1" applyAlignment="1">
      <alignment horizontal="center"/>
    </xf>
    <xf numFmtId="0" fontId="49" fillId="5" borderId="29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7" fontId="29" fillId="0" borderId="29" xfId="0" applyNumberFormat="1" applyFont="1" applyFill="1" applyBorder="1" applyAlignment="1">
      <alignment horizontal="center"/>
    </xf>
    <xf numFmtId="0" fontId="12" fillId="0" borderId="22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168" fontId="36" fillId="2" borderId="18" xfId="0" applyNumberFormat="1" applyFont="1" applyFill="1" applyBorder="1" applyAlignment="1" applyProtection="1">
      <alignment horizontal="center"/>
      <protection/>
    </xf>
    <xf numFmtId="22" fontId="7" fillId="0" borderId="36" xfId="0" applyNumberFormat="1" applyFont="1" applyBorder="1" applyAlignment="1">
      <alignment horizontal="center"/>
    </xf>
    <xf numFmtId="22" fontId="7" fillId="0" borderId="48" xfId="0" applyNumberFormat="1" applyFont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 quotePrefix="1">
      <alignment horizontal="center"/>
      <protection/>
    </xf>
    <xf numFmtId="164" fontId="7" fillId="0" borderId="18" xfId="0" applyNumberFormat="1" applyFont="1" applyFill="1" applyBorder="1" applyAlignment="1" applyProtection="1" quotePrefix="1">
      <alignment horizontal="center"/>
      <protection/>
    </xf>
    <xf numFmtId="168" fontId="7" fillId="0" borderId="35" xfId="0" applyNumberFormat="1" applyFont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"/>
      <protection/>
    </xf>
    <xf numFmtId="164" fontId="36" fillId="2" borderId="22" xfId="0" applyNumberFormat="1" applyFont="1" applyFill="1" applyBorder="1" applyAlignment="1" applyProtection="1">
      <alignment horizontal="center"/>
      <protection/>
    </xf>
    <xf numFmtId="2" fontId="80" fillId="7" borderId="18" xfId="0" applyNumberFormat="1" applyFont="1" applyFill="1" applyBorder="1" applyAlignment="1">
      <alignment horizontal="center"/>
    </xf>
    <xf numFmtId="168" fontId="45" fillId="12" borderId="36" xfId="0" applyNumberFormat="1" applyFont="1" applyFill="1" applyBorder="1" applyAlignment="1" applyProtection="1" quotePrefix="1">
      <alignment horizontal="center"/>
      <protection/>
    </xf>
    <xf numFmtId="168" fontId="45" fillId="12" borderId="37" xfId="0" applyNumberFormat="1" applyFont="1" applyFill="1" applyBorder="1" applyAlignment="1" applyProtection="1" quotePrefix="1">
      <alignment horizontal="center"/>
      <protection/>
    </xf>
    <xf numFmtId="168" fontId="49" fillId="5" borderId="18" xfId="0" applyNumberFormat="1" applyFont="1" applyFill="1" applyBorder="1" applyAlignment="1" applyProtection="1" quotePrefix="1">
      <alignment horizontal="center"/>
      <protection/>
    </xf>
    <xf numFmtId="168" fontId="29" fillId="0" borderId="18" xfId="0" applyNumberFormat="1" applyFont="1" applyFill="1" applyBorder="1" applyAlignment="1">
      <alignment horizontal="center"/>
    </xf>
    <xf numFmtId="0" fontId="12" fillId="0" borderId="49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2" fontId="7" fillId="0" borderId="50" xfId="0" applyNumberFormat="1" applyFont="1" applyFill="1" applyBorder="1" applyAlignment="1" applyProtection="1" quotePrefix="1">
      <alignment horizontal="center"/>
      <protection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51" xfId="0" applyNumberFormat="1" applyFont="1" applyFill="1" applyBorder="1" applyAlignment="1" applyProtection="1">
      <alignment horizontal="center"/>
      <protection locked="0"/>
    </xf>
    <xf numFmtId="2" fontId="80" fillId="7" borderId="3" xfId="0" applyNumberFormat="1" applyFont="1" applyFill="1" applyBorder="1" applyAlignment="1" applyProtection="1">
      <alignment horizontal="center"/>
      <protection locked="0"/>
    </xf>
    <xf numFmtId="168" fontId="45" fillId="12" borderId="39" xfId="0" applyNumberFormat="1" applyFont="1" applyFill="1" applyBorder="1" applyAlignment="1" applyProtection="1" quotePrefix="1">
      <alignment horizontal="center"/>
      <protection locked="0"/>
    </xf>
    <xf numFmtId="168" fontId="45" fillId="12" borderId="40" xfId="0" applyNumberFormat="1" applyFont="1" applyFill="1" applyBorder="1" applyAlignment="1" applyProtection="1" quotePrefix="1">
      <alignment horizontal="center"/>
      <protection locked="0"/>
    </xf>
    <xf numFmtId="168" fontId="49" fillId="5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27" xfId="0" applyNumberFormat="1" applyFont="1" applyFill="1" applyBorder="1" applyAlignment="1">
      <alignment horizontal="center"/>
    </xf>
    <xf numFmtId="4" fontId="80" fillId="7" borderId="14" xfId="0" applyNumberFormat="1" applyFont="1" applyFill="1" applyBorder="1" applyAlignment="1">
      <alignment horizontal="center"/>
    </xf>
    <xf numFmtId="4" fontId="45" fillId="12" borderId="42" xfId="0" applyNumberFormat="1" applyFont="1" applyFill="1" applyBorder="1" applyAlignment="1">
      <alignment horizontal="center"/>
    </xf>
    <xf numFmtId="4" fontId="45" fillId="12" borderId="9" xfId="0" applyNumberFormat="1" applyFont="1" applyFill="1" applyBorder="1" applyAlignment="1">
      <alignment horizontal="center"/>
    </xf>
    <xf numFmtId="4" fontId="49" fillId="5" borderId="14" xfId="0" applyNumberFormat="1" applyFont="1" applyFill="1" applyBorder="1" applyAlignment="1">
      <alignment horizontal="center"/>
    </xf>
    <xf numFmtId="0" fontId="7" fillId="0" borderId="52" xfId="0" applyFont="1" applyBorder="1" applyAlignment="1">
      <alignment/>
    </xf>
    <xf numFmtId="168" fontId="7" fillId="0" borderId="48" xfId="0" applyNumberFormat="1" applyFont="1" applyBorder="1" applyAlignment="1" applyProtection="1">
      <alignment horizontal="center"/>
      <protection/>
    </xf>
    <xf numFmtId="0" fontId="81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0" fontId="84" fillId="0" borderId="0" xfId="0" applyFont="1" applyFill="1" applyAlignment="1">
      <alignment/>
    </xf>
    <xf numFmtId="0" fontId="85" fillId="0" borderId="0" xfId="0" applyFont="1" applyAlignment="1">
      <alignment horizontal="centerContinuous"/>
    </xf>
    <xf numFmtId="0" fontId="84" fillId="0" borderId="0" xfId="0" applyFont="1" applyAlignment="1">
      <alignment horizontal="centerContinuous"/>
    </xf>
    <xf numFmtId="0" fontId="84" fillId="0" borderId="0" xfId="0" applyFont="1" applyAlignment="1">
      <alignment/>
    </xf>
    <xf numFmtId="0" fontId="86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87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164" fontId="89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42" fillId="13" borderId="14" xfId="0" applyFont="1" applyFill="1" applyBorder="1" applyAlignment="1">
      <alignment horizontal="center" vertical="center" wrapText="1"/>
    </xf>
    <xf numFmtId="0" fontId="42" fillId="14" borderId="8" xfId="0" applyFont="1" applyFill="1" applyBorder="1" applyAlignment="1" applyProtection="1">
      <alignment horizontal="centerContinuous" vertical="center" wrapText="1"/>
      <protection/>
    </xf>
    <xf numFmtId="0" fontId="42" fillId="14" borderId="9" xfId="0" applyFont="1" applyFill="1" applyBorder="1" applyAlignment="1">
      <alignment horizontal="centerContinuous" vertical="center"/>
    </xf>
    <xf numFmtId="0" fontId="42" fillId="3" borderId="14" xfId="0" applyFont="1" applyFill="1" applyBorder="1" applyAlignment="1">
      <alignment horizontal="centerContinuous"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91" fillId="2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3" fillId="13" borderId="17" xfId="0" applyFont="1" applyFill="1" applyBorder="1" applyAlignment="1">
      <alignment horizontal="center"/>
    </xf>
    <xf numFmtId="0" fontId="43" fillId="14" borderId="31" xfId="0" applyFont="1" applyFill="1" applyBorder="1" applyAlignment="1">
      <alignment horizontal="center"/>
    </xf>
    <xf numFmtId="0" fontId="43" fillId="14" borderId="32" xfId="0" applyFont="1" applyFill="1" applyBorder="1" applyAlignment="1">
      <alignment horizontal="left"/>
    </xf>
    <xf numFmtId="0" fontId="43" fillId="3" borderId="17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1" fontId="7" fillId="0" borderId="37" xfId="0" applyNumberFormat="1" applyFont="1" applyBorder="1" applyAlignment="1" applyProtection="1" quotePrefix="1">
      <alignment horizontal="center"/>
      <protection/>
    </xf>
    <xf numFmtId="168" fontId="91" fillId="2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4" fontId="36" fillId="2" borderId="2" xfId="0" applyNumberFormat="1" applyFont="1" applyFill="1" applyBorder="1" applyAlignment="1" applyProtection="1">
      <alignment horizontal="center"/>
      <protection/>
    </xf>
    <xf numFmtId="2" fontId="46" fillId="13" borderId="2" xfId="0" applyNumberFormat="1" applyFont="1" applyFill="1" applyBorder="1" applyAlignment="1">
      <alignment horizontal="center"/>
    </xf>
    <xf numFmtId="168" fontId="46" fillId="14" borderId="36" xfId="0" applyNumberFormat="1" applyFont="1" applyFill="1" applyBorder="1" applyAlignment="1" applyProtection="1" quotePrefix="1">
      <alignment horizontal="center"/>
      <protection/>
    </xf>
    <xf numFmtId="168" fontId="46" fillId="14" borderId="37" xfId="0" applyNumberFormat="1" applyFont="1" applyFill="1" applyBorder="1" applyAlignment="1" applyProtection="1" quotePrefix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38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164" fontId="7" fillId="0" borderId="38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 quotePrefix="1">
      <alignment horizontal="center"/>
      <protection/>
    </xf>
    <xf numFmtId="168" fontId="91" fillId="2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4" fontId="36" fillId="2" borderId="3" xfId="0" applyNumberFormat="1" applyFont="1" applyFill="1" applyBorder="1" applyAlignment="1" applyProtection="1">
      <alignment horizontal="center"/>
      <protection/>
    </xf>
    <xf numFmtId="2" fontId="43" fillId="13" borderId="3" xfId="0" applyNumberFormat="1" applyFont="1" applyFill="1" applyBorder="1" applyAlignment="1">
      <alignment horizontal="center"/>
    </xf>
    <xf numFmtId="168" fontId="43" fillId="14" borderId="39" xfId="0" applyNumberFormat="1" applyFont="1" applyFill="1" applyBorder="1" applyAlignment="1" applyProtection="1" quotePrefix="1">
      <alignment horizontal="center"/>
      <protection/>
    </xf>
    <xf numFmtId="168" fontId="43" fillId="14" borderId="40" xfId="0" applyNumberFormat="1" applyFont="1" applyFill="1" applyBorder="1" applyAlignment="1" applyProtection="1" quotePrefix="1">
      <alignment horizontal="center"/>
      <protection/>
    </xf>
    <xf numFmtId="168" fontId="43" fillId="3" borderId="3" xfId="0" applyNumberFormat="1" applyFont="1" applyFill="1" applyBorder="1" applyAlignment="1" applyProtection="1" quotePrefix="1">
      <alignment horizontal="center"/>
      <protection/>
    </xf>
    <xf numFmtId="168" fontId="7" fillId="0" borderId="19" xfId="0" applyNumberFormat="1" applyFont="1" applyFill="1" applyBorder="1" applyAlignment="1">
      <alignment horizontal="center"/>
    </xf>
    <xf numFmtId="4" fontId="29" fillId="0" borderId="19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0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2" fontId="52" fillId="0" borderId="0" xfId="0" applyNumberFormat="1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165" fontId="52" fillId="0" borderId="0" xfId="0" applyNumberFormat="1" applyFont="1" applyBorder="1" applyAlignment="1" applyProtection="1">
      <alignment horizontal="center"/>
      <protection/>
    </xf>
    <xf numFmtId="173" fontId="52" fillId="0" borderId="0" xfId="0" applyNumberFormat="1" applyFont="1" applyBorder="1" applyAlignment="1" applyProtection="1" quotePrefix="1">
      <alignment horizontal="center"/>
      <protection/>
    </xf>
    <xf numFmtId="0" fontId="52" fillId="0" borderId="0" xfId="0" applyFont="1" applyAlignment="1">
      <alignment/>
    </xf>
    <xf numFmtId="2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9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93" fillId="0" borderId="0" xfId="0" applyNumberFormat="1" applyFont="1" applyBorder="1" applyAlignment="1" applyProtection="1">
      <alignment horizontal="center"/>
      <protection/>
    </xf>
    <xf numFmtId="168" fontId="89" fillId="0" borderId="0" xfId="0" applyNumberFormat="1" applyFont="1" applyBorder="1" applyAlignment="1" applyProtection="1" quotePrefix="1">
      <alignment horizontal="center"/>
      <protection/>
    </xf>
    <xf numFmtId="4" fontId="89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2" fillId="0" borderId="0" xfId="0" applyNumberFormat="1" applyFont="1" applyBorder="1" applyAlignment="1" applyProtection="1">
      <alignment horizontal="centerContinuous"/>
      <protection/>
    </xf>
    <xf numFmtId="168" fontId="52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81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94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2" fontId="95" fillId="0" borderId="0" xfId="0" applyNumberFormat="1" applyFont="1" applyBorder="1" applyAlignment="1" applyProtection="1">
      <alignment horizontal="center" vertical="center"/>
      <protection/>
    </xf>
    <xf numFmtId="168" fontId="96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52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0" fontId="53" fillId="0" borderId="0" xfId="0" applyFont="1" applyAlignment="1">
      <alignment horizontal="right" vertical="top"/>
    </xf>
    <xf numFmtId="1" fontId="0" fillId="0" borderId="54" xfId="0" applyNumberFormat="1" applyBorder="1" applyAlignment="1">
      <alignment horizontal="center"/>
    </xf>
    <xf numFmtId="0" fontId="10" fillId="0" borderId="55" xfId="0" applyFont="1" applyBorder="1" applyAlignment="1">
      <alignment horizontal="centerContinuous"/>
    </xf>
    <xf numFmtId="0" fontId="10" fillId="0" borderId="56" xfId="0" applyFont="1" applyBorder="1" applyAlignment="1">
      <alignment horizontal="centerContinuous"/>
    </xf>
    <xf numFmtId="174" fontId="10" fillId="0" borderId="57" xfId="0" applyNumberFormat="1" applyFont="1" applyBorder="1" applyAlignment="1">
      <alignment horizontal="center"/>
    </xf>
    <xf numFmtId="1" fontId="10" fillId="0" borderId="57" xfId="0" applyNumberFormat="1" applyFont="1" applyBorder="1" applyAlignment="1">
      <alignment horizontal="center"/>
    </xf>
    <xf numFmtId="0" fontId="10" fillId="0" borderId="58" xfId="0" applyFont="1" applyBorder="1" applyAlignment="1">
      <alignment horizontal="centerContinuous"/>
    </xf>
    <xf numFmtId="0" fontId="10" fillId="0" borderId="59" xfId="0" applyFont="1" applyBorder="1" applyAlignment="1">
      <alignment horizontal="centerContinuous"/>
    </xf>
    <xf numFmtId="174" fontId="10" fillId="0" borderId="60" xfId="0" applyNumberFormat="1" applyFont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0" fontId="10" fillId="0" borderId="61" xfId="0" applyFont="1" applyBorder="1" applyAlignment="1">
      <alignment horizontal="centerContinuous"/>
    </xf>
    <xf numFmtId="0" fontId="10" fillId="0" borderId="62" xfId="0" applyFont="1" applyBorder="1" applyAlignment="1">
      <alignment horizontal="centerContinuous"/>
    </xf>
    <xf numFmtId="174" fontId="10" fillId="0" borderId="63" xfId="0" applyNumberFormat="1" applyFont="1" applyFill="1" applyBorder="1" applyAlignment="1">
      <alignment horizontal="center"/>
    </xf>
    <xf numFmtId="1" fontId="10" fillId="0" borderId="63" xfId="0" applyNumberFormat="1" applyFont="1" applyFill="1" applyBorder="1" applyAlignment="1">
      <alignment horizontal="center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88" fillId="0" borderId="51" xfId="0" applyNumberFormat="1" applyFont="1" applyFill="1" applyBorder="1" applyAlignment="1" applyProtection="1">
      <alignment horizontal="center"/>
      <protection/>
    </xf>
    <xf numFmtId="2" fontId="78" fillId="0" borderId="51" xfId="0" applyNumberFormat="1" applyFont="1" applyFill="1" applyBorder="1" applyAlignment="1" applyProtection="1">
      <alignment horizontal="center"/>
      <protection/>
    </xf>
    <xf numFmtId="2" fontId="90" fillId="0" borderId="51" xfId="0" applyNumberFormat="1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64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21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43" fillId="4" borderId="2" xfId="0" applyNumberFormat="1" applyFont="1" applyFill="1" applyBorder="1" applyAlignment="1" applyProtection="1">
      <alignment horizontal="center"/>
      <protection/>
    </xf>
    <xf numFmtId="2" fontId="76" fillId="10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12" fillId="0" borderId="65" xfId="0" applyFont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 quotePrefix="1">
      <alignment horizontal="center"/>
      <protection/>
    </xf>
    <xf numFmtId="168" fontId="36" fillId="2" borderId="38" xfId="0" applyNumberFormat="1" applyFont="1" applyFill="1" applyBorder="1" applyAlignment="1" applyProtection="1">
      <alignment horizontal="center"/>
      <protection/>
    </xf>
    <xf numFmtId="22" fontId="7" fillId="0" borderId="39" xfId="0" applyNumberFormat="1" applyFont="1" applyBorder="1" applyAlignment="1">
      <alignment horizontal="center"/>
    </xf>
    <xf numFmtId="22" fontId="7" fillId="0" borderId="38" xfId="0" applyNumberFormat="1" applyFont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 quotePrefix="1">
      <alignment horizontal="center"/>
      <protection/>
    </xf>
    <xf numFmtId="164" fontId="7" fillId="0" borderId="38" xfId="0" applyNumberFormat="1" applyFont="1" applyFill="1" applyBorder="1" applyAlignment="1" applyProtection="1" quotePrefix="1">
      <alignment horizontal="center"/>
      <protection/>
    </xf>
    <xf numFmtId="168" fontId="7" fillId="0" borderId="66" xfId="0" applyNumberFormat="1" applyFont="1" applyBorder="1" applyAlignment="1" applyProtection="1">
      <alignment horizontal="center"/>
      <protection/>
    </xf>
    <xf numFmtId="168" fontId="7" fillId="0" borderId="65" xfId="0" applyNumberFormat="1" applyFont="1" applyBorder="1" applyAlignment="1" applyProtection="1">
      <alignment horizontal="center"/>
      <protection/>
    </xf>
    <xf numFmtId="164" fontId="43" fillId="4" borderId="38" xfId="0" applyNumberFormat="1" applyFont="1" applyFill="1" applyBorder="1" applyAlignment="1" applyProtection="1">
      <alignment horizontal="center"/>
      <protection/>
    </xf>
    <xf numFmtId="2" fontId="76" fillId="10" borderId="38" xfId="0" applyNumberFormat="1" applyFont="1" applyFill="1" applyBorder="1" applyAlignment="1">
      <alignment horizontal="center"/>
    </xf>
    <xf numFmtId="168" fontId="63" fillId="5" borderId="39" xfId="0" applyNumberFormat="1" applyFont="1" applyFill="1" applyBorder="1" applyAlignment="1" applyProtection="1" quotePrefix="1">
      <alignment horizontal="center"/>
      <protection/>
    </xf>
    <xf numFmtId="168" fontId="63" fillId="5" borderId="40" xfId="0" applyNumberFormat="1" applyFont="1" applyFill="1" applyBorder="1" applyAlignment="1" applyProtection="1" quotePrefix="1">
      <alignment horizontal="center"/>
      <protection/>
    </xf>
    <xf numFmtId="168" fontId="46" fillId="3" borderId="38" xfId="0" applyNumberFormat="1" applyFont="1" applyFill="1" applyBorder="1" applyAlignment="1" applyProtection="1" quotePrefix="1">
      <alignment horizontal="center"/>
      <protection/>
    </xf>
    <xf numFmtId="168" fontId="7" fillId="0" borderId="38" xfId="0" applyNumberFormat="1" applyFont="1" applyBorder="1" applyAlignment="1">
      <alignment horizontal="center"/>
    </xf>
    <xf numFmtId="4" fontId="29" fillId="0" borderId="38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2" fillId="15" borderId="14" xfId="0" applyNumberFormat="1" applyFont="1" applyFill="1" applyBorder="1" applyAlignment="1" applyProtection="1">
      <alignment horizontal="center" vertical="center"/>
      <protection/>
    </xf>
    <xf numFmtId="0" fontId="58" fillId="4" borderId="14" xfId="0" applyFont="1" applyFill="1" applyBorder="1" applyAlignment="1" applyProtection="1">
      <alignment horizontal="center" vertical="center"/>
      <protection/>
    </xf>
    <xf numFmtId="0" fontId="61" fillId="5" borderId="14" xfId="0" applyFont="1" applyFill="1" applyBorder="1" applyAlignment="1">
      <alignment horizontal="center" vertical="center" wrapText="1"/>
    </xf>
    <xf numFmtId="0" fontId="48" fillId="16" borderId="8" xfId="0" applyFont="1" applyFill="1" applyBorder="1" applyAlignment="1">
      <alignment horizontal="centerContinuous" vertical="center" wrapText="1"/>
    </xf>
    <xf numFmtId="0" fontId="97" fillId="16" borderId="15" xfId="0" applyFont="1" applyFill="1" applyBorder="1" applyAlignment="1">
      <alignment horizontal="centerContinuous"/>
    </xf>
    <xf numFmtId="0" fontId="48" fillId="16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83" fillId="15" borderId="2" xfId="0" applyFont="1" applyFill="1" applyBorder="1" applyAlignment="1">
      <alignment/>
    </xf>
    <xf numFmtId="0" fontId="59" fillId="4" borderId="2" xfId="0" applyFont="1" applyFill="1" applyBorder="1" applyAlignment="1">
      <alignment/>
    </xf>
    <xf numFmtId="0" fontId="98" fillId="3" borderId="2" xfId="0" applyFont="1" applyFill="1" applyBorder="1" applyAlignment="1">
      <alignment/>
    </xf>
    <xf numFmtId="0" fontId="62" fillId="5" borderId="4" xfId="0" applyFont="1" applyFill="1" applyBorder="1" applyAlignment="1">
      <alignment/>
    </xf>
    <xf numFmtId="168" fontId="9" fillId="2" borderId="21" xfId="0" applyNumberFormat="1" applyFont="1" applyFill="1" applyBorder="1" applyAlignment="1" applyProtection="1" quotePrefix="1">
      <alignment horizontal="center"/>
      <protection/>
    </xf>
    <xf numFmtId="168" fontId="9" fillId="2" borderId="23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99" fillId="16" borderId="21" xfId="0" applyNumberFormat="1" applyFont="1" applyFill="1" applyBorder="1" applyAlignment="1" applyProtection="1" quotePrefix="1">
      <alignment horizontal="center"/>
      <protection/>
    </xf>
    <xf numFmtId="168" fontId="99" fillId="16" borderId="23" xfId="0" applyNumberFormat="1" applyFont="1" applyFill="1" applyBorder="1" applyAlignment="1" applyProtection="1" quotePrefix="1">
      <alignment horizontal="center"/>
      <protection/>
    </xf>
    <xf numFmtId="4" fontId="99" fillId="16" borderId="4" xfId="0" applyNumberFormat="1" applyFont="1" applyFill="1" applyBorder="1" applyAlignment="1" applyProtection="1">
      <alignment horizontal="center"/>
      <protection/>
    </xf>
    <xf numFmtId="0" fontId="83" fillId="15" borderId="2" xfId="0" applyFont="1" applyFill="1" applyBorder="1" applyAlignment="1" applyProtection="1">
      <alignment horizontal="center"/>
      <protection/>
    </xf>
    <xf numFmtId="174" fontId="59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2" xfId="0" applyNumberFormat="1" applyFont="1" applyFill="1" applyBorder="1" applyAlignment="1" applyProtection="1">
      <alignment horizontal="center"/>
      <protection locked="0"/>
    </xf>
    <xf numFmtId="2" fontId="45" fillId="3" borderId="2" xfId="0" applyNumberFormat="1" applyFont="1" applyFill="1" applyBorder="1" applyAlignment="1" applyProtection="1">
      <alignment horizontal="center"/>
      <protection locked="0"/>
    </xf>
    <xf numFmtId="2" fontId="63" fillId="5" borderId="4" xfId="0" applyNumberFormat="1" applyFont="1" applyFill="1" applyBorder="1" applyAlignment="1" applyProtection="1">
      <alignment horizontal="center"/>
      <protection locked="0"/>
    </xf>
    <xf numFmtId="168" fontId="49" fillId="16" borderId="21" xfId="0" applyNumberFormat="1" applyFont="1" applyFill="1" applyBorder="1" applyAlignment="1" applyProtection="1" quotePrefix="1">
      <alignment horizontal="center"/>
      <protection locked="0"/>
    </xf>
    <xf numFmtId="168" fontId="49" fillId="16" borderId="23" xfId="0" applyNumberFormat="1" applyFont="1" applyFill="1" applyBorder="1" applyAlignment="1" applyProtection="1" quotePrefix="1">
      <alignment horizontal="center"/>
      <protection locked="0"/>
    </xf>
    <xf numFmtId="4" fontId="49" fillId="16" borderId="4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4" applyFont="1" applyFill="1" applyBorder="1" applyAlignment="1" applyProtection="1">
      <alignment horizontal="center"/>
      <protection locked="0"/>
    </xf>
    <xf numFmtId="164" fontId="7" fillId="0" borderId="2" xfId="24" applyNumberFormat="1" applyFont="1" applyFill="1" applyBorder="1" applyAlignment="1" applyProtection="1">
      <alignment horizontal="center"/>
      <protection locked="0"/>
    </xf>
    <xf numFmtId="22" fontId="7" fillId="0" borderId="4" xfId="24" applyNumberFormat="1" applyFont="1" applyFill="1" applyBorder="1" applyAlignment="1" applyProtection="1">
      <alignment horizontal="center"/>
      <protection locked="0"/>
    </xf>
    <xf numFmtId="22" fontId="7" fillId="0" borderId="20" xfId="24" applyNumberFormat="1" applyFont="1" applyFill="1" applyBorder="1" applyAlignment="1" applyProtection="1">
      <alignment horizontal="center"/>
      <protection locked="0"/>
    </xf>
    <xf numFmtId="0" fontId="83" fillId="15" borderId="3" xfId="0" applyFont="1" applyFill="1" applyBorder="1" applyAlignment="1" applyProtection="1">
      <alignment horizontal="center"/>
      <protection/>
    </xf>
    <xf numFmtId="174" fontId="59" fillId="4" borderId="3" xfId="0" applyNumberFormat="1" applyFont="1" applyFill="1" applyBorder="1" applyAlignment="1" applyProtection="1">
      <alignment horizontal="center"/>
      <protection/>
    </xf>
    <xf numFmtId="2" fontId="98" fillId="3" borderId="3" xfId="0" applyNumberFormat="1" applyFont="1" applyFill="1" applyBorder="1" applyAlignment="1" applyProtection="1">
      <alignment horizontal="center"/>
      <protection locked="0"/>
    </xf>
    <xf numFmtId="2" fontId="63" fillId="5" borderId="3" xfId="0" applyNumberFormat="1" applyFont="1" applyFill="1" applyBorder="1" applyAlignment="1" applyProtection="1">
      <alignment horizontal="center"/>
      <protection locked="0"/>
    </xf>
    <xf numFmtId="168" fontId="49" fillId="16" borderId="24" xfId="0" applyNumberFormat="1" applyFont="1" applyFill="1" applyBorder="1" applyAlignment="1" applyProtection="1" quotePrefix="1">
      <alignment horizontal="center"/>
      <protection locked="0"/>
    </xf>
    <xf numFmtId="168" fontId="49" fillId="16" borderId="25" xfId="0" applyNumberFormat="1" applyFont="1" applyFill="1" applyBorder="1" applyAlignment="1" applyProtection="1" quotePrefix="1">
      <alignment horizontal="center"/>
      <protection locked="0"/>
    </xf>
    <xf numFmtId="4" fontId="49" fillId="16" borderId="26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5" fillId="3" borderId="14" xfId="0" applyNumberFormat="1" applyFont="1" applyFill="1" applyBorder="1" applyAlignment="1" applyProtection="1">
      <alignment horizontal="center"/>
      <protection/>
    </xf>
    <xf numFmtId="2" fontId="63" fillId="5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49" fillId="16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3" fillId="0" borderId="17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98" fillId="0" borderId="17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99" fillId="0" borderId="31" xfId="0" applyFont="1" applyFill="1" applyBorder="1" applyAlignment="1">
      <alignment/>
    </xf>
    <xf numFmtId="0" fontId="99" fillId="0" borderId="67" xfId="0" applyFont="1" applyFill="1" applyBorder="1" applyAlignment="1">
      <alignment/>
    </xf>
    <xf numFmtId="0" fontId="99" fillId="0" borderId="32" xfId="0" applyFont="1" applyFill="1" applyBorder="1" applyAlignment="1">
      <alignment/>
    </xf>
    <xf numFmtId="0" fontId="67" fillId="0" borderId="17" xfId="0" applyFont="1" applyFill="1" applyBorder="1" applyAlignment="1">
      <alignment/>
    </xf>
    <xf numFmtId="0" fontId="68" fillId="0" borderId="17" xfId="0" applyFont="1" applyFill="1" applyBorder="1" applyAlignment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4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7" fillId="0" borderId="2" xfId="21" applyFont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>
      <alignment/>
    </xf>
    <xf numFmtId="0" fontId="100" fillId="0" borderId="0" xfId="0" applyFont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50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Border="1" applyAlignment="1" applyProtection="1">
      <alignment vertical="top"/>
      <protection/>
    </xf>
    <xf numFmtId="0" fontId="20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 applyProtection="1">
      <alignment vertical="top"/>
      <protection/>
    </xf>
    <xf numFmtId="0" fontId="26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2" fillId="0" borderId="0" xfId="0" applyFont="1" applyAlignment="1">
      <alignment/>
    </xf>
    <xf numFmtId="0" fontId="7" fillId="0" borderId="38" xfId="0" applyFont="1" applyFill="1" applyBorder="1" applyAlignment="1" applyProtection="1">
      <alignment horizontal="center"/>
      <protection locked="0"/>
    </xf>
    <xf numFmtId="173" fontId="7" fillId="0" borderId="2" xfId="0" applyNumberFormat="1" applyFont="1" applyBorder="1" applyAlignment="1" applyProtection="1" quotePrefix="1">
      <alignment horizontal="center"/>
      <protection/>
    </xf>
    <xf numFmtId="4" fontId="9" fillId="0" borderId="2" xfId="0" applyNumberFormat="1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 locked="0"/>
    </xf>
    <xf numFmtId="2" fontId="75" fillId="5" borderId="2" xfId="0" applyNumberFormat="1" applyFont="1" applyFill="1" applyBorder="1" applyAlignment="1" applyProtection="1">
      <alignment horizontal="center"/>
      <protection/>
    </xf>
    <xf numFmtId="2" fontId="76" fillId="10" borderId="2" xfId="0" applyNumberFormat="1" applyFont="1" applyFill="1" applyBorder="1" applyAlignment="1" applyProtection="1">
      <alignment horizontal="center"/>
      <protection/>
    </xf>
    <xf numFmtId="164" fontId="36" fillId="2" borderId="49" xfId="0" applyNumberFormat="1" applyFont="1" applyFill="1" applyBorder="1" applyAlignment="1" applyProtection="1">
      <alignment horizontal="center"/>
      <protection/>
    </xf>
    <xf numFmtId="2" fontId="80" fillId="7" borderId="2" xfId="0" applyNumberFormat="1" applyFont="1" applyFill="1" applyBorder="1" applyAlignment="1" applyProtection="1">
      <alignment horizontal="center"/>
      <protection/>
    </xf>
    <xf numFmtId="0" fontId="32" fillId="0" borderId="16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168" fontId="46" fillId="3" borderId="2" xfId="0" applyNumberFormat="1" applyFont="1" applyFill="1" applyBorder="1" applyAlignment="1" applyProtection="1">
      <alignment horizontal="center"/>
      <protection/>
    </xf>
    <xf numFmtId="0" fontId="18" fillId="0" borderId="1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68" fontId="49" fillId="16" borderId="21" xfId="0" applyNumberFormat="1" applyFont="1" applyFill="1" applyBorder="1" applyAlignment="1" applyProtection="1" quotePrefix="1">
      <alignment horizontal="center"/>
      <protection/>
    </xf>
    <xf numFmtId="168" fontId="49" fillId="16" borderId="23" xfId="0" applyNumberFormat="1" applyFont="1" applyFill="1" applyBorder="1" applyAlignment="1" applyProtection="1" quotePrefix="1">
      <alignment horizontal="center"/>
      <protection/>
    </xf>
    <xf numFmtId="2" fontId="45" fillId="3" borderId="2" xfId="0" applyNumberFormat="1" applyFont="1" applyFill="1" applyBorder="1" applyAlignment="1" applyProtection="1">
      <alignment horizontal="center"/>
      <protection/>
    </xf>
    <xf numFmtId="2" fontId="63" fillId="5" borderId="4" xfId="0" applyNumberFormat="1" applyFont="1" applyFill="1" applyBorder="1" applyAlignment="1" applyProtection="1">
      <alignment horizontal="center"/>
      <protection/>
    </xf>
    <xf numFmtId="168" fontId="37" fillId="2" borderId="21" xfId="0" applyNumberFormat="1" applyFont="1" applyFill="1" applyBorder="1" applyAlignment="1" applyProtection="1" quotePrefix="1">
      <alignment horizontal="center"/>
      <protection/>
    </xf>
    <xf numFmtId="168" fontId="37" fillId="2" borderId="23" xfId="0" applyNumberFormat="1" applyFont="1" applyFill="1" applyBorder="1" applyAlignment="1" applyProtection="1" quotePrefix="1">
      <alignment horizontal="center"/>
      <protection/>
    </xf>
    <xf numFmtId="4" fontId="37" fillId="2" borderId="4" xfId="0" applyNumberFormat="1" applyFont="1" applyFill="1" applyBorder="1" applyAlignment="1" applyProtection="1">
      <alignment horizontal="center"/>
      <protection/>
    </xf>
    <xf numFmtId="4" fontId="49" fillId="16" borderId="4" xfId="0" applyNumberFormat="1" applyFont="1" applyFill="1" applyBorder="1" applyAlignment="1" applyProtection="1">
      <alignment horizontal="center"/>
      <protection/>
    </xf>
    <xf numFmtId="4" fontId="69" fillId="7" borderId="2" xfId="0" applyNumberFormat="1" applyFont="1" applyFill="1" applyBorder="1" applyAlignment="1" applyProtection="1">
      <alignment horizontal="center"/>
      <protection/>
    </xf>
    <xf numFmtId="4" fontId="70" fillId="8" borderId="2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vertical="top"/>
    </xf>
    <xf numFmtId="0" fontId="20" fillId="0" borderId="1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1" xfId="0" applyFont="1" applyFill="1" applyBorder="1" applyAlignment="1">
      <alignment vertical="top"/>
    </xf>
    <xf numFmtId="4" fontId="7" fillId="0" borderId="2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5" xfId="0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 applyProtection="1">
      <alignment horizontal="left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27" fillId="0" borderId="14" xfId="22" applyFont="1" applyBorder="1" applyAlignment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168" fontId="35" fillId="2" borderId="14" xfId="0" applyNumberFormat="1" applyFont="1" applyFill="1" applyBorder="1" applyAlignment="1" applyProtection="1">
      <alignment horizontal="center" vertical="center"/>
      <protection/>
    </xf>
    <xf numFmtId="0" fontId="42" fillId="9" borderId="14" xfId="0" applyFont="1" applyFill="1" applyBorder="1" applyAlignment="1">
      <alignment horizontal="center" vertical="center" wrapText="1"/>
    </xf>
    <xf numFmtId="0" fontId="47" fillId="17" borderId="14" xfId="0" applyFont="1" applyFill="1" applyBorder="1" applyAlignment="1">
      <alignment horizontal="center" vertical="center" wrapText="1"/>
    </xf>
    <xf numFmtId="0" fontId="101" fillId="3" borderId="8" xfId="0" applyFont="1" applyFill="1" applyBorder="1" applyAlignment="1" applyProtection="1">
      <alignment horizontal="centerContinuous" vertical="center" wrapText="1"/>
      <protection/>
    </xf>
    <xf numFmtId="0" fontId="102" fillId="3" borderId="15" xfId="0" applyFont="1" applyFill="1" applyBorder="1" applyAlignment="1">
      <alignment horizontal="centerContinuous"/>
    </xf>
    <xf numFmtId="0" fontId="101" fillId="3" borderId="9" xfId="0" applyFont="1" applyFill="1" applyBorder="1" applyAlignment="1">
      <alignment horizontal="centerContinuous" vertical="center"/>
    </xf>
    <xf numFmtId="0" fontId="42" fillId="18" borderId="8" xfId="0" applyFont="1" applyFill="1" applyBorder="1" applyAlignment="1">
      <alignment horizontal="centerContinuous" vertical="center" wrapText="1"/>
    </xf>
    <xf numFmtId="0" fontId="103" fillId="18" borderId="15" xfId="0" applyFont="1" applyFill="1" applyBorder="1" applyAlignment="1">
      <alignment horizontal="centerContinuous"/>
    </xf>
    <xf numFmtId="0" fontId="42" fillId="18" borderId="9" xfId="0" applyFont="1" applyFill="1" applyBorder="1" applyAlignment="1">
      <alignment horizontal="centerContinuous" vertical="center"/>
    </xf>
    <xf numFmtId="0" fontId="42" fillId="7" borderId="14" xfId="0" applyFont="1" applyFill="1" applyBorder="1" applyAlignment="1">
      <alignment horizontal="centerContinuous" vertical="center" wrapText="1"/>
    </xf>
    <xf numFmtId="0" fontId="42" fillId="19" borderId="14" xfId="0" applyFont="1" applyFill="1" applyBorder="1" applyAlignment="1">
      <alignment horizontal="centerContinuous" vertical="center" wrapText="1"/>
    </xf>
    <xf numFmtId="0" fontId="27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7" xfId="0" applyNumberFormat="1" applyFont="1" applyBorder="1" applyAlignment="1" applyProtection="1">
      <alignment horizontal="center"/>
      <protection/>
    </xf>
    <xf numFmtId="164" fontId="104" fillId="2" borderId="17" xfId="0" applyNumberFormat="1" applyFont="1" applyFill="1" applyBorder="1" applyAlignment="1" applyProtection="1">
      <alignment horizontal="center"/>
      <protection/>
    </xf>
    <xf numFmtId="0" fontId="88" fillId="4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6" fillId="9" borderId="17" xfId="0" applyFont="1" applyFill="1" applyBorder="1" applyAlignment="1">
      <alignment horizontal="center"/>
    </xf>
    <xf numFmtId="0" fontId="80" fillId="17" borderId="17" xfId="0" applyFont="1" applyFill="1" applyBorder="1" applyAlignment="1">
      <alignment horizontal="center"/>
    </xf>
    <xf numFmtId="168" fontId="105" fillId="3" borderId="31" xfId="0" applyNumberFormat="1" applyFont="1" applyFill="1" applyBorder="1" applyAlignment="1" applyProtection="1" quotePrefix="1">
      <alignment horizontal="center"/>
      <protection/>
    </xf>
    <xf numFmtId="168" fontId="105" fillId="3" borderId="69" xfId="0" applyNumberFormat="1" applyFont="1" applyFill="1" applyBorder="1" applyAlignment="1" applyProtection="1" quotePrefix="1">
      <alignment horizontal="center"/>
      <protection/>
    </xf>
    <xf numFmtId="4" fontId="105" fillId="3" borderId="64" xfId="0" applyNumberFormat="1" applyFont="1" applyFill="1" applyBorder="1" applyAlignment="1" applyProtection="1">
      <alignment horizontal="center"/>
      <protection/>
    </xf>
    <xf numFmtId="168" fontId="46" fillId="18" borderId="31" xfId="0" applyNumberFormat="1" applyFont="1" applyFill="1" applyBorder="1" applyAlignment="1" applyProtection="1" quotePrefix="1">
      <alignment horizontal="center"/>
      <protection/>
    </xf>
    <xf numFmtId="168" fontId="46" fillId="18" borderId="69" xfId="0" applyNumberFormat="1" applyFont="1" applyFill="1" applyBorder="1" applyAlignment="1" applyProtection="1" quotePrefix="1">
      <alignment horizontal="center"/>
      <protection/>
    </xf>
    <xf numFmtId="4" fontId="46" fillId="18" borderId="64" xfId="0" applyNumberFormat="1" applyFont="1" applyFill="1" applyBorder="1" applyAlignment="1" applyProtection="1">
      <alignment horizontal="center"/>
      <protection/>
    </xf>
    <xf numFmtId="4" fontId="46" fillId="7" borderId="17" xfId="0" applyNumberFormat="1" applyFont="1" applyFill="1" applyBorder="1" applyAlignment="1" applyProtection="1">
      <alignment horizontal="center"/>
      <protection/>
    </xf>
    <xf numFmtId="4" fontId="46" fillId="19" borderId="17" xfId="0" applyNumberFormat="1" applyFont="1" applyFill="1" applyBorder="1" applyAlignment="1" applyProtection="1">
      <alignment horizontal="center"/>
      <protection/>
    </xf>
    <xf numFmtId="0" fontId="7" fillId="0" borderId="64" xfId="0" applyFont="1" applyBorder="1" applyAlignment="1">
      <alignment horizontal="left"/>
    </xf>
    <xf numFmtId="0" fontId="10" fillId="0" borderId="64" xfId="0" applyFont="1" applyBorder="1" applyAlignment="1">
      <alignment horizontal="center"/>
    </xf>
    <xf numFmtId="164" fontId="7" fillId="0" borderId="2" xfId="0" applyNumberFormat="1" applyFont="1" applyBorder="1" applyAlignment="1" applyProtection="1">
      <alignment horizontal="center"/>
      <protection/>
    </xf>
    <xf numFmtId="0" fontId="104" fillId="2" borderId="2" xfId="0" applyFont="1" applyFill="1" applyBorder="1" applyAlignment="1" applyProtection="1">
      <alignment horizontal="center"/>
      <protection/>
    </xf>
    <xf numFmtId="168" fontId="88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2" fontId="46" fillId="9" borderId="2" xfId="0" applyNumberFormat="1" applyFont="1" applyFill="1" applyBorder="1" applyAlignment="1" applyProtection="1">
      <alignment horizontal="center"/>
      <protection/>
    </xf>
    <xf numFmtId="2" fontId="80" fillId="17" borderId="2" xfId="0" applyNumberFormat="1" applyFont="1" applyFill="1" applyBorder="1" applyAlignment="1" applyProtection="1">
      <alignment horizontal="center"/>
      <protection/>
    </xf>
    <xf numFmtId="168" fontId="105" fillId="3" borderId="21" xfId="0" applyNumberFormat="1" applyFont="1" applyFill="1" applyBorder="1" applyAlignment="1" applyProtection="1" quotePrefix="1">
      <alignment horizontal="center"/>
      <protection/>
    </xf>
    <xf numFmtId="168" fontId="105" fillId="3" borderId="23" xfId="0" applyNumberFormat="1" applyFont="1" applyFill="1" applyBorder="1" applyAlignment="1" applyProtection="1" quotePrefix="1">
      <alignment horizontal="center"/>
      <protection/>
    </xf>
    <xf numFmtId="4" fontId="105" fillId="3" borderId="4" xfId="0" applyNumberFormat="1" applyFont="1" applyFill="1" applyBorder="1" applyAlignment="1" applyProtection="1">
      <alignment horizontal="center"/>
      <protection/>
    </xf>
    <xf numFmtId="168" fontId="46" fillId="18" borderId="21" xfId="0" applyNumberFormat="1" applyFont="1" applyFill="1" applyBorder="1" applyAlignment="1" applyProtection="1" quotePrefix="1">
      <alignment horizontal="center"/>
      <protection/>
    </xf>
    <xf numFmtId="168" fontId="46" fillId="18" borderId="23" xfId="0" applyNumberFormat="1" applyFont="1" applyFill="1" applyBorder="1" applyAlignment="1" applyProtection="1" quotePrefix="1">
      <alignment horizontal="center"/>
      <protection/>
    </xf>
    <xf numFmtId="4" fontId="46" fillId="18" borderId="4" xfId="0" applyNumberFormat="1" applyFont="1" applyFill="1" applyBorder="1" applyAlignment="1" applyProtection="1">
      <alignment horizontal="center"/>
      <protection/>
    </xf>
    <xf numFmtId="4" fontId="46" fillId="7" borderId="2" xfId="0" applyNumberFormat="1" applyFont="1" applyFill="1" applyBorder="1" applyAlignment="1" applyProtection="1">
      <alignment horizontal="center"/>
      <protection/>
    </xf>
    <xf numFmtId="4" fontId="46" fillId="19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165" fontId="7" fillId="0" borderId="2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89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104" fillId="2" borderId="3" xfId="0" applyNumberFormat="1" applyFont="1" applyFill="1" applyBorder="1" applyAlignment="1" applyProtection="1">
      <alignment horizontal="center"/>
      <protection/>
    </xf>
    <xf numFmtId="168" fontId="88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46" fillId="9" borderId="3" xfId="0" applyNumberFormat="1" applyFont="1" applyFill="1" applyBorder="1" applyAlignment="1" applyProtection="1">
      <alignment horizontal="center"/>
      <protection/>
    </xf>
    <xf numFmtId="2" fontId="80" fillId="17" borderId="3" xfId="0" applyNumberFormat="1" applyFont="1" applyFill="1" applyBorder="1" applyAlignment="1" applyProtection="1">
      <alignment horizontal="center"/>
      <protection/>
    </xf>
    <xf numFmtId="168" fontId="105" fillId="3" borderId="24" xfId="0" applyNumberFormat="1" applyFont="1" applyFill="1" applyBorder="1" applyAlignment="1" applyProtection="1" quotePrefix="1">
      <alignment horizontal="center"/>
      <protection/>
    </xf>
    <xf numFmtId="168" fontId="105" fillId="3" borderId="70" xfId="0" applyNumberFormat="1" applyFont="1" applyFill="1" applyBorder="1" applyAlignment="1" applyProtection="1" quotePrefix="1">
      <alignment horizontal="center"/>
      <protection/>
    </xf>
    <xf numFmtId="4" fontId="105" fillId="3" borderId="19" xfId="0" applyNumberFormat="1" applyFont="1" applyFill="1" applyBorder="1" applyAlignment="1" applyProtection="1">
      <alignment horizontal="center"/>
      <protection/>
    </xf>
    <xf numFmtId="168" fontId="46" fillId="18" borderId="24" xfId="0" applyNumberFormat="1" applyFont="1" applyFill="1" applyBorder="1" applyAlignment="1" applyProtection="1" quotePrefix="1">
      <alignment horizontal="center"/>
      <protection/>
    </xf>
    <xf numFmtId="168" fontId="46" fillId="18" borderId="70" xfId="0" applyNumberFormat="1" applyFont="1" applyFill="1" applyBorder="1" applyAlignment="1" applyProtection="1" quotePrefix="1">
      <alignment horizontal="center"/>
      <protection/>
    </xf>
    <xf numFmtId="4" fontId="46" fillId="18" borderId="19" xfId="0" applyNumberFormat="1" applyFont="1" applyFill="1" applyBorder="1" applyAlignment="1" applyProtection="1">
      <alignment horizontal="center"/>
      <protection/>
    </xf>
    <xf numFmtId="4" fontId="46" fillId="7" borderId="3" xfId="0" applyNumberFormat="1" applyFont="1" applyFill="1" applyBorder="1" applyAlignment="1" applyProtection="1">
      <alignment horizontal="center"/>
      <protection/>
    </xf>
    <xf numFmtId="4" fontId="46" fillId="19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8" fillId="0" borderId="3" xfId="0" applyNumberFormat="1" applyFont="1" applyFill="1" applyBorder="1" applyAlignment="1">
      <alignment horizontal="center"/>
    </xf>
    <xf numFmtId="2" fontId="88" fillId="9" borderId="14" xfId="0" applyNumberFormat="1" applyFont="1" applyFill="1" applyBorder="1" applyAlignment="1" applyProtection="1">
      <alignment horizontal="center"/>
      <protection/>
    </xf>
    <xf numFmtId="2" fontId="78" fillId="17" borderId="14" xfId="0" applyNumberFormat="1" applyFont="1" applyFill="1" applyBorder="1" applyAlignment="1" applyProtection="1">
      <alignment horizontal="center"/>
      <protection/>
    </xf>
    <xf numFmtId="2" fontId="90" fillId="3" borderId="14" xfId="0" applyNumberFormat="1" applyFont="1" applyFill="1" applyBorder="1" applyAlignment="1" applyProtection="1">
      <alignment horizontal="center"/>
      <protection/>
    </xf>
    <xf numFmtId="2" fontId="88" fillId="18" borderId="14" xfId="0" applyNumberFormat="1" applyFont="1" applyFill="1" applyBorder="1" applyAlignment="1" applyProtection="1">
      <alignment horizontal="center"/>
      <protection/>
    </xf>
    <xf numFmtId="2" fontId="88" fillId="7" borderId="14" xfId="0" applyNumberFormat="1" applyFont="1" applyFill="1" applyBorder="1" applyAlignment="1" applyProtection="1">
      <alignment horizontal="center"/>
      <protection/>
    </xf>
    <xf numFmtId="2" fontId="88" fillId="19" borderId="14" xfId="0" applyNumberFormat="1" applyFont="1" applyFill="1" applyBorder="1" applyAlignment="1" applyProtection="1">
      <alignment horizontal="center"/>
      <protection/>
    </xf>
    <xf numFmtId="2" fontId="22" fillId="0" borderId="30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88" fillId="0" borderId="15" xfId="0" applyNumberFormat="1" applyFont="1" applyFill="1" applyBorder="1" applyAlignment="1" applyProtection="1">
      <alignment horizontal="center"/>
      <protection/>
    </xf>
    <xf numFmtId="2" fontId="78" fillId="0" borderId="15" xfId="0" applyNumberFormat="1" applyFont="1" applyFill="1" applyBorder="1" applyAlignment="1" applyProtection="1">
      <alignment horizontal="center"/>
      <protection/>
    </xf>
    <xf numFmtId="2" fontId="90" fillId="0" borderId="15" xfId="0" applyNumberFormat="1" applyFont="1" applyFill="1" applyBorder="1" applyAlignment="1" applyProtection="1">
      <alignment horizontal="center"/>
      <protection/>
    </xf>
    <xf numFmtId="0" fontId="35" fillId="2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2" fillId="20" borderId="71" xfId="0" applyFont="1" applyFill="1" applyBorder="1" applyAlignment="1">
      <alignment vertical="center" wrapText="1"/>
    </xf>
    <xf numFmtId="0" fontId="42" fillId="20" borderId="16" xfId="0" applyFont="1" applyFill="1" applyBorder="1" applyAlignment="1">
      <alignment vertical="center" wrapText="1"/>
    </xf>
    <xf numFmtId="0" fontId="42" fillId="20" borderId="30" xfId="0" applyFont="1" applyFill="1" applyBorder="1" applyAlignment="1">
      <alignment vertical="center" wrapText="1"/>
    </xf>
    <xf numFmtId="0" fontId="91" fillId="20" borderId="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3" fillId="20" borderId="47" xfId="0" applyFont="1" applyFill="1" applyBorder="1" applyAlignment="1">
      <alignment horizontal="left"/>
    </xf>
    <xf numFmtId="0" fontId="43" fillId="20" borderId="0" xfId="0" applyFont="1" applyFill="1" applyBorder="1" applyAlignment="1">
      <alignment horizontal="left"/>
    </xf>
    <xf numFmtId="0" fontId="43" fillId="20" borderId="46" xfId="0" applyFont="1" applyFill="1" applyBorder="1" applyAlignment="1">
      <alignment horizontal="left"/>
    </xf>
    <xf numFmtId="168" fontId="91" fillId="20" borderId="2" xfId="0" applyNumberFormat="1" applyFont="1" applyFill="1" applyBorder="1" applyAlignment="1" applyProtection="1">
      <alignment horizontal="center"/>
      <protection/>
    </xf>
    <xf numFmtId="168" fontId="7" fillId="0" borderId="20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8" fontId="46" fillId="20" borderId="47" xfId="0" applyNumberFormat="1" applyFont="1" applyFill="1" applyBorder="1" applyAlignment="1" applyProtection="1" quotePrefix="1">
      <alignment horizontal="center"/>
      <protection/>
    </xf>
    <xf numFmtId="168" fontId="46" fillId="20" borderId="0" xfId="0" applyNumberFormat="1" applyFont="1" applyFill="1" applyBorder="1" applyAlignment="1" applyProtection="1" quotePrefix="1">
      <alignment horizontal="center"/>
      <protection/>
    </xf>
    <xf numFmtId="168" fontId="46" fillId="20" borderId="46" xfId="0" applyNumberFormat="1" applyFont="1" applyFill="1" applyBorder="1" applyAlignment="1" applyProtection="1" quotePrefix="1">
      <alignment horizontal="center"/>
      <protection/>
    </xf>
    <xf numFmtId="168" fontId="91" fillId="20" borderId="3" xfId="0" applyNumberFormat="1" applyFont="1" applyFill="1" applyBorder="1" applyAlignment="1" applyProtection="1">
      <alignment horizontal="center"/>
      <protection/>
    </xf>
    <xf numFmtId="168" fontId="7" fillId="0" borderId="72" xfId="0" applyNumberFormat="1" applyFont="1" applyBorder="1" applyAlignment="1" applyProtection="1">
      <alignment horizontal="centerContinuous"/>
      <protection/>
    </xf>
    <xf numFmtId="168" fontId="7" fillId="0" borderId="19" xfId="0" applyNumberFormat="1" applyFont="1" applyBorder="1" applyAlignment="1" applyProtection="1">
      <alignment horizontal="centerContinuous"/>
      <protection/>
    </xf>
    <xf numFmtId="168" fontId="43" fillId="20" borderId="72" xfId="0" applyNumberFormat="1" applyFont="1" applyFill="1" applyBorder="1" applyAlignment="1" applyProtection="1" quotePrefix="1">
      <alignment horizontal="center"/>
      <protection/>
    </xf>
    <xf numFmtId="168" fontId="43" fillId="20" borderId="51" xfId="0" applyNumberFormat="1" applyFont="1" applyFill="1" applyBorder="1" applyAlignment="1" applyProtection="1" quotePrefix="1">
      <alignment horizontal="center"/>
      <protection/>
    </xf>
    <xf numFmtId="168" fontId="43" fillId="20" borderId="19" xfId="0" applyNumberFormat="1" applyFont="1" applyFill="1" applyBorder="1" applyAlignment="1" applyProtection="1" quotePrefix="1">
      <alignment horizontal="center"/>
      <protection/>
    </xf>
    <xf numFmtId="4" fontId="29" fillId="0" borderId="0" xfId="0" applyNumberFormat="1" applyFont="1" applyFill="1" applyBorder="1" applyAlignment="1">
      <alignment horizontal="right"/>
    </xf>
    <xf numFmtId="7" fontId="13" fillId="0" borderId="0" xfId="0" applyNumberFormat="1" applyFont="1" applyBorder="1" applyAlignment="1">
      <alignment horizontal="centerContinuous"/>
    </xf>
    <xf numFmtId="168" fontId="22" fillId="0" borderId="0" xfId="0" applyNumberFormat="1" applyFont="1" applyBorder="1" applyAlignment="1">
      <alignment/>
    </xf>
    <xf numFmtId="7" fontId="22" fillId="0" borderId="0" xfId="0" applyNumberFormat="1" applyFont="1" applyBorder="1" applyAlignment="1">
      <alignment horizontal="centerContinuous"/>
    </xf>
    <xf numFmtId="168" fontId="52" fillId="0" borderId="0" xfId="0" applyNumberFormat="1" applyFont="1" applyBorder="1" applyAlignment="1" applyProtection="1" quotePrefix="1">
      <alignment horizontal="right"/>
      <protection/>
    </xf>
    <xf numFmtId="7" fontId="52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applyProtection="1">
      <alignment horizontal="left"/>
      <protection/>
    </xf>
    <xf numFmtId="7" fontId="52" fillId="0" borderId="49" xfId="0" applyNumberFormat="1" applyFont="1" applyFill="1" applyBorder="1" applyAlignment="1">
      <alignment horizontal="center"/>
    </xf>
    <xf numFmtId="0" fontId="106" fillId="0" borderId="0" xfId="0" applyFont="1" applyBorder="1" applyAlignment="1">
      <alignment/>
    </xf>
    <xf numFmtId="168" fontId="91" fillId="2" borderId="0" xfId="0" applyNumberFormat="1" applyFont="1" applyFill="1" applyBorder="1" applyAlignment="1" applyProtection="1">
      <alignment horizontal="center"/>
      <protection/>
    </xf>
    <xf numFmtId="168" fontId="91" fillId="20" borderId="0" xfId="0" applyNumberFormat="1" applyFont="1" applyFill="1" applyBorder="1" applyAlignment="1" applyProtection="1">
      <alignment horizontal="center"/>
      <protection/>
    </xf>
    <xf numFmtId="164" fontId="36" fillId="2" borderId="0" xfId="0" applyNumberFormat="1" applyFont="1" applyFill="1" applyBorder="1" applyAlignment="1" applyProtection="1">
      <alignment horizontal="center"/>
      <protection/>
    </xf>
    <xf numFmtId="2" fontId="43" fillId="13" borderId="0" xfId="0" applyNumberFormat="1" applyFont="1" applyFill="1" applyBorder="1" applyAlignment="1">
      <alignment horizontal="center"/>
    </xf>
    <xf numFmtId="168" fontId="43" fillId="14" borderId="0" xfId="0" applyNumberFormat="1" applyFont="1" applyFill="1" applyBorder="1" applyAlignment="1" applyProtection="1" quotePrefix="1">
      <alignment horizontal="center"/>
      <protection/>
    </xf>
    <xf numFmtId="168" fontId="43" fillId="3" borderId="0" xfId="0" applyNumberFormat="1" applyFont="1" applyFill="1" applyBorder="1" applyAlignment="1" applyProtection="1" quotePrefix="1">
      <alignment horizontal="center"/>
      <protection/>
    </xf>
    <xf numFmtId="168" fontId="43" fillId="20" borderId="0" xfId="0" applyNumberFormat="1" applyFont="1" applyFill="1" applyBorder="1" applyAlignment="1" applyProtection="1" quotePrefix="1">
      <alignment horizontal="center"/>
      <protection/>
    </xf>
    <xf numFmtId="0" fontId="18" fillId="0" borderId="18" xfId="0" applyFont="1" applyFill="1" applyBorder="1" applyAlignment="1">
      <alignment horizontal="left"/>
    </xf>
    <xf numFmtId="0" fontId="108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09" fillId="0" borderId="0" xfId="0" applyFont="1" applyAlignment="1">
      <alignment/>
    </xf>
    <xf numFmtId="0" fontId="109" fillId="0" borderId="0" xfId="0" applyFont="1" applyAlignment="1">
      <alignment horizontal="centerContinuous"/>
    </xf>
    <xf numFmtId="0" fontId="110" fillId="0" borderId="0" xfId="0" applyFont="1" applyAlignment="1">
      <alignment horizontal="centerContinuous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0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" fontId="27" fillId="0" borderId="14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1" fillId="0" borderId="0" xfId="0" applyFont="1" applyAlignment="1">
      <alignment vertical="center"/>
    </xf>
    <xf numFmtId="0" fontId="111" fillId="0" borderId="7" xfId="0" applyFont="1" applyBorder="1" applyAlignment="1">
      <alignment vertical="center"/>
    </xf>
    <xf numFmtId="0" fontId="111" fillId="0" borderId="20" xfId="0" applyFont="1" applyBorder="1" applyAlignment="1">
      <alignment vertical="center"/>
    </xf>
    <xf numFmtId="0" fontId="111" fillId="0" borderId="2" xfId="0" applyFont="1" applyBorder="1" applyAlignment="1">
      <alignment vertical="center"/>
    </xf>
    <xf numFmtId="0" fontId="111" fillId="21" borderId="2" xfId="0" applyFont="1" applyFill="1" applyBorder="1" applyAlignment="1">
      <alignment vertical="center"/>
    </xf>
    <xf numFmtId="0" fontId="111" fillId="0" borderId="29" xfId="0" applyFont="1" applyBorder="1" applyAlignment="1">
      <alignment vertical="center"/>
    </xf>
    <xf numFmtId="0" fontId="111" fillId="0" borderId="1" xfId="0" applyFont="1" applyBorder="1" applyAlignment="1">
      <alignment vertical="center"/>
    </xf>
    <xf numFmtId="0" fontId="111" fillId="1" borderId="21" xfId="0" applyFont="1" applyFill="1" applyBorder="1" applyAlignment="1">
      <alignment horizontal="center" vertical="center"/>
    </xf>
    <xf numFmtId="0" fontId="111" fillId="1" borderId="2" xfId="0" applyFont="1" applyFill="1" applyBorder="1" applyAlignment="1">
      <alignment horizontal="center" vertical="center"/>
    </xf>
    <xf numFmtId="0" fontId="111" fillId="21" borderId="18" xfId="0" applyFont="1" applyFill="1" applyBorder="1" applyAlignment="1">
      <alignment horizontal="center" vertical="center"/>
    </xf>
    <xf numFmtId="0" fontId="111" fillId="0" borderId="44" xfId="0" applyFont="1" applyBorder="1" applyAlignment="1">
      <alignment vertical="center"/>
    </xf>
    <xf numFmtId="0" fontId="111" fillId="0" borderId="36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1" borderId="36" xfId="0" applyFont="1" applyFill="1" applyBorder="1" applyAlignment="1">
      <alignment horizontal="center" vertical="center"/>
    </xf>
    <xf numFmtId="0" fontId="111" fillId="1" borderId="18" xfId="0" applyFont="1" applyFill="1" applyBorder="1" applyAlignment="1">
      <alignment horizontal="center" vertical="center"/>
    </xf>
    <xf numFmtId="0" fontId="111" fillId="0" borderId="39" xfId="0" applyFont="1" applyBorder="1" applyAlignment="1">
      <alignment horizontal="center" vertical="center"/>
    </xf>
    <xf numFmtId="0" fontId="111" fillId="0" borderId="38" xfId="0" applyFont="1" applyBorder="1" applyAlignment="1">
      <alignment horizontal="center" vertical="center"/>
    </xf>
    <xf numFmtId="0" fontId="111" fillId="21" borderId="38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vertical="center"/>
    </xf>
    <xf numFmtId="0" fontId="112" fillId="0" borderId="0" xfId="0" applyFont="1" applyFill="1" applyBorder="1" applyAlignment="1">
      <alignment horizontal="right" vertical="center"/>
    </xf>
    <xf numFmtId="170" fontId="112" fillId="0" borderId="14" xfId="0" applyNumberFormat="1" applyFont="1" applyFill="1" applyBorder="1" applyAlignment="1">
      <alignment horizontal="center" vertical="center"/>
    </xf>
    <xf numFmtId="0" fontId="111" fillId="0" borderId="8" xfId="0" applyFont="1" applyFill="1" applyBorder="1" applyAlignment="1">
      <alignment horizontal="center" vertical="center"/>
    </xf>
    <xf numFmtId="0" fontId="111" fillId="0" borderId="15" xfId="0" applyFont="1" applyFill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vertical="center"/>
    </xf>
    <xf numFmtId="0" fontId="111" fillId="0" borderId="0" xfId="0" applyFont="1" applyBorder="1" applyAlignment="1">
      <alignment horizontal="right" vertical="center"/>
    </xf>
    <xf numFmtId="0" fontId="112" fillId="0" borderId="0" xfId="0" applyFont="1" applyBorder="1" applyAlignment="1">
      <alignment horizontal="right" vertical="center"/>
    </xf>
    <xf numFmtId="0" fontId="111" fillId="0" borderId="14" xfId="0" applyFont="1" applyBorder="1" applyAlignment="1">
      <alignment horizontal="center" vertical="center"/>
    </xf>
    <xf numFmtId="2" fontId="112" fillId="21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23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3" fillId="21" borderId="54" xfId="0" applyFont="1" applyFill="1" applyBorder="1" applyAlignment="1" applyProtection="1">
      <alignment horizontal="right"/>
      <protection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8" fontId="29" fillId="0" borderId="14" xfId="19" applyNumberFormat="1" applyFont="1" applyFill="1" applyBorder="1" applyAlignment="1">
      <alignment horizontal="right"/>
    </xf>
    <xf numFmtId="0" fontId="100" fillId="0" borderId="0" xfId="0" applyNumberFormat="1" applyFont="1" applyBorder="1" applyAlignment="1">
      <alignment horizontal="left"/>
    </xf>
    <xf numFmtId="7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right"/>
      <protection/>
    </xf>
    <xf numFmtId="6" fontId="10" fillId="0" borderId="0" xfId="19" applyFont="1" applyBorder="1" applyAlignment="1">
      <alignment horizontal="center"/>
    </xf>
    <xf numFmtId="0" fontId="22" fillId="0" borderId="0" xfId="0" applyFont="1" applyAlignment="1">
      <alignment horizontal="left"/>
    </xf>
    <xf numFmtId="174" fontId="4" fillId="0" borderId="14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"/>
    </xf>
    <xf numFmtId="164" fontId="7" fillId="0" borderId="35" xfId="0" applyNumberFormat="1" applyFont="1" applyBorder="1" applyAlignment="1" applyProtection="1">
      <alignment horizontal="center"/>
      <protection/>
    </xf>
    <xf numFmtId="0" fontId="7" fillId="0" borderId="68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7" fontId="10" fillId="0" borderId="0" xfId="0" applyNumberFormat="1" applyFont="1" applyFill="1" applyBorder="1" applyAlignment="1">
      <alignment horizontal="center"/>
    </xf>
    <xf numFmtId="0" fontId="12" fillId="0" borderId="65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center"/>
      <protection/>
    </xf>
    <xf numFmtId="0" fontId="27" fillId="0" borderId="8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7" fontId="10" fillId="0" borderId="49" xfId="0" applyNumberFormat="1" applyFont="1" applyFill="1" applyBorder="1" applyAlignment="1">
      <alignment horizontal="center"/>
    </xf>
    <xf numFmtId="7" fontId="10" fillId="0" borderId="73" xfId="0" applyNumberFormat="1" applyFont="1" applyFill="1" applyBorder="1" applyAlignment="1">
      <alignment horizontal="center"/>
    </xf>
    <xf numFmtId="168" fontId="107" fillId="0" borderId="0" xfId="0" applyNumberFormat="1" applyFont="1" applyBorder="1" applyAlignment="1" applyProtection="1">
      <alignment horizontal="left" vertical="center"/>
      <protection/>
    </xf>
    <xf numFmtId="168" fontId="7" fillId="0" borderId="48" xfId="0" applyNumberFormat="1" applyFont="1" applyBorder="1" applyAlignment="1" applyProtection="1" quotePrefix="1">
      <alignment horizontal="center"/>
      <protection/>
    </xf>
    <xf numFmtId="168" fontId="7" fillId="0" borderId="22" xfId="0" applyNumberFormat="1" applyFont="1" applyBorder="1" applyAlignment="1" applyProtection="1" quotePrefix="1">
      <alignment horizontal="center"/>
      <protection/>
    </xf>
    <xf numFmtId="168" fontId="7" fillId="0" borderId="35" xfId="0" applyNumberFormat="1" applyFont="1" applyBorder="1" applyAlignment="1" applyProtection="1" quotePrefix="1">
      <alignment horizontal="center"/>
      <protection/>
    </xf>
    <xf numFmtId="0" fontId="27" fillId="0" borderId="8" xfId="0" applyFont="1" applyFill="1" applyBorder="1" applyAlignment="1" applyProtection="1" quotePrefix="1">
      <alignment horizontal="center" vertical="center" wrapText="1"/>
      <protection/>
    </xf>
    <xf numFmtId="0" fontId="27" fillId="0" borderId="9" xfId="0" applyFont="1" applyFill="1" applyBorder="1" applyAlignment="1" applyProtection="1" quotePrefix="1">
      <alignment horizontal="center" vertical="center" wrapText="1"/>
      <protection/>
    </xf>
    <xf numFmtId="164" fontId="7" fillId="0" borderId="48" xfId="0" applyNumberFormat="1" applyFont="1" applyBorder="1" applyAlignment="1" applyProtection="1">
      <alignment horizontal="center"/>
      <protection/>
    </xf>
    <xf numFmtId="0" fontId="7" fillId="0" borderId="74" xfId="0" applyFont="1" applyFill="1" applyBorder="1" applyAlignment="1">
      <alignment horizontal="center"/>
    </xf>
    <xf numFmtId="183" fontId="2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7" fillId="0" borderId="65" xfId="0" applyNumberFormat="1" applyFont="1" applyBorder="1" applyAlignment="1" applyProtection="1">
      <alignment horizontal="center"/>
      <protection/>
    </xf>
    <xf numFmtId="164" fontId="7" fillId="0" borderId="66" xfId="0" applyNumberFormat="1" applyFont="1" applyBorder="1" applyAlignment="1" applyProtection="1">
      <alignment horizontal="center"/>
      <protection/>
    </xf>
    <xf numFmtId="168" fontId="7" fillId="0" borderId="65" xfId="0" applyNumberFormat="1" applyFont="1" applyBorder="1" applyAlignment="1" applyProtection="1">
      <alignment horizontal="center"/>
      <protection/>
    </xf>
    <xf numFmtId="168" fontId="7" fillId="0" borderId="53" xfId="0" applyNumberFormat="1" applyFont="1" applyBorder="1" applyAlignment="1" applyProtection="1">
      <alignment horizontal="center"/>
      <protection/>
    </xf>
    <xf numFmtId="168" fontId="7" fillId="0" borderId="66" xfId="0" applyNumberFormat="1" applyFont="1" applyBorder="1" applyAlignment="1" applyProtection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EDENOR9604" xfId="22"/>
    <cellStyle name="Normal_líneas" xfId="23"/>
    <cellStyle name="Normal_TRAN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1</xdr:col>
      <xdr:colOff>152400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3</xdr:col>
      <xdr:colOff>180975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0</xdr:rowOff>
    </xdr:from>
    <xdr:to>
      <xdr:col>3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3</xdr:col>
      <xdr:colOff>266700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3267075"/>
          <a:ext cx="27336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1228725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267075"/>
          <a:ext cx="34766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200025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3</xdr:col>
      <xdr:colOff>200025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3</xdr:col>
      <xdr:colOff>200025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95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171450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3</xdr:col>
      <xdr:colOff>171450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3</xdr:col>
      <xdr:colOff>133350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Transener_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09"/>
      <sheetName val="LI-07 (1)"/>
      <sheetName val="LI-YACY-07 (1)"/>
      <sheetName val="LI-LITSA-07 (1)"/>
      <sheetName val="LI-IV-07 (1)"/>
      <sheetName val="LI-INTESAR-07 (1)"/>
      <sheetName val="LI-CUYANA-07 (1)"/>
      <sheetName val="LI-LIMSA-07 (1)"/>
      <sheetName val="TR-07 (1)"/>
      <sheetName val="TR-LITSA-07 (1)"/>
      <sheetName val="TR-TIBA-07 (1)"/>
      <sheetName val="TR-ENECOR-07 (1)"/>
      <sheetName val="TR-INTESAR-07 (1)"/>
      <sheetName val="TR-LIMSA-07 (1)"/>
      <sheetName val="TR-CUYANA-07 (1)"/>
      <sheetName val="SA-07 (1)"/>
      <sheetName val="SA-TIBA-07 (1)"/>
      <sheetName val="SA-ENECOR-07 (1)"/>
      <sheetName val="SA-LITSA-07 (1)"/>
      <sheetName val="SA-LIMSA-07 (1)"/>
      <sheetName val="SA-TESA-07 (1)"/>
      <sheetName val="SA-CTM-07 (1)"/>
      <sheetName val="RE-07 (1)"/>
      <sheetName val="RE-YACY-07 (1)"/>
      <sheetName val="RE-LITSA-07 (1)"/>
      <sheetName val="RE-IV-07 (1)"/>
      <sheetName val="SA-07 (2)"/>
      <sheetName val="SA-07 (3)"/>
      <sheetName val="LI-07 (2)"/>
      <sheetName val="RE-Res.01_03"/>
      <sheetName val="SUP-YACYLEC"/>
      <sheetName val="SUP-TIBA"/>
      <sheetName val="SUP-LITSA"/>
      <sheetName val="SUP-LIMSA"/>
      <sheetName val="SUP-ENECOR"/>
      <sheetName val="SUP-TESA"/>
      <sheetName val="SUP-CTM"/>
      <sheetName val="SUP-INTESAR"/>
      <sheetName val="SUP-CUYANA"/>
      <sheetName val="DAG"/>
      <sheetName val="DATO"/>
      <sheetName val="CONDICIONES CLIMATICAS 313"/>
      <sheetName val="CAUSAS-VST-07 (1)"/>
      <sheetName val="RES 142-94 AISL"/>
      <sheetName val="TIEMPOS ET"/>
      <sheetName val="LI (C CLIMA EN ET)"/>
      <sheetName val="REACT (C CLIMA EN  ET)"/>
      <sheetName val="CONDICIONES CLIMATICAS 313-01"/>
      <sheetName val="ATENTADO 313-01 "/>
      <sheetName val="COMIENZO"/>
      <sheetName val="TOTAL"/>
      <sheetName val="MODELO L"/>
      <sheetName val="MODELO L YACYLEC"/>
      <sheetName val="MODELO L LITSA"/>
      <sheetName val="MODELO L IV"/>
      <sheetName val="MODELO L INTESAR"/>
      <sheetName val="MODELO L CUYANA"/>
      <sheetName val="MODELO L LIMSA"/>
      <sheetName val="MODELO T"/>
      <sheetName val="MODELO T LITSA"/>
      <sheetName val="MODELO T TIBA"/>
      <sheetName val="MODELO T ENECOR"/>
      <sheetName val="MODELO T INTESAR"/>
      <sheetName val="MODELO T LIMSA"/>
      <sheetName val="MODELO T CUYANA"/>
      <sheetName val="MODELO S"/>
      <sheetName val="MODELO S TIBA"/>
      <sheetName val="MODELO S ENECOR"/>
      <sheetName val="MODELO S TESA"/>
      <sheetName val="MODELO S CTM"/>
      <sheetName val="MODELO S LITSA"/>
      <sheetName val="MODELO S LIMSA"/>
      <sheetName val="MODELO R"/>
      <sheetName val="MODELO R YACYLEC"/>
      <sheetName val="MODELO R LITSA"/>
      <sheetName val="MODELO R IV"/>
      <sheetName val="MODELO VST"/>
    </sheetNames>
    <definedNames>
      <definedName name="Actualizar_Referencias"/>
    </definedNames>
    <sheetDataSet>
      <sheetData sheetId="0">
        <row r="14">
          <cell r="B14" t="str">
            <v>Desde el 01 al 31 de julio de 2009</v>
          </cell>
        </row>
      </sheetData>
      <sheetData sheetId="40">
        <row r="14">
          <cell r="G14" t="str">
            <v>07</v>
          </cell>
          <cell r="H14" t="str">
            <v>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GF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G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GC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GA26">
            <v>1</v>
          </cell>
          <cell r="GI26">
            <v>1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  <cell r="GE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  <cell r="GL30">
            <v>1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GC34">
            <v>2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  <cell r="GF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  <cell r="GB43">
            <v>1</v>
          </cell>
          <cell r="GC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GB44">
            <v>2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GB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GA46" t="str">
            <v>XXXX</v>
          </cell>
          <cell r="GB46" t="str">
            <v>XXXX</v>
          </cell>
          <cell r="GC46" t="str">
            <v>XXXX</v>
          </cell>
          <cell r="GD46" t="str">
            <v>XXXX</v>
          </cell>
          <cell r="GE46" t="str">
            <v>XXXX</v>
          </cell>
          <cell r="GF46" t="str">
            <v>XXXX</v>
          </cell>
          <cell r="GG46" t="str">
            <v>XXXX</v>
          </cell>
          <cell r="GH46" t="str">
            <v>XXXX</v>
          </cell>
          <cell r="GI46" t="str">
            <v>XXXX</v>
          </cell>
          <cell r="GJ46" t="str">
            <v>XXXX</v>
          </cell>
          <cell r="GK46" t="str">
            <v>XXXX</v>
          </cell>
          <cell r="GL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GH48">
            <v>2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  <cell r="GE51">
            <v>2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GA54" t="str">
            <v>XXXX</v>
          </cell>
          <cell r="GB54" t="str">
            <v>XXXX</v>
          </cell>
          <cell r="GC54" t="str">
            <v>XXXX</v>
          </cell>
          <cell r="GD54" t="str">
            <v>XXXX</v>
          </cell>
          <cell r="GE54" t="str">
            <v>XXXX</v>
          </cell>
          <cell r="GF54" t="str">
            <v>XXXX</v>
          </cell>
          <cell r="GG54" t="str">
            <v>XXXX</v>
          </cell>
          <cell r="GH54" t="str">
            <v>XXXX</v>
          </cell>
          <cell r="GI54" t="str">
            <v>XXXX</v>
          </cell>
          <cell r="GJ54" t="str">
            <v>XXXX</v>
          </cell>
          <cell r="GK54" t="str">
            <v>XXXX</v>
          </cell>
          <cell r="GL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GD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GA57" t="str">
            <v>XXXX</v>
          </cell>
          <cell r="GB57" t="str">
            <v>XXXX</v>
          </cell>
          <cell r="GC57" t="str">
            <v>XXXX</v>
          </cell>
          <cell r="GD57" t="str">
            <v>XXXX</v>
          </cell>
          <cell r="GE57" t="str">
            <v>XXXX</v>
          </cell>
          <cell r="GF57" t="str">
            <v>XXXX</v>
          </cell>
          <cell r="GG57" t="str">
            <v>XXXX</v>
          </cell>
          <cell r="GH57" t="str">
            <v>XXXX</v>
          </cell>
          <cell r="GI57" t="str">
            <v>XXXX</v>
          </cell>
          <cell r="GJ57" t="str">
            <v>XXXX</v>
          </cell>
          <cell r="GK57" t="str">
            <v>XXXX</v>
          </cell>
          <cell r="GL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  <cell r="GE58">
            <v>3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  <cell r="GE59">
            <v>1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GA60">
            <v>1</v>
          </cell>
          <cell r="GB60">
            <v>1</v>
          </cell>
          <cell r="GD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GB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GA62">
            <v>1</v>
          </cell>
          <cell r="GL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GD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GA69">
            <v>1</v>
          </cell>
          <cell r="GD69">
            <v>2</v>
          </cell>
          <cell r="GH69">
            <v>1</v>
          </cell>
          <cell r="GJ69">
            <v>1</v>
          </cell>
          <cell r="GL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GH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GG72">
            <v>1</v>
          </cell>
          <cell r="GH72">
            <v>1</v>
          </cell>
          <cell r="GJ72">
            <v>1</v>
          </cell>
          <cell r="GL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  <cell r="GD73">
            <v>1</v>
          </cell>
          <cell r="GI73">
            <v>1</v>
          </cell>
          <cell r="GJ73">
            <v>1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GC76">
            <v>1</v>
          </cell>
          <cell r="GE76">
            <v>2</v>
          </cell>
          <cell r="GL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GJ77">
            <v>1</v>
          </cell>
          <cell r="GK77">
            <v>2</v>
          </cell>
          <cell r="GL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GC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GA87" t="str">
            <v>XXXX</v>
          </cell>
          <cell r="GB87" t="str">
            <v>XXXX</v>
          </cell>
          <cell r="GC87" t="str">
            <v>XXXX</v>
          </cell>
          <cell r="GD87" t="str">
            <v>XXXX</v>
          </cell>
          <cell r="GE87" t="str">
            <v>XXXX</v>
          </cell>
          <cell r="GF87" t="str">
            <v>XXXX</v>
          </cell>
          <cell r="GG87" t="str">
            <v>XXXX</v>
          </cell>
          <cell r="GH87" t="str">
            <v>XXXX</v>
          </cell>
          <cell r="GI87" t="str">
            <v>XXXX</v>
          </cell>
          <cell r="GJ87" t="str">
            <v>XXXX</v>
          </cell>
          <cell r="GK87" t="str">
            <v>XXXX</v>
          </cell>
          <cell r="GL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GA100">
            <v>0.35</v>
          </cell>
          <cell r="GB100">
            <v>0.35</v>
          </cell>
          <cell r="GC100">
            <v>0.37</v>
          </cell>
          <cell r="GD100">
            <v>0.43</v>
          </cell>
          <cell r="GE100">
            <v>0.46</v>
          </cell>
          <cell r="GF100">
            <v>0.51</v>
          </cell>
          <cell r="GG100">
            <v>0.5</v>
          </cell>
          <cell r="GH100">
            <v>0.5</v>
          </cell>
          <cell r="GI100">
            <v>0.53</v>
          </cell>
          <cell r="GJ100">
            <v>0.54</v>
          </cell>
          <cell r="GK100">
            <v>0.5</v>
          </cell>
          <cell r="GL100">
            <v>0.5</v>
          </cell>
          <cell r="GM100">
            <v>0.56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S57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12.851562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8" customFormat="1" ht="26.25">
      <c r="A1" s="673"/>
      <c r="B1" s="19"/>
      <c r="E1" s="54"/>
      <c r="K1" s="141"/>
    </row>
    <row r="2" spans="2:10" s="18" customFormat="1" ht="26.25">
      <c r="B2" s="19" t="s">
        <v>303</v>
      </c>
      <c r="C2" s="20"/>
      <c r="D2" s="21"/>
      <c r="E2" s="21"/>
      <c r="F2" s="21"/>
      <c r="G2" s="21"/>
      <c r="H2" s="21"/>
      <c r="I2" s="21"/>
      <c r="J2" s="21"/>
    </row>
    <row r="3" spans="3:19" ht="12.75">
      <c r="C3"/>
      <c r="D3" s="22"/>
      <c r="E3" s="22"/>
      <c r="F3" s="22"/>
      <c r="G3" s="22"/>
      <c r="H3" s="22"/>
      <c r="I3" s="22"/>
      <c r="J3" s="22"/>
      <c r="P3" s="4"/>
      <c r="Q3" s="4"/>
      <c r="R3" s="4"/>
      <c r="S3" s="4"/>
    </row>
    <row r="4" spans="1:19" s="25" customFormat="1" ht="11.25">
      <c r="A4" s="23" t="s">
        <v>1</v>
      </c>
      <c r="B4" s="2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25" customFormat="1" ht="11.25">
      <c r="A5" s="23" t="s">
        <v>2</v>
      </c>
      <c r="B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2:19" s="18" customFormat="1" ht="11.25" customHeight="1">
      <c r="B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2:19" s="29" customFormat="1" ht="21">
      <c r="B7" s="83" t="s">
        <v>49</v>
      </c>
      <c r="C7" s="162"/>
      <c r="D7" s="163"/>
      <c r="E7" s="163"/>
      <c r="F7" s="164"/>
      <c r="G7" s="164"/>
      <c r="H7" s="164"/>
      <c r="I7" s="164"/>
      <c r="J7" s="164"/>
      <c r="K7" s="30"/>
      <c r="L7" s="30"/>
      <c r="M7" s="30"/>
      <c r="N7" s="30"/>
      <c r="O7" s="30"/>
      <c r="P7" s="30"/>
      <c r="Q7" s="30"/>
      <c r="R7" s="30"/>
      <c r="S7" s="30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9" customFormat="1" ht="21">
      <c r="B9" s="83" t="s">
        <v>48</v>
      </c>
      <c r="C9" s="162"/>
      <c r="D9" s="163"/>
      <c r="E9" s="163"/>
      <c r="F9" s="163"/>
      <c r="G9" s="163"/>
      <c r="H9" s="163"/>
      <c r="I9" s="164"/>
      <c r="J9" s="164"/>
      <c r="K9" s="30"/>
      <c r="L9" s="30"/>
      <c r="M9" s="30"/>
      <c r="N9" s="30"/>
      <c r="O9" s="30"/>
      <c r="P9" s="30"/>
      <c r="Q9" s="30"/>
      <c r="R9" s="30"/>
      <c r="S9" s="30"/>
    </row>
    <row r="10" spans="4:19" ht="12.75">
      <c r="D10" s="31"/>
      <c r="E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9" customFormat="1" ht="20.25">
      <c r="B11" s="83" t="s">
        <v>286</v>
      </c>
      <c r="C11" s="165"/>
      <c r="D11" s="166"/>
      <c r="E11" s="166"/>
      <c r="F11" s="163"/>
      <c r="G11" s="163"/>
      <c r="H11" s="163"/>
      <c r="I11" s="164"/>
      <c r="J11" s="164"/>
      <c r="K11" s="30"/>
      <c r="L11" s="30"/>
      <c r="M11" s="30"/>
      <c r="N11" s="30"/>
      <c r="O11" s="30"/>
      <c r="P11" s="30"/>
      <c r="Q11" s="30"/>
      <c r="R11" s="30"/>
      <c r="S11" s="30"/>
    </row>
    <row r="12" spans="4:19" s="32" customFormat="1" ht="16.5" thickBot="1">
      <c r="D12" s="3"/>
      <c r="E12" s="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s="32" customFormat="1" ht="16.5" thickTop="1">
      <c r="B13" s="653"/>
      <c r="C13" s="34"/>
      <c r="D13" s="34"/>
      <c r="E13" s="654"/>
      <c r="F13" s="34"/>
      <c r="G13" s="34"/>
      <c r="H13" s="34"/>
      <c r="I13" s="34"/>
      <c r="J13" s="35"/>
      <c r="K13" s="33"/>
      <c r="L13" s="33"/>
      <c r="M13" s="33"/>
      <c r="N13" s="33"/>
      <c r="O13" s="33"/>
      <c r="P13" s="33"/>
      <c r="Q13" s="33"/>
      <c r="R13" s="33"/>
      <c r="S13" s="33"/>
    </row>
    <row r="14" spans="2:19" s="36" customFormat="1" ht="19.5">
      <c r="B14" s="37" t="s">
        <v>131</v>
      </c>
      <c r="C14" s="38"/>
      <c r="D14" s="39"/>
      <c r="E14" s="655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36" customFormat="1" ht="13.5" customHeight="1">
      <c r="B15" s="44"/>
      <c r="C15" s="45"/>
      <c r="D15" s="157"/>
      <c r="E15" s="161"/>
      <c r="F15" s="46"/>
      <c r="G15" s="46"/>
      <c r="H15" s="46"/>
      <c r="I15" s="43"/>
      <c r="J15" s="47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36" customFormat="1" ht="19.5">
      <c r="B16" s="44"/>
      <c r="C16" s="48" t="s">
        <v>3</v>
      </c>
      <c r="D16" s="157" t="s">
        <v>0</v>
      </c>
      <c r="E16" s="161"/>
      <c r="F16" s="46"/>
      <c r="G16" s="46"/>
      <c r="H16" s="46"/>
      <c r="I16" s="49"/>
      <c r="J16" s="47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36" customFormat="1" ht="19.5">
      <c r="B17" s="44"/>
      <c r="C17" s="48"/>
      <c r="D17" s="157">
        <v>11</v>
      </c>
      <c r="E17" s="158" t="s">
        <v>4</v>
      </c>
      <c r="F17" s="46"/>
      <c r="G17" s="46"/>
      <c r="H17" s="46"/>
      <c r="I17" s="49">
        <f>'LI-07 (2)'!AE43</f>
        <v>142199.6</v>
      </c>
      <c r="J17" s="47"/>
      <c r="K17" s="43"/>
      <c r="L17" s="43"/>
      <c r="M17" s="43"/>
      <c r="N17" s="43"/>
      <c r="O17" s="43"/>
      <c r="P17" s="43"/>
      <c r="Q17" s="43"/>
      <c r="R17" s="43"/>
      <c r="S17" s="43"/>
    </row>
    <row r="18" spans="2:19" s="36" customFormat="1" ht="19.5">
      <c r="B18" s="44"/>
      <c r="C18" s="48"/>
      <c r="D18" s="157">
        <v>14</v>
      </c>
      <c r="E18" s="158" t="s">
        <v>218</v>
      </c>
      <c r="F18" s="46"/>
      <c r="G18" s="46"/>
      <c r="H18" s="46"/>
      <c r="I18" s="49">
        <f>'L IV-07(1)'!AE43</f>
        <v>422948.69</v>
      </c>
      <c r="J18" s="47"/>
      <c r="K18" s="43"/>
      <c r="L18" s="43"/>
      <c r="M18" s="43"/>
      <c r="N18" s="43"/>
      <c r="O18" s="43"/>
      <c r="P18" s="43"/>
      <c r="Q18" s="43"/>
      <c r="R18" s="43"/>
      <c r="S18" s="43"/>
    </row>
    <row r="19" spans="2:19" s="36" customFormat="1" ht="19.5">
      <c r="B19" s="44"/>
      <c r="C19" s="48"/>
      <c r="D19" s="157">
        <v>15</v>
      </c>
      <c r="E19" s="158" t="s">
        <v>219</v>
      </c>
      <c r="F19" s="46"/>
      <c r="G19" s="46"/>
      <c r="H19" s="46"/>
      <c r="I19" s="49">
        <f>' L INTESAR-07(1)'!AE41</f>
        <v>160.05</v>
      </c>
      <c r="J19" s="47"/>
      <c r="K19" s="43"/>
      <c r="L19" s="43"/>
      <c r="M19" s="43"/>
      <c r="N19" s="43"/>
      <c r="O19" s="43"/>
      <c r="P19" s="43"/>
      <c r="Q19" s="43"/>
      <c r="R19" s="43"/>
      <c r="S19" s="43"/>
    </row>
    <row r="20" spans="2:19" ht="12.75" customHeight="1">
      <c r="B20" s="50"/>
      <c r="C20" s="51"/>
      <c r="D20" s="157"/>
      <c r="E20" s="656"/>
      <c r="F20" s="52"/>
      <c r="G20" s="52"/>
      <c r="H20" s="52"/>
      <c r="I20" s="53"/>
      <c r="J20" s="6"/>
      <c r="K20" s="43"/>
      <c r="L20" s="4"/>
      <c r="M20" s="4"/>
      <c r="N20" s="4"/>
      <c r="O20" s="4"/>
      <c r="P20" s="4"/>
      <c r="Q20" s="4"/>
      <c r="R20" s="4"/>
      <c r="S20" s="4"/>
    </row>
    <row r="21" spans="2:19" s="36" customFormat="1" ht="19.5">
      <c r="B21" s="44"/>
      <c r="C21" s="48" t="s">
        <v>5</v>
      </c>
      <c r="D21" s="160" t="s">
        <v>6</v>
      </c>
      <c r="E21" s="161"/>
      <c r="F21" s="46"/>
      <c r="G21" s="46"/>
      <c r="H21" s="46"/>
      <c r="I21" s="49"/>
      <c r="J21" s="47"/>
      <c r="K21" s="43"/>
      <c r="L21" s="43"/>
      <c r="M21" s="43"/>
      <c r="N21" s="43"/>
      <c r="O21" s="43"/>
      <c r="P21" s="43"/>
      <c r="Q21" s="43"/>
      <c r="R21" s="43"/>
      <c r="S21" s="43"/>
    </row>
    <row r="22" spans="2:19" s="36" customFormat="1" ht="19.5">
      <c r="B22" s="44"/>
      <c r="C22" s="48"/>
      <c r="D22" s="157">
        <v>21</v>
      </c>
      <c r="E22" s="158" t="s">
        <v>7</v>
      </c>
      <c r="F22" s="46"/>
      <c r="G22" s="46"/>
      <c r="H22" s="46"/>
      <c r="I22" s="49"/>
      <c r="J22" s="47"/>
      <c r="K22" s="43"/>
      <c r="L22" s="43"/>
      <c r="M22" s="43"/>
      <c r="N22" s="43"/>
      <c r="O22" s="43"/>
      <c r="P22" s="43"/>
      <c r="Q22" s="43"/>
      <c r="R22" s="43"/>
      <c r="S22" s="43"/>
    </row>
    <row r="23" spans="2:19" s="36" customFormat="1" ht="19.5">
      <c r="B23" s="44"/>
      <c r="C23" s="48"/>
      <c r="D23" s="157"/>
      <c r="E23" s="159">
        <v>211</v>
      </c>
      <c r="F23" s="54" t="s">
        <v>4</v>
      </c>
      <c r="G23" s="46"/>
      <c r="H23" s="46"/>
      <c r="I23" s="49">
        <f>'TR-07 (1)'!AC43</f>
        <v>19745.46</v>
      </c>
      <c r="J23" s="47"/>
      <c r="K23" s="43"/>
      <c r="L23" s="43"/>
      <c r="M23" s="43"/>
      <c r="N23" s="43"/>
      <c r="O23" s="43"/>
      <c r="P23" s="43"/>
      <c r="Q23" s="43"/>
      <c r="R23" s="43"/>
      <c r="S23" s="43"/>
    </row>
    <row r="24" spans="2:19" s="36" customFormat="1" ht="19.5">
      <c r="B24" s="44"/>
      <c r="C24" s="48"/>
      <c r="D24" s="157"/>
      <c r="E24" s="159" t="s">
        <v>291</v>
      </c>
      <c r="F24" s="54" t="s">
        <v>292</v>
      </c>
      <c r="G24" s="46"/>
      <c r="H24" s="46"/>
      <c r="I24" s="49">
        <f>+'T4CH - Nota SE N° 2492'!AC43</f>
        <v>71200.8</v>
      </c>
      <c r="J24" s="6" t="s">
        <v>294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2:19" s="36" customFormat="1" ht="19.5">
      <c r="B25" s="44"/>
      <c r="C25" s="48"/>
      <c r="D25" s="157">
        <v>22</v>
      </c>
      <c r="E25" s="158" t="s">
        <v>8</v>
      </c>
      <c r="F25" s="46"/>
      <c r="G25" s="46"/>
      <c r="H25" s="46"/>
      <c r="I25" s="49"/>
      <c r="J25" s="47"/>
      <c r="K25" s="43"/>
      <c r="L25" s="43"/>
      <c r="M25" s="43"/>
      <c r="N25" s="43"/>
      <c r="O25" s="43"/>
      <c r="P25" s="43"/>
      <c r="Q25" s="43"/>
      <c r="R25" s="43"/>
      <c r="S25" s="43"/>
    </row>
    <row r="26" spans="2:19" s="36" customFormat="1" ht="19.5">
      <c r="B26" s="44"/>
      <c r="C26" s="48"/>
      <c r="D26" s="157"/>
      <c r="E26" s="159">
        <v>221</v>
      </c>
      <c r="F26" s="54" t="s">
        <v>4</v>
      </c>
      <c r="G26" s="46"/>
      <c r="H26" s="46"/>
      <c r="I26" s="49">
        <f>'SA-07 (3)'!V45</f>
        <v>309416.05</v>
      </c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2:19" s="36" customFormat="1" ht="19.5">
      <c r="B27" s="44"/>
      <c r="C27" s="48"/>
      <c r="D27" s="157"/>
      <c r="E27" s="159">
        <v>222</v>
      </c>
      <c r="F27" s="54" t="s">
        <v>283</v>
      </c>
      <c r="G27" s="46"/>
      <c r="H27" s="46"/>
      <c r="I27" s="49">
        <f>'SA-TIBA-07 (1)'!V43</f>
        <v>7439.92</v>
      </c>
      <c r="J27" s="47"/>
      <c r="K27" s="43"/>
      <c r="L27" s="43"/>
      <c r="M27" s="43"/>
      <c r="N27" s="43"/>
      <c r="O27" s="43"/>
      <c r="P27" s="43"/>
      <c r="Q27" s="43"/>
      <c r="R27" s="43"/>
      <c r="S27" s="43"/>
    </row>
    <row r="28" spans="2:19" s="36" customFormat="1" ht="19.5">
      <c r="B28" s="44"/>
      <c r="C28" s="48"/>
      <c r="D28" s="157"/>
      <c r="E28" s="159">
        <v>226</v>
      </c>
      <c r="F28" s="54" t="s">
        <v>220</v>
      </c>
      <c r="G28" s="46"/>
      <c r="H28" s="46"/>
      <c r="I28" s="49">
        <f>'S LIMSA-07(1)'!V45</f>
        <v>3544.01</v>
      </c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2:19" s="36" customFormat="1" ht="19.5">
      <c r="B29" s="44"/>
      <c r="C29" s="48"/>
      <c r="D29" s="157"/>
      <c r="E29" s="159"/>
      <c r="F29" s="54"/>
      <c r="G29" s="46"/>
      <c r="H29" s="46"/>
      <c r="I29" s="49"/>
      <c r="J29" s="47"/>
      <c r="K29" s="43"/>
      <c r="L29" s="43"/>
      <c r="M29" s="43"/>
      <c r="N29" s="43"/>
      <c r="O29" s="43"/>
      <c r="P29" s="43"/>
      <c r="Q29" s="43"/>
      <c r="R29" s="43"/>
      <c r="S29" s="43"/>
    </row>
    <row r="30" spans="2:19" ht="12.75" customHeight="1">
      <c r="B30" s="50"/>
      <c r="C30" s="51"/>
      <c r="D30" s="157"/>
      <c r="E30" s="656"/>
      <c r="F30" s="52"/>
      <c r="G30" s="52"/>
      <c r="H30" s="52"/>
      <c r="I30" s="53"/>
      <c r="J30" s="6"/>
      <c r="K30" s="43"/>
      <c r="L30" s="4"/>
      <c r="M30" s="4"/>
      <c r="N30" s="4"/>
      <c r="O30" s="4"/>
      <c r="P30" s="4"/>
      <c r="Q30" s="4"/>
      <c r="R30" s="4"/>
      <c r="S30" s="4"/>
    </row>
    <row r="31" spans="2:19" s="36" customFormat="1" ht="19.5">
      <c r="B31" s="44"/>
      <c r="C31" s="48" t="s">
        <v>9</v>
      </c>
      <c r="D31" s="160" t="s">
        <v>50</v>
      </c>
      <c r="E31" s="161"/>
      <c r="F31" s="46"/>
      <c r="G31" s="46"/>
      <c r="H31" s="46"/>
      <c r="I31" s="49"/>
      <c r="J31" s="47"/>
      <c r="K31" s="43"/>
      <c r="L31" s="43"/>
      <c r="M31" s="43"/>
      <c r="N31" s="43"/>
      <c r="O31" s="43"/>
      <c r="P31" s="43"/>
      <c r="Q31" s="43"/>
      <c r="R31" s="43"/>
      <c r="S31" s="43"/>
    </row>
    <row r="32" spans="2:19" s="36" customFormat="1" ht="19.5">
      <c r="B32" s="44"/>
      <c r="C32" s="48"/>
      <c r="D32" s="157">
        <v>31</v>
      </c>
      <c r="E32" s="158" t="s">
        <v>4</v>
      </c>
      <c r="F32" s="46"/>
      <c r="G32" s="46"/>
      <c r="H32" s="46"/>
      <c r="I32" s="49">
        <f>'RE-07 (1)'!Z43</f>
        <v>79696.57</v>
      </c>
      <c r="J32" s="47"/>
      <c r="K32" s="43"/>
      <c r="L32" s="43"/>
      <c r="M32" s="43"/>
      <c r="N32" s="43"/>
      <c r="O32" s="43"/>
      <c r="P32" s="43"/>
      <c r="Q32" s="43"/>
      <c r="R32" s="43"/>
      <c r="S32" s="43"/>
    </row>
    <row r="33" spans="2:19" s="36" customFormat="1" ht="12.75" customHeight="1">
      <c r="B33" s="44"/>
      <c r="C33" s="48"/>
      <c r="D33" s="157"/>
      <c r="E33" s="158"/>
      <c r="F33" s="46"/>
      <c r="G33" s="46"/>
      <c r="H33" s="46"/>
      <c r="I33" s="49"/>
      <c r="J33" s="47"/>
      <c r="K33" s="43"/>
      <c r="L33" s="43"/>
      <c r="M33" s="43"/>
      <c r="N33" s="43"/>
      <c r="O33" s="43"/>
      <c r="P33" s="43"/>
      <c r="Q33" s="43"/>
      <c r="R33" s="43"/>
      <c r="S33" s="43"/>
    </row>
    <row r="34" spans="2:19" s="36" customFormat="1" ht="19.5">
      <c r="B34" s="44"/>
      <c r="C34" s="48" t="s">
        <v>51</v>
      </c>
      <c r="D34" s="160" t="s">
        <v>52</v>
      </c>
      <c r="E34" s="161"/>
      <c r="F34" s="46"/>
      <c r="G34" s="46"/>
      <c r="H34" s="46"/>
      <c r="I34" s="49"/>
      <c r="J34" s="47"/>
      <c r="K34" s="43"/>
      <c r="L34" s="43"/>
      <c r="M34" s="43"/>
      <c r="N34" s="43"/>
      <c r="O34" s="43"/>
      <c r="P34" s="43"/>
      <c r="Q34" s="43"/>
      <c r="R34" s="43"/>
      <c r="S34" s="43"/>
    </row>
    <row r="35" spans="2:19" s="36" customFormat="1" ht="19.5">
      <c r="B35" s="44"/>
      <c r="C35" s="48"/>
      <c r="D35" s="157">
        <v>43</v>
      </c>
      <c r="E35" s="158" t="s">
        <v>53</v>
      </c>
      <c r="F35" s="46"/>
      <c r="G35" s="46"/>
      <c r="H35" s="46"/>
      <c r="I35" s="49">
        <f>'SUP-TIBA'!J68</f>
        <v>1852.5217409771335</v>
      </c>
      <c r="J35" s="47"/>
      <c r="K35" s="43"/>
      <c r="L35" s="43"/>
      <c r="M35" s="43"/>
      <c r="N35" s="43"/>
      <c r="O35" s="43"/>
      <c r="P35" s="43"/>
      <c r="Q35" s="43"/>
      <c r="R35" s="43"/>
      <c r="S35" s="43"/>
    </row>
    <row r="36" spans="2:19" s="36" customFormat="1" ht="19.5">
      <c r="B36" s="44"/>
      <c r="C36" s="48"/>
      <c r="D36" s="157">
        <v>47</v>
      </c>
      <c r="E36" s="158" t="s">
        <v>221</v>
      </c>
      <c r="F36" s="46"/>
      <c r="G36" s="46"/>
      <c r="H36" s="684"/>
      <c r="I36" s="49">
        <f>'SUP-INTESAR'!K65</f>
        <v>106.70011324872</v>
      </c>
      <c r="J36" s="47"/>
      <c r="K36" s="43"/>
      <c r="L36" s="43"/>
      <c r="M36" s="43"/>
      <c r="N36" s="43"/>
      <c r="O36" s="43"/>
      <c r="P36" s="43"/>
      <c r="Q36" s="43"/>
      <c r="R36" s="43"/>
      <c r="S36" s="43"/>
    </row>
    <row r="37" spans="2:19" s="36" customFormat="1" ht="19.5">
      <c r="B37" s="44"/>
      <c r="C37" s="48"/>
      <c r="D37" s="157">
        <v>49</v>
      </c>
      <c r="E37" s="158" t="s">
        <v>222</v>
      </c>
      <c r="F37" s="46"/>
      <c r="G37" s="46"/>
      <c r="H37" s="684"/>
      <c r="I37" s="49">
        <f>'SUP-LIMSA'!L74</f>
        <v>3361.3985280000006</v>
      </c>
      <c r="J37" s="47"/>
      <c r="K37" s="43"/>
      <c r="L37" s="43"/>
      <c r="M37" s="43"/>
      <c r="N37" s="43"/>
      <c r="O37" s="43"/>
      <c r="P37" s="43"/>
      <c r="Q37" s="43"/>
      <c r="R37" s="43"/>
      <c r="S37" s="43"/>
    </row>
    <row r="38" spans="2:19" s="36" customFormat="1" ht="11.25" customHeight="1">
      <c r="B38" s="44"/>
      <c r="C38" s="48"/>
      <c r="D38" s="157"/>
      <c r="E38" s="158"/>
      <c r="F38" s="46"/>
      <c r="G38" s="46"/>
      <c r="H38" s="684"/>
      <c r="I38" s="49"/>
      <c r="J38" s="47"/>
      <c r="K38" s="43"/>
      <c r="L38" s="43"/>
      <c r="M38" s="43"/>
      <c r="N38" s="43"/>
      <c r="O38" s="43"/>
      <c r="P38" s="43"/>
      <c r="Q38" s="43"/>
      <c r="R38" s="43"/>
      <c r="S38" s="43"/>
    </row>
    <row r="39" spans="2:19" s="36" customFormat="1" ht="20.25" thickBot="1">
      <c r="B39" s="44"/>
      <c r="C39" s="45"/>
      <c r="D39" s="157"/>
      <c r="E39" s="161"/>
      <c r="F39" s="46"/>
      <c r="G39" s="46"/>
      <c r="H39" s="46"/>
      <c r="I39" s="43"/>
      <c r="J39" s="47"/>
      <c r="K39" s="43"/>
      <c r="L39" s="43"/>
      <c r="M39" s="43"/>
      <c r="N39" s="43"/>
      <c r="O39" s="43"/>
      <c r="P39" s="43"/>
      <c r="Q39" s="43"/>
      <c r="R39" s="43"/>
      <c r="S39" s="43"/>
    </row>
    <row r="40" spans="2:19" s="36" customFormat="1" ht="20.25" thickBot="1" thickTop="1">
      <c r="B40" s="44"/>
      <c r="C40" s="48"/>
      <c r="D40" s="48"/>
      <c r="F40" s="55" t="s">
        <v>10</v>
      </c>
      <c r="G40" s="56">
        <f>SUM(I17:I37)</f>
        <v>1061671.7703822262</v>
      </c>
      <c r="H40" s="123"/>
      <c r="J40" s="47"/>
      <c r="K40" s="43"/>
      <c r="L40" s="43"/>
      <c r="M40" s="43"/>
      <c r="N40" s="43"/>
      <c r="O40" s="43"/>
      <c r="P40" s="43"/>
      <c r="Q40" s="43"/>
      <c r="R40" s="43"/>
      <c r="S40" s="43"/>
    </row>
    <row r="41" spans="2:19" s="36" customFormat="1" ht="9.75" customHeight="1" thickTop="1">
      <c r="B41" s="44"/>
      <c r="C41" s="48"/>
      <c r="D41" s="48"/>
      <c r="F41" s="156"/>
      <c r="G41" s="123"/>
      <c r="H41" s="123"/>
      <c r="J41" s="47"/>
      <c r="K41" s="43"/>
      <c r="L41" s="43"/>
      <c r="M41" s="43"/>
      <c r="N41" s="43"/>
      <c r="O41" s="43"/>
      <c r="P41" s="43"/>
      <c r="Q41" s="43"/>
      <c r="R41" s="43"/>
      <c r="S41" s="43"/>
    </row>
    <row r="42" spans="2:19" s="36" customFormat="1" ht="18.75">
      <c r="B42" s="44"/>
      <c r="C42" s="944" t="s">
        <v>284</v>
      </c>
      <c r="D42" s="48"/>
      <c r="F42" s="156"/>
      <c r="G42" s="123"/>
      <c r="H42" s="123"/>
      <c r="I42" s="685"/>
      <c r="J42" s="47"/>
      <c r="K42" s="43"/>
      <c r="L42" s="43"/>
      <c r="M42" s="43"/>
      <c r="N42" s="43"/>
      <c r="O42" s="43"/>
      <c r="P42" s="43"/>
      <c r="Q42" s="43"/>
      <c r="R42" s="43"/>
      <c r="S42" s="43"/>
    </row>
    <row r="43" spans="2:19" s="36" customFormat="1" ht="18.75">
      <c r="B43" s="44"/>
      <c r="C43" s="944" t="s">
        <v>296</v>
      </c>
      <c r="D43" s="48"/>
      <c r="F43" s="156"/>
      <c r="G43" s="123"/>
      <c r="H43" s="123"/>
      <c r="I43" s="685"/>
      <c r="J43" s="47"/>
      <c r="K43" s="43"/>
      <c r="L43" s="43"/>
      <c r="M43" s="43"/>
      <c r="N43" s="43"/>
      <c r="O43" s="43"/>
      <c r="P43" s="43"/>
      <c r="Q43" s="43"/>
      <c r="R43" s="43"/>
      <c r="S43" s="43"/>
    </row>
    <row r="44" spans="2:19" s="36" customFormat="1" ht="18.75">
      <c r="B44" s="44"/>
      <c r="C44" s="944" t="s">
        <v>295</v>
      </c>
      <c r="D44" s="48"/>
      <c r="F44" s="156"/>
      <c r="G44" s="123"/>
      <c r="H44" s="123"/>
      <c r="I44" s="685"/>
      <c r="J44" s="47"/>
      <c r="K44" s="43"/>
      <c r="L44" s="43"/>
      <c r="M44" s="43"/>
      <c r="N44" s="43"/>
      <c r="O44" s="43"/>
      <c r="P44" s="43"/>
      <c r="Q44" s="43"/>
      <c r="R44" s="43"/>
      <c r="S44" s="43"/>
    </row>
    <row r="45" spans="2:19" s="36" customFormat="1" ht="10.5" customHeight="1">
      <c r="B45" s="44"/>
      <c r="C45" s="944"/>
      <c r="D45" s="48"/>
      <c r="F45" s="156"/>
      <c r="G45" s="123"/>
      <c r="H45" s="123"/>
      <c r="I45" s="685"/>
      <c r="J45" s="47"/>
      <c r="K45" s="43"/>
      <c r="L45" s="43"/>
      <c r="M45" s="43"/>
      <c r="N45" s="43"/>
      <c r="O45" s="43"/>
      <c r="P45" s="43"/>
      <c r="Q45" s="43"/>
      <c r="R45" s="43"/>
      <c r="S45" s="43"/>
    </row>
    <row r="46" spans="2:19" s="32" customFormat="1" ht="10.5" customHeight="1" thickBot="1">
      <c r="B46" s="57"/>
      <c r="C46" s="58"/>
      <c r="D46" s="58"/>
      <c r="E46" s="59"/>
      <c r="F46" s="59"/>
      <c r="G46" s="59"/>
      <c r="H46" s="59"/>
      <c r="I46" s="59"/>
      <c r="J46" s="60"/>
      <c r="K46" s="33"/>
      <c r="L46" s="33"/>
      <c r="M46" s="61"/>
      <c r="N46" s="62"/>
      <c r="O46" s="62"/>
      <c r="P46" s="63"/>
      <c r="Q46" s="64"/>
      <c r="R46" s="33"/>
      <c r="S46" s="33"/>
    </row>
    <row r="47" spans="4:19" ht="13.5" thickTop="1">
      <c r="D47" s="4"/>
      <c r="F47" s="4"/>
      <c r="G47" s="4"/>
      <c r="H47" s="4"/>
      <c r="I47" s="4"/>
      <c r="J47" s="4"/>
      <c r="K47" s="4"/>
      <c r="L47" s="4"/>
      <c r="M47" s="15"/>
      <c r="N47" s="65"/>
      <c r="O47" s="65"/>
      <c r="P47" s="4"/>
      <c r="Q47" s="66"/>
      <c r="R47" s="4"/>
      <c r="S47" s="4"/>
    </row>
    <row r="48" spans="4:19" ht="12.75">
      <c r="D48" s="4"/>
      <c r="F48" s="4"/>
      <c r="G48" s="4"/>
      <c r="H48" s="4"/>
      <c r="I48" s="4"/>
      <c r="J48" s="4"/>
      <c r="K48" s="4"/>
      <c r="L48" s="4"/>
      <c r="M48" s="4"/>
      <c r="N48" s="67"/>
      <c r="O48" s="67"/>
      <c r="P48" s="68"/>
      <c r="Q48" s="66"/>
      <c r="R48" s="4"/>
      <c r="S48" s="4"/>
    </row>
    <row r="49" spans="4:19" ht="12.75">
      <c r="D49" s="4"/>
      <c r="E49" s="4"/>
      <c r="F49" s="4"/>
      <c r="G49" s="4"/>
      <c r="H49" s="4"/>
      <c r="I49" s="4"/>
      <c r="J49" s="4"/>
      <c r="K49" s="4"/>
      <c r="L49" s="4"/>
      <c r="M49" s="4"/>
      <c r="N49" s="67"/>
      <c r="O49" s="67"/>
      <c r="P49" s="68"/>
      <c r="Q49" s="66"/>
      <c r="R49" s="4"/>
      <c r="S49" s="4"/>
    </row>
    <row r="50" spans="4:19" ht="12.75">
      <c r="D50" s="4"/>
      <c r="E50" s="4"/>
      <c r="L50" s="4"/>
      <c r="M50" s="4"/>
      <c r="N50" s="4"/>
      <c r="O50" s="4"/>
      <c r="P50" s="4"/>
      <c r="Q50" s="4"/>
      <c r="R50" s="4"/>
      <c r="S50" s="4"/>
    </row>
    <row r="51" spans="4:19" ht="12.75">
      <c r="D51" s="4"/>
      <c r="E51" s="4"/>
      <c r="P51" s="4"/>
      <c r="Q51" s="4"/>
      <c r="R51" s="4"/>
      <c r="S51" s="4"/>
    </row>
    <row r="52" spans="4:19" ht="12.75">
      <c r="D52" s="4"/>
      <c r="E52" s="4"/>
      <c r="P52" s="4"/>
      <c r="Q52" s="4"/>
      <c r="R52" s="4"/>
      <c r="S52" s="4"/>
    </row>
    <row r="53" spans="4:19" ht="12.75">
      <c r="D53" s="4"/>
      <c r="E53" s="4"/>
      <c r="P53" s="4"/>
      <c r="Q53" s="4"/>
      <c r="R53" s="4"/>
      <c r="S53" s="4"/>
    </row>
    <row r="54" spans="4:19" ht="12.75">
      <c r="D54" s="4"/>
      <c r="E54" s="4"/>
      <c r="P54" s="4"/>
      <c r="Q54" s="4"/>
      <c r="R54" s="4"/>
      <c r="S54" s="4"/>
    </row>
    <row r="55" spans="4:19" ht="12.75">
      <c r="D55" s="4"/>
      <c r="E55" s="4"/>
      <c r="P55" s="4"/>
      <c r="Q55" s="4"/>
      <c r="R55" s="4"/>
      <c r="S55" s="4"/>
    </row>
    <row r="56" spans="16:19" ht="12.75">
      <c r="P56" s="4"/>
      <c r="Q56" s="4"/>
      <c r="R56" s="4"/>
      <c r="S56" s="4"/>
    </row>
    <row r="57" spans="16:19" ht="12.75">
      <c r="P57" s="4"/>
      <c r="Q57" s="4"/>
      <c r="R57" s="4"/>
      <c r="S57" s="4"/>
    </row>
  </sheetData>
  <printOptions horizontalCentered="1" verticalCentered="1"/>
  <pageMargins left="0.3937007874015748" right="0.5905511811023623" top="0.7480314960629921" bottom="0.7874015748031497" header="0.5905511811023623" footer="0.5118110236220472"/>
  <pageSetup orientation="portrait" paperSize="9" scale="63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AC157"/>
  <sheetViews>
    <sheetView zoomScale="70" zoomScaleNormal="70" workbookViewId="0" topLeftCell="C1">
      <selection activeCell="K32" sqref="K32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25.7109375" style="0" customWidth="1"/>
    <col min="8" max="8" width="8.00390625" style="0" customWidth="1"/>
    <col min="9" max="9" width="5.421875" style="0" hidden="1" customWidth="1"/>
    <col min="10" max="11" width="15.7109375" style="0" customWidth="1"/>
    <col min="12" max="15" width="9.7109375" style="0" customWidth="1"/>
    <col min="16" max="16" width="6.00390625" style="0" customWidth="1"/>
    <col min="17" max="17" width="3.7109375" style="0" hidden="1" customWidth="1"/>
    <col min="18" max="18" width="13.140625" style="0" hidden="1" customWidth="1"/>
    <col min="19" max="22" width="9.57421875" style="0" hidden="1" customWidth="1"/>
    <col min="23" max="24" width="12.28125" style="0" hidden="1" customWidth="1"/>
    <col min="25" max="25" width="9.7109375" style="0" customWidth="1"/>
    <col min="26" max="26" width="15.7109375" style="0" customWidth="1"/>
    <col min="27" max="27" width="4.140625" style="0" customWidth="1"/>
  </cols>
  <sheetData>
    <row r="1" s="18" customFormat="1" ht="26.25">
      <c r="AA1" s="141"/>
    </row>
    <row r="2" spans="1:27" s="18" customFormat="1" ht="26.25">
      <c r="A2" s="89"/>
      <c r="B2" s="373" t="str">
        <f>+'TOT-0709'!B2</f>
        <v>ANEXO II al Memorándum D.T.E.E. N° 256 /2011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7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s="29" customFormat="1" ht="20.25">
      <c r="B8" s="79"/>
      <c r="C8" s="30"/>
      <c r="D8" s="30"/>
      <c r="F8" s="167" t="s">
        <v>68</v>
      </c>
      <c r="G8" s="374"/>
      <c r="H8" s="164"/>
      <c r="I8" s="163"/>
      <c r="J8" s="163"/>
      <c r="K8" s="163"/>
      <c r="L8" s="163"/>
      <c r="M8" s="163"/>
      <c r="N8" s="163"/>
      <c r="O8" s="163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375"/>
    </row>
    <row r="9" spans="2:27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2:27" s="29" customFormat="1" ht="20.25">
      <c r="B10" s="79"/>
      <c r="C10" s="30"/>
      <c r="D10" s="30"/>
      <c r="F10" s="11" t="s">
        <v>69</v>
      </c>
      <c r="H10" s="376"/>
      <c r="I10" s="81"/>
      <c r="J10" s="81"/>
      <c r="K10" s="81"/>
      <c r="L10" s="81"/>
      <c r="M10" s="81"/>
      <c r="N10" s="81"/>
      <c r="O10" s="81"/>
      <c r="P10" s="81"/>
      <c r="Q10" s="81"/>
      <c r="R10" s="30"/>
      <c r="S10" s="30"/>
      <c r="T10" s="30"/>
      <c r="U10" s="30"/>
      <c r="V10" s="30"/>
      <c r="W10" s="30"/>
      <c r="X10" s="30"/>
      <c r="Y10" s="30"/>
      <c r="Z10" s="30"/>
      <c r="AA10" s="80"/>
    </row>
    <row r="11" spans="2:27" s="5" customFormat="1" ht="16.5" customHeight="1">
      <c r="B11" s="50"/>
      <c r="C11" s="4"/>
      <c r="D11" s="4"/>
      <c r="E11" s="4"/>
      <c r="F11" s="78"/>
      <c r="H11" s="31"/>
      <c r="I11" s="72"/>
      <c r="J11" s="72"/>
      <c r="K11" s="72"/>
      <c r="L11" s="72"/>
      <c r="M11" s="72"/>
      <c r="N11" s="72"/>
      <c r="O11" s="72"/>
      <c r="P11" s="72"/>
      <c r="Q11" s="72"/>
      <c r="R11" s="4"/>
      <c r="S11" s="4"/>
      <c r="T11" s="4"/>
      <c r="U11" s="4"/>
      <c r="V11" s="4"/>
      <c r="W11" s="4"/>
      <c r="X11" s="4"/>
      <c r="Y11" s="4"/>
      <c r="Z11" s="4"/>
      <c r="AA11" s="6"/>
    </row>
    <row r="12" spans="2:27" s="29" customFormat="1" ht="20.25">
      <c r="B12" s="79"/>
      <c r="C12" s="30"/>
      <c r="D12" s="30"/>
      <c r="F12" s="11" t="s">
        <v>70</v>
      </c>
      <c r="H12" s="376"/>
      <c r="I12" s="81"/>
      <c r="J12" s="81"/>
      <c r="K12" s="81"/>
      <c r="L12" s="81"/>
      <c r="M12" s="81"/>
      <c r="N12" s="81"/>
      <c r="O12" s="81"/>
      <c r="P12" s="81"/>
      <c r="Q12" s="81"/>
      <c r="R12" s="30"/>
      <c r="S12" s="30"/>
      <c r="T12" s="30"/>
      <c r="U12" s="30"/>
      <c r="V12" s="30"/>
      <c r="W12" s="30"/>
      <c r="X12" s="30"/>
      <c r="Y12" s="30"/>
      <c r="Z12" s="30"/>
      <c r="AA12" s="80"/>
    </row>
    <row r="13" spans="2:27" s="5" customFormat="1" ht="16.5" customHeight="1">
      <c r="B13" s="50"/>
      <c r="C13" s="4"/>
      <c r="D13" s="4"/>
      <c r="E13" s="4"/>
      <c r="F13" s="78"/>
      <c r="H13" s="31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4"/>
      <c r="T13" s="4"/>
      <c r="U13" s="4"/>
      <c r="V13" s="4"/>
      <c r="W13" s="4"/>
      <c r="X13" s="4"/>
      <c r="Y13" s="4"/>
      <c r="Z13" s="4"/>
      <c r="AA13" s="6"/>
    </row>
    <row r="14" spans="2:27" s="36" customFormat="1" ht="16.5" customHeight="1">
      <c r="B14" s="37" t="str">
        <f>'TOT-0709'!B14</f>
        <v>Desde el 01 al 31 de julio de 2009</v>
      </c>
      <c r="C14" s="40"/>
      <c r="D14" s="40"/>
      <c r="E14" s="377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7"/>
      <c r="S14" s="377"/>
      <c r="T14" s="377"/>
      <c r="U14" s="377"/>
      <c r="V14" s="377"/>
      <c r="W14" s="377"/>
      <c r="X14" s="377"/>
      <c r="Y14" s="377"/>
      <c r="Z14" s="377"/>
      <c r="AA14" s="379"/>
    </row>
    <row r="15" spans="2:27" s="5" customFormat="1" ht="16.5" customHeight="1" thickBot="1">
      <c r="B15" s="5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R15" s="4"/>
      <c r="S15" s="4"/>
      <c r="T15" s="4"/>
      <c r="U15" s="4"/>
      <c r="V15" s="4"/>
      <c r="W15" s="4"/>
      <c r="X15" s="4"/>
      <c r="Y15" s="4"/>
      <c r="Z15" s="4"/>
      <c r="AA15" s="6"/>
    </row>
    <row r="16" spans="2:27" s="5" customFormat="1" ht="16.5" customHeight="1" thickBot="1" thickTop="1">
      <c r="B16" s="50"/>
      <c r="C16" s="4"/>
      <c r="D16" s="4"/>
      <c r="E16" s="4"/>
      <c r="F16" s="114" t="s">
        <v>60</v>
      </c>
      <c r="G16" s="380"/>
      <c r="H16" s="240">
        <v>0.319</v>
      </c>
      <c r="I16" s="328"/>
      <c r="J16"/>
      <c r="K16" s="4"/>
      <c r="L16" s="4"/>
      <c r="M16" s="4"/>
      <c r="N16" s="4"/>
      <c r="O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2:27" s="5" customFormat="1" ht="16.5" customHeight="1" thickBot="1" thickTop="1">
      <c r="B17" s="50"/>
      <c r="C17" s="4"/>
      <c r="D17" s="4"/>
      <c r="E17" s="4"/>
      <c r="F17" s="381" t="s">
        <v>24</v>
      </c>
      <c r="G17" s="382"/>
      <c r="H17" s="683">
        <v>20</v>
      </c>
      <c r="I17" s="328"/>
      <c r="J17"/>
      <c r="K17" s="192"/>
      <c r="L17" s="193"/>
      <c r="M17" s="4"/>
      <c r="N17" s="4"/>
      <c r="O17" s="4"/>
      <c r="Q17" s="4"/>
      <c r="R17" s="4"/>
      <c r="S17" s="4"/>
      <c r="T17" s="113"/>
      <c r="U17" s="113"/>
      <c r="V17" s="113"/>
      <c r="W17" s="113"/>
      <c r="X17" s="113"/>
      <c r="Y17" s="113"/>
      <c r="Z17" s="113"/>
      <c r="AA17" s="6"/>
    </row>
    <row r="18" spans="2:27" s="5" customFormat="1" ht="16.5" customHeight="1" thickBot="1" thickTop="1">
      <c r="B18" s="50"/>
      <c r="C18" s="726">
        <v>3</v>
      </c>
      <c r="D18" s="726">
        <v>4</v>
      </c>
      <c r="E18" s="726">
        <v>5</v>
      </c>
      <c r="F18" s="726">
        <v>6</v>
      </c>
      <c r="G18" s="726">
        <v>7</v>
      </c>
      <c r="H18" s="726">
        <v>8</v>
      </c>
      <c r="I18" s="726">
        <v>9</v>
      </c>
      <c r="J18" s="726">
        <v>10</v>
      </c>
      <c r="K18" s="726">
        <v>11</v>
      </c>
      <c r="L18" s="726">
        <v>12</v>
      </c>
      <c r="M18" s="726">
        <v>13</v>
      </c>
      <c r="N18" s="726">
        <v>14</v>
      </c>
      <c r="O18" s="726">
        <v>15</v>
      </c>
      <c r="P18" s="726">
        <v>16</v>
      </c>
      <c r="Q18" s="726">
        <v>17</v>
      </c>
      <c r="R18" s="726">
        <v>18</v>
      </c>
      <c r="S18" s="726">
        <v>19</v>
      </c>
      <c r="T18" s="726">
        <v>20</v>
      </c>
      <c r="U18" s="726">
        <v>21</v>
      </c>
      <c r="V18" s="726">
        <v>22</v>
      </c>
      <c r="W18" s="726">
        <v>23</v>
      </c>
      <c r="X18" s="726">
        <v>24</v>
      </c>
      <c r="Y18" s="726">
        <v>25</v>
      </c>
      <c r="Z18" s="726">
        <v>26</v>
      </c>
      <c r="AA18" s="6"/>
    </row>
    <row r="19" spans="2:27" s="5" customFormat="1" ht="33.75" customHeight="1" thickBot="1" thickTop="1">
      <c r="B19" s="50"/>
      <c r="C19" s="121" t="s">
        <v>12</v>
      </c>
      <c r="D19" s="84" t="s">
        <v>128</v>
      </c>
      <c r="E19" s="84" t="s">
        <v>129</v>
      </c>
      <c r="F19" s="86" t="s">
        <v>25</v>
      </c>
      <c r="G19" s="85" t="s">
        <v>26</v>
      </c>
      <c r="H19" s="384" t="s">
        <v>127</v>
      </c>
      <c r="I19" s="127" t="s">
        <v>15</v>
      </c>
      <c r="J19" s="85" t="s">
        <v>16</v>
      </c>
      <c r="K19" s="85" t="s">
        <v>17</v>
      </c>
      <c r="L19" s="86" t="s">
        <v>34</v>
      </c>
      <c r="M19" s="86" t="s">
        <v>29</v>
      </c>
      <c r="N19" s="87" t="s">
        <v>18</v>
      </c>
      <c r="O19" s="87" t="s">
        <v>44</v>
      </c>
      <c r="P19" s="85" t="s">
        <v>30</v>
      </c>
      <c r="Q19" s="127" t="s">
        <v>35</v>
      </c>
      <c r="R19" s="385" t="s">
        <v>55</v>
      </c>
      <c r="S19" s="386" t="s">
        <v>123</v>
      </c>
      <c r="T19" s="387"/>
      <c r="U19" s="244" t="s">
        <v>124</v>
      </c>
      <c r="V19" s="245"/>
      <c r="W19" s="388" t="s">
        <v>21</v>
      </c>
      <c r="X19" s="243" t="s">
        <v>20</v>
      </c>
      <c r="Y19" s="130" t="s">
        <v>58</v>
      </c>
      <c r="Z19" s="389" t="s">
        <v>22</v>
      </c>
      <c r="AA19" s="6"/>
    </row>
    <row r="20" spans="2:27" s="5" customFormat="1" ht="16.5" customHeight="1" thickTop="1">
      <c r="B20" s="50"/>
      <c r="C20" s="248"/>
      <c r="D20" s="248"/>
      <c r="E20" s="248"/>
      <c r="F20" s="391"/>
      <c r="G20" s="391"/>
      <c r="H20" s="391"/>
      <c r="I20" s="319"/>
      <c r="J20" s="392"/>
      <c r="K20" s="392"/>
      <c r="L20" s="390"/>
      <c r="M20" s="390"/>
      <c r="N20" s="391"/>
      <c r="O20" s="174"/>
      <c r="P20" s="390"/>
      <c r="Q20" s="393"/>
      <c r="R20" s="394"/>
      <c r="S20" s="395"/>
      <c r="T20" s="396"/>
      <c r="U20" s="257"/>
      <c r="V20" s="258"/>
      <c r="W20" s="397"/>
      <c r="X20" s="397"/>
      <c r="Y20" s="398"/>
      <c r="Z20" s="399"/>
      <c r="AA20" s="6"/>
    </row>
    <row r="21" spans="2:27" s="5" customFormat="1" ht="16.5" customHeight="1">
      <c r="B21" s="50"/>
      <c r="C21" s="262"/>
      <c r="D21" s="262"/>
      <c r="E21" s="262"/>
      <c r="F21" s="400"/>
      <c r="G21" s="401"/>
      <c r="H21" s="402"/>
      <c r="I21" s="403"/>
      <c r="J21" s="404"/>
      <c r="K21" s="405"/>
      <c r="L21" s="406"/>
      <c r="M21" s="407"/>
      <c r="N21" s="408"/>
      <c r="O21" s="175"/>
      <c r="P21" s="409"/>
      <c r="Q21" s="410"/>
      <c r="R21" s="411"/>
      <c r="S21" s="412"/>
      <c r="T21" s="413"/>
      <c r="U21" s="271"/>
      <c r="V21" s="272"/>
      <c r="W21" s="414"/>
      <c r="X21" s="414"/>
      <c r="Y21" s="409"/>
      <c r="Z21" s="415"/>
      <c r="AA21" s="6"/>
    </row>
    <row r="22" spans="2:27" s="5" customFormat="1" ht="16.5" customHeight="1">
      <c r="B22" s="50"/>
      <c r="C22" s="262">
        <v>80</v>
      </c>
      <c r="D22" s="262">
        <v>208431</v>
      </c>
      <c r="E22" s="149">
        <v>3806</v>
      </c>
      <c r="F22" s="416" t="s">
        <v>172</v>
      </c>
      <c r="G22" s="354" t="s">
        <v>207</v>
      </c>
      <c r="H22" s="417">
        <v>150</v>
      </c>
      <c r="I22" s="279">
        <f aca="true" t="shared" si="0" ref="I22:I41">H22*$H$16</f>
        <v>47.85</v>
      </c>
      <c r="J22" s="356">
        <v>39995</v>
      </c>
      <c r="K22" s="178">
        <v>40023.70486111111</v>
      </c>
      <c r="L22" s="357">
        <f aca="true" t="shared" si="1" ref="L22:L41">IF(F22="","",(K22-J22)*24)</f>
        <v>688.9166666666279</v>
      </c>
      <c r="M22" s="358">
        <f aca="true" t="shared" si="2" ref="M22:M41">IF(F22="","",ROUND((K22-J22)*24*60,0))</f>
        <v>41335</v>
      </c>
      <c r="N22" s="208" t="s">
        <v>134</v>
      </c>
      <c r="O22" s="452"/>
      <c r="P22" s="209" t="str">
        <f aca="true" t="shared" si="3" ref="P22:P41">IF(F22="","",IF(OR(N22="P",N22="RP"),"--","NO"))</f>
        <v>--</v>
      </c>
      <c r="Q22" s="723">
        <f aca="true" t="shared" si="4" ref="Q22:Q41">IF(OR(N22="P",N22="RP"),$H$17/10,$H$17)</f>
        <v>2</v>
      </c>
      <c r="R22" s="724">
        <f aca="true" t="shared" si="5" ref="R22:R41">IF(N22="P",I22*Q22*ROUND(M22/60,2),"--")</f>
        <v>65929.644</v>
      </c>
      <c r="S22" s="412" t="str">
        <f aca="true" t="shared" si="6" ref="S22:S41">IF(AND(N22="F",P22="NO"),I22*Q22,"--")</f>
        <v>--</v>
      </c>
      <c r="T22" s="413" t="str">
        <f aca="true" t="shared" si="7" ref="T22:T41">IF(N22="F",I22*Q22*ROUND(M22/60,2),"--")</f>
        <v>--</v>
      </c>
      <c r="U22" s="286" t="str">
        <f aca="true" t="shared" si="8" ref="U22:U41">IF(AND(N22="R",P22="NO"),I22*Q22*O22/100,"--")</f>
        <v>--</v>
      </c>
      <c r="V22" s="287" t="str">
        <f aca="true" t="shared" si="9" ref="V22:V41">IF(N22="R",I22*Q22*O22/100*ROUND(M22/60,2),"--")</f>
        <v>--</v>
      </c>
      <c r="W22" s="414" t="str">
        <f aca="true" t="shared" si="10" ref="W22:W41">IF(N22="RF",I22*Q22*ROUND(M22/60,2),"--")</f>
        <v>--</v>
      </c>
      <c r="X22" s="721" t="str">
        <f aca="true" t="shared" si="11" ref="X22:X41">IF(N22="RP",I22*Q22*O22/100*ROUND(M22/60,2),"--")</f>
        <v>--</v>
      </c>
      <c r="Y22" s="209" t="s">
        <v>117</v>
      </c>
      <c r="Z22" s="359">
        <f aca="true" t="shared" si="12" ref="Z22:Z41">IF(F22="","",SUM(R22:X22)*IF(Y22="SI",1,2)*IF(AND(O22&lt;&gt;"--",N22="RF"),O22/100,1))</f>
        <v>65929.644</v>
      </c>
      <c r="AA22" s="6"/>
    </row>
    <row r="23" spans="2:27" s="5" customFormat="1" ht="16.5" customHeight="1">
      <c r="B23" s="50"/>
      <c r="C23" s="262">
        <v>81</v>
      </c>
      <c r="D23" s="262">
        <v>208493</v>
      </c>
      <c r="E23" s="262">
        <v>592</v>
      </c>
      <c r="F23" s="416" t="s">
        <v>162</v>
      </c>
      <c r="G23" s="354" t="s">
        <v>208</v>
      </c>
      <c r="H23" s="417">
        <v>245</v>
      </c>
      <c r="I23" s="279">
        <f t="shared" si="0"/>
        <v>78.155</v>
      </c>
      <c r="J23" s="356">
        <v>39995.251388888886</v>
      </c>
      <c r="K23" s="178">
        <v>39995.71944444445</v>
      </c>
      <c r="L23" s="357">
        <f t="shared" si="1"/>
        <v>11.23333333345363</v>
      </c>
      <c r="M23" s="358">
        <f t="shared" si="2"/>
        <v>674</v>
      </c>
      <c r="N23" s="208" t="s">
        <v>134</v>
      </c>
      <c r="O23" s="452"/>
      <c r="P23" s="209" t="str">
        <f t="shared" si="3"/>
        <v>--</v>
      </c>
      <c r="Q23" s="723">
        <f t="shared" si="4"/>
        <v>2</v>
      </c>
      <c r="R23" s="724">
        <f t="shared" si="5"/>
        <v>1755.3613</v>
      </c>
      <c r="S23" s="412" t="str">
        <f t="shared" si="6"/>
        <v>--</v>
      </c>
      <c r="T23" s="413" t="str">
        <f t="shared" si="7"/>
        <v>--</v>
      </c>
      <c r="U23" s="286" t="str">
        <f t="shared" si="8"/>
        <v>--</v>
      </c>
      <c r="V23" s="287" t="str">
        <f t="shared" si="9"/>
        <v>--</v>
      </c>
      <c r="W23" s="414" t="str">
        <f t="shared" si="10"/>
        <v>--</v>
      </c>
      <c r="X23" s="721" t="str">
        <f t="shared" si="11"/>
        <v>--</v>
      </c>
      <c r="Y23" s="209" t="s">
        <v>117</v>
      </c>
      <c r="Z23" s="359">
        <f t="shared" si="12"/>
        <v>1755.3613</v>
      </c>
      <c r="AA23" s="6"/>
    </row>
    <row r="24" spans="2:27" s="5" customFormat="1" ht="16.5" customHeight="1">
      <c r="B24" s="50"/>
      <c r="C24" s="262">
        <v>82</v>
      </c>
      <c r="D24" s="262">
        <v>208502</v>
      </c>
      <c r="E24" s="149">
        <v>591</v>
      </c>
      <c r="F24" s="416" t="s">
        <v>162</v>
      </c>
      <c r="G24" s="354" t="s">
        <v>209</v>
      </c>
      <c r="H24" s="417">
        <v>245</v>
      </c>
      <c r="I24" s="279">
        <f t="shared" si="0"/>
        <v>78.155</v>
      </c>
      <c r="J24" s="356">
        <v>39996.251388888886</v>
      </c>
      <c r="K24" s="178">
        <v>39996.66736111111</v>
      </c>
      <c r="L24" s="357">
        <f t="shared" si="1"/>
        <v>9.983333333395422</v>
      </c>
      <c r="M24" s="358">
        <f t="shared" si="2"/>
        <v>599</v>
      </c>
      <c r="N24" s="208" t="s">
        <v>134</v>
      </c>
      <c r="O24" s="452"/>
      <c r="P24" s="209" t="str">
        <f t="shared" si="3"/>
        <v>--</v>
      </c>
      <c r="Q24" s="723">
        <f t="shared" si="4"/>
        <v>2</v>
      </c>
      <c r="R24" s="724">
        <f t="shared" si="5"/>
        <v>1559.9738</v>
      </c>
      <c r="S24" s="412" t="str">
        <f t="shared" si="6"/>
        <v>--</v>
      </c>
      <c r="T24" s="413" t="str">
        <f t="shared" si="7"/>
        <v>--</v>
      </c>
      <c r="U24" s="286" t="str">
        <f t="shared" si="8"/>
        <v>--</v>
      </c>
      <c r="V24" s="287" t="str">
        <f t="shared" si="9"/>
        <v>--</v>
      </c>
      <c r="W24" s="414" t="str">
        <f t="shared" si="10"/>
        <v>--</v>
      </c>
      <c r="X24" s="721" t="str">
        <f t="shared" si="11"/>
        <v>--</v>
      </c>
      <c r="Y24" s="209" t="s">
        <v>117</v>
      </c>
      <c r="Z24" s="359">
        <f t="shared" si="12"/>
        <v>1559.9738</v>
      </c>
      <c r="AA24" s="6"/>
    </row>
    <row r="25" spans="2:27" s="5" customFormat="1" ht="16.5" customHeight="1">
      <c r="B25" s="50"/>
      <c r="C25" s="262">
        <v>83</v>
      </c>
      <c r="D25" s="262">
        <v>208523</v>
      </c>
      <c r="E25" s="262">
        <v>591</v>
      </c>
      <c r="F25" s="416" t="s">
        <v>162</v>
      </c>
      <c r="G25" s="354" t="s">
        <v>209</v>
      </c>
      <c r="H25" s="417">
        <v>245</v>
      </c>
      <c r="I25" s="279">
        <f t="shared" si="0"/>
        <v>78.155</v>
      </c>
      <c r="J25" s="356">
        <v>39999.32361111111</v>
      </c>
      <c r="K25" s="178">
        <v>39999.78055555555</v>
      </c>
      <c r="L25" s="357">
        <f t="shared" si="1"/>
        <v>10.96666666661622</v>
      </c>
      <c r="M25" s="358">
        <f t="shared" si="2"/>
        <v>658</v>
      </c>
      <c r="N25" s="208" t="s">
        <v>134</v>
      </c>
      <c r="O25" s="452"/>
      <c r="P25" s="209" t="str">
        <f t="shared" si="3"/>
        <v>--</v>
      </c>
      <c r="Q25" s="723">
        <f t="shared" si="4"/>
        <v>2</v>
      </c>
      <c r="R25" s="724">
        <f t="shared" si="5"/>
        <v>1714.7207</v>
      </c>
      <c r="S25" s="412" t="str">
        <f t="shared" si="6"/>
        <v>--</v>
      </c>
      <c r="T25" s="413" t="str">
        <f t="shared" si="7"/>
        <v>--</v>
      </c>
      <c r="U25" s="286" t="str">
        <f t="shared" si="8"/>
        <v>--</v>
      </c>
      <c r="V25" s="287" t="str">
        <f t="shared" si="9"/>
        <v>--</v>
      </c>
      <c r="W25" s="414" t="str">
        <f t="shared" si="10"/>
        <v>--</v>
      </c>
      <c r="X25" s="721" t="str">
        <f t="shared" si="11"/>
        <v>--</v>
      </c>
      <c r="Y25" s="209" t="s">
        <v>117</v>
      </c>
      <c r="Z25" s="359">
        <f t="shared" si="12"/>
        <v>1714.7207</v>
      </c>
      <c r="AA25" s="418"/>
    </row>
    <row r="26" spans="2:27" s="5" customFormat="1" ht="16.5" customHeight="1">
      <c r="B26" s="50"/>
      <c r="C26" s="262">
        <v>84</v>
      </c>
      <c r="D26" s="262">
        <v>208524</v>
      </c>
      <c r="E26" s="149">
        <v>592</v>
      </c>
      <c r="F26" s="416" t="s">
        <v>162</v>
      </c>
      <c r="G26" s="354" t="s">
        <v>208</v>
      </c>
      <c r="H26" s="417">
        <v>245</v>
      </c>
      <c r="I26" s="279">
        <f t="shared" si="0"/>
        <v>78.155</v>
      </c>
      <c r="J26" s="356">
        <v>39999.32361111111</v>
      </c>
      <c r="K26" s="178">
        <v>39999.74513888889</v>
      </c>
      <c r="L26" s="357">
        <f t="shared" si="1"/>
        <v>10.116666666639503</v>
      </c>
      <c r="M26" s="358">
        <f t="shared" si="2"/>
        <v>607</v>
      </c>
      <c r="N26" s="208" t="s">
        <v>134</v>
      </c>
      <c r="O26" s="452"/>
      <c r="P26" s="209" t="str">
        <f t="shared" si="3"/>
        <v>--</v>
      </c>
      <c r="Q26" s="723">
        <f t="shared" si="4"/>
        <v>2</v>
      </c>
      <c r="R26" s="724">
        <f t="shared" si="5"/>
        <v>1581.8572</v>
      </c>
      <c r="S26" s="412" t="str">
        <f t="shared" si="6"/>
        <v>--</v>
      </c>
      <c r="T26" s="413" t="str">
        <f t="shared" si="7"/>
        <v>--</v>
      </c>
      <c r="U26" s="286" t="str">
        <f t="shared" si="8"/>
        <v>--</v>
      </c>
      <c r="V26" s="287" t="str">
        <f t="shared" si="9"/>
        <v>--</v>
      </c>
      <c r="W26" s="414" t="str">
        <f t="shared" si="10"/>
        <v>--</v>
      </c>
      <c r="X26" s="721" t="str">
        <f t="shared" si="11"/>
        <v>--</v>
      </c>
      <c r="Y26" s="209" t="s">
        <v>117</v>
      </c>
      <c r="Z26" s="359">
        <f t="shared" si="12"/>
        <v>1581.8572</v>
      </c>
      <c r="AA26" s="418"/>
    </row>
    <row r="27" spans="2:27" s="5" customFormat="1" ht="16.5" customHeight="1">
      <c r="B27" s="50"/>
      <c r="C27" s="262">
        <v>85</v>
      </c>
      <c r="D27" s="262">
        <v>208647</v>
      </c>
      <c r="E27" s="262">
        <v>589</v>
      </c>
      <c r="F27" s="416" t="s">
        <v>162</v>
      </c>
      <c r="G27" s="354" t="s">
        <v>210</v>
      </c>
      <c r="H27" s="417">
        <v>245</v>
      </c>
      <c r="I27" s="279">
        <f t="shared" si="0"/>
        <v>78.155</v>
      </c>
      <c r="J27" s="356">
        <v>40001.370833333334</v>
      </c>
      <c r="K27" s="178">
        <v>40001.62986111111</v>
      </c>
      <c r="L27" s="357">
        <f t="shared" si="1"/>
        <v>6.216666666674428</v>
      </c>
      <c r="M27" s="358">
        <f t="shared" si="2"/>
        <v>373</v>
      </c>
      <c r="N27" s="208" t="s">
        <v>134</v>
      </c>
      <c r="O27" s="452"/>
      <c r="P27" s="209" t="str">
        <f t="shared" si="3"/>
        <v>--</v>
      </c>
      <c r="Q27" s="723">
        <f t="shared" si="4"/>
        <v>2</v>
      </c>
      <c r="R27" s="724">
        <f t="shared" si="5"/>
        <v>972.2482</v>
      </c>
      <c r="S27" s="412" t="str">
        <f t="shared" si="6"/>
        <v>--</v>
      </c>
      <c r="T27" s="413" t="str">
        <f t="shared" si="7"/>
        <v>--</v>
      </c>
      <c r="U27" s="286" t="str">
        <f t="shared" si="8"/>
        <v>--</v>
      </c>
      <c r="V27" s="287" t="str">
        <f t="shared" si="9"/>
        <v>--</v>
      </c>
      <c r="W27" s="414" t="str">
        <f t="shared" si="10"/>
        <v>--</v>
      </c>
      <c r="X27" s="721" t="str">
        <f t="shared" si="11"/>
        <v>--</v>
      </c>
      <c r="Y27" s="209" t="s">
        <v>117</v>
      </c>
      <c r="Z27" s="359">
        <f t="shared" si="12"/>
        <v>972.2482</v>
      </c>
      <c r="AA27" s="418"/>
    </row>
    <row r="28" spans="2:27" s="5" customFormat="1" ht="16.5" customHeight="1">
      <c r="B28" s="50"/>
      <c r="C28" s="262">
        <v>86</v>
      </c>
      <c r="D28" s="262">
        <v>208913</v>
      </c>
      <c r="E28" s="149">
        <v>588</v>
      </c>
      <c r="F28" s="416" t="s">
        <v>162</v>
      </c>
      <c r="G28" s="354" t="s">
        <v>211</v>
      </c>
      <c r="H28" s="417">
        <v>245</v>
      </c>
      <c r="I28" s="279">
        <f t="shared" si="0"/>
        <v>78.155</v>
      </c>
      <c r="J28" s="356">
        <v>40008.25277777778</v>
      </c>
      <c r="K28" s="178">
        <v>40008.69583333333</v>
      </c>
      <c r="L28" s="357">
        <f t="shared" si="1"/>
        <v>10.633333333244082</v>
      </c>
      <c r="M28" s="358">
        <f t="shared" si="2"/>
        <v>638</v>
      </c>
      <c r="N28" s="208" t="s">
        <v>134</v>
      </c>
      <c r="O28" s="452"/>
      <c r="P28" s="209" t="str">
        <f t="shared" si="3"/>
        <v>--</v>
      </c>
      <c r="Q28" s="723">
        <f t="shared" si="4"/>
        <v>2</v>
      </c>
      <c r="R28" s="724">
        <f t="shared" si="5"/>
        <v>1661.5753000000002</v>
      </c>
      <c r="S28" s="412" t="str">
        <f t="shared" si="6"/>
        <v>--</v>
      </c>
      <c r="T28" s="413" t="str">
        <f t="shared" si="7"/>
        <v>--</v>
      </c>
      <c r="U28" s="286" t="str">
        <f t="shared" si="8"/>
        <v>--</v>
      </c>
      <c r="V28" s="287" t="str">
        <f t="shared" si="9"/>
        <v>--</v>
      </c>
      <c r="W28" s="414" t="str">
        <f t="shared" si="10"/>
        <v>--</v>
      </c>
      <c r="X28" s="721" t="str">
        <f t="shared" si="11"/>
        <v>--</v>
      </c>
      <c r="Y28" s="209" t="s">
        <v>117</v>
      </c>
      <c r="Z28" s="359">
        <f t="shared" si="12"/>
        <v>1661.5753000000002</v>
      </c>
      <c r="AA28" s="418"/>
    </row>
    <row r="29" spans="2:27" s="5" customFormat="1" ht="16.5" customHeight="1">
      <c r="B29" s="50"/>
      <c r="C29" s="262">
        <v>87</v>
      </c>
      <c r="D29" s="262">
        <v>208914</v>
      </c>
      <c r="E29" s="262">
        <v>587</v>
      </c>
      <c r="F29" s="416" t="s">
        <v>162</v>
      </c>
      <c r="G29" s="354" t="s">
        <v>212</v>
      </c>
      <c r="H29" s="417">
        <v>245</v>
      </c>
      <c r="I29" s="279">
        <f t="shared" si="0"/>
        <v>78.155</v>
      </c>
      <c r="J29" s="356">
        <v>40009.25208333333</v>
      </c>
      <c r="K29" s="178">
        <v>40009.674305555556</v>
      </c>
      <c r="L29" s="357">
        <f t="shared" si="1"/>
        <v>10.133333333360497</v>
      </c>
      <c r="M29" s="358">
        <f t="shared" si="2"/>
        <v>608</v>
      </c>
      <c r="N29" s="208" t="s">
        <v>134</v>
      </c>
      <c r="O29" s="452"/>
      <c r="P29" s="209" t="str">
        <f t="shared" si="3"/>
        <v>--</v>
      </c>
      <c r="Q29" s="723">
        <f t="shared" si="4"/>
        <v>2</v>
      </c>
      <c r="R29" s="724">
        <f t="shared" si="5"/>
        <v>1583.4203000000002</v>
      </c>
      <c r="S29" s="412" t="str">
        <f t="shared" si="6"/>
        <v>--</v>
      </c>
      <c r="T29" s="413" t="str">
        <f t="shared" si="7"/>
        <v>--</v>
      </c>
      <c r="U29" s="286" t="str">
        <f t="shared" si="8"/>
        <v>--</v>
      </c>
      <c r="V29" s="287" t="str">
        <f t="shared" si="9"/>
        <v>--</v>
      </c>
      <c r="W29" s="414" t="str">
        <f t="shared" si="10"/>
        <v>--</v>
      </c>
      <c r="X29" s="721" t="str">
        <f t="shared" si="11"/>
        <v>--</v>
      </c>
      <c r="Y29" s="209" t="s">
        <v>117</v>
      </c>
      <c r="Z29" s="359">
        <f t="shared" si="12"/>
        <v>1583.4203000000002</v>
      </c>
      <c r="AA29" s="418"/>
    </row>
    <row r="30" spans="2:27" s="5" customFormat="1" ht="16.5" customHeight="1">
      <c r="B30" s="50"/>
      <c r="C30" s="262">
        <v>88</v>
      </c>
      <c r="D30" s="262">
        <v>208928</v>
      </c>
      <c r="E30" s="149">
        <v>615</v>
      </c>
      <c r="F30" s="416" t="s">
        <v>213</v>
      </c>
      <c r="G30" s="354" t="s">
        <v>214</v>
      </c>
      <c r="H30" s="417">
        <v>150</v>
      </c>
      <c r="I30" s="279">
        <f t="shared" si="0"/>
        <v>47.85</v>
      </c>
      <c r="J30" s="356">
        <v>40011.42013888889</v>
      </c>
      <c r="K30" s="178">
        <v>40011.51736111111</v>
      </c>
      <c r="L30" s="357">
        <f t="shared" si="1"/>
        <v>2.333333333255723</v>
      </c>
      <c r="M30" s="358">
        <f t="shared" si="2"/>
        <v>140</v>
      </c>
      <c r="N30" s="208" t="s">
        <v>134</v>
      </c>
      <c r="O30" s="452"/>
      <c r="P30" s="209" t="str">
        <f t="shared" si="3"/>
        <v>--</v>
      </c>
      <c r="Q30" s="723">
        <f t="shared" si="4"/>
        <v>2</v>
      </c>
      <c r="R30" s="724">
        <f t="shared" si="5"/>
        <v>222.98100000000002</v>
      </c>
      <c r="S30" s="412" t="str">
        <f t="shared" si="6"/>
        <v>--</v>
      </c>
      <c r="T30" s="413" t="str">
        <f t="shared" si="7"/>
        <v>--</v>
      </c>
      <c r="U30" s="286" t="str">
        <f t="shared" si="8"/>
        <v>--</v>
      </c>
      <c r="V30" s="287" t="str">
        <f t="shared" si="9"/>
        <v>--</v>
      </c>
      <c r="W30" s="414" t="str">
        <f t="shared" si="10"/>
        <v>--</v>
      </c>
      <c r="X30" s="721" t="str">
        <f t="shared" si="11"/>
        <v>--</v>
      </c>
      <c r="Y30" s="209" t="s">
        <v>117</v>
      </c>
      <c r="Z30" s="359">
        <f t="shared" si="12"/>
        <v>222.98100000000002</v>
      </c>
      <c r="AA30" s="418"/>
    </row>
    <row r="31" spans="2:27" s="5" customFormat="1" ht="16.5" customHeight="1">
      <c r="B31" s="50"/>
      <c r="C31" s="262">
        <v>89</v>
      </c>
      <c r="D31" s="262">
        <v>208930</v>
      </c>
      <c r="E31" s="262">
        <v>587</v>
      </c>
      <c r="F31" s="416" t="s">
        <v>162</v>
      </c>
      <c r="G31" s="354" t="s">
        <v>212</v>
      </c>
      <c r="H31" s="417">
        <v>245</v>
      </c>
      <c r="I31" s="279">
        <f t="shared" si="0"/>
        <v>78.155</v>
      </c>
      <c r="J31" s="356">
        <v>40013.37152777778</v>
      </c>
      <c r="K31" s="178">
        <v>40013.50763888889</v>
      </c>
      <c r="L31" s="357">
        <f t="shared" si="1"/>
        <v>3.266666666662786</v>
      </c>
      <c r="M31" s="358">
        <f t="shared" si="2"/>
        <v>196</v>
      </c>
      <c r="N31" s="208" t="s">
        <v>134</v>
      </c>
      <c r="O31" s="452"/>
      <c r="P31" s="209" t="str">
        <f t="shared" si="3"/>
        <v>--</v>
      </c>
      <c r="Q31" s="723">
        <f t="shared" si="4"/>
        <v>2</v>
      </c>
      <c r="R31" s="724">
        <f t="shared" si="5"/>
        <v>511.13370000000003</v>
      </c>
      <c r="S31" s="412" t="str">
        <f t="shared" si="6"/>
        <v>--</v>
      </c>
      <c r="T31" s="413" t="str">
        <f t="shared" si="7"/>
        <v>--</v>
      </c>
      <c r="U31" s="286" t="str">
        <f t="shared" si="8"/>
        <v>--</v>
      </c>
      <c r="V31" s="287" t="str">
        <f t="shared" si="9"/>
        <v>--</v>
      </c>
      <c r="W31" s="414" t="str">
        <f t="shared" si="10"/>
        <v>--</v>
      </c>
      <c r="X31" s="721" t="str">
        <f t="shared" si="11"/>
        <v>--</v>
      </c>
      <c r="Y31" s="209" t="s">
        <v>117</v>
      </c>
      <c r="Z31" s="359">
        <f t="shared" si="12"/>
        <v>511.13370000000003</v>
      </c>
      <c r="AA31" s="6"/>
    </row>
    <row r="32" spans="2:27" s="5" customFormat="1" ht="16.5" customHeight="1">
      <c r="B32" s="50"/>
      <c r="C32" s="262">
        <v>90</v>
      </c>
      <c r="D32" s="262">
        <v>208931</v>
      </c>
      <c r="E32" s="149">
        <v>588</v>
      </c>
      <c r="F32" s="416" t="s">
        <v>162</v>
      </c>
      <c r="G32" s="354" t="s">
        <v>211</v>
      </c>
      <c r="H32" s="417">
        <v>245</v>
      </c>
      <c r="I32" s="279">
        <f t="shared" si="0"/>
        <v>78.155</v>
      </c>
      <c r="J32" s="356">
        <v>40013.37222222222</v>
      </c>
      <c r="K32" s="178">
        <v>40013.50763888889</v>
      </c>
      <c r="L32" s="357">
        <f t="shared" si="1"/>
        <v>3.2500000001164153</v>
      </c>
      <c r="M32" s="358">
        <f t="shared" si="2"/>
        <v>195</v>
      </c>
      <c r="N32" s="208" t="s">
        <v>134</v>
      </c>
      <c r="O32" s="452"/>
      <c r="P32" s="209" t="str">
        <f t="shared" si="3"/>
        <v>--</v>
      </c>
      <c r="Q32" s="723">
        <f t="shared" si="4"/>
        <v>2</v>
      </c>
      <c r="R32" s="724">
        <f t="shared" si="5"/>
        <v>508.0075</v>
      </c>
      <c r="S32" s="412" t="str">
        <f t="shared" si="6"/>
        <v>--</v>
      </c>
      <c r="T32" s="413" t="str">
        <f t="shared" si="7"/>
        <v>--</v>
      </c>
      <c r="U32" s="286" t="str">
        <f t="shared" si="8"/>
        <v>--</v>
      </c>
      <c r="V32" s="287" t="str">
        <f t="shared" si="9"/>
        <v>--</v>
      </c>
      <c r="W32" s="414" t="str">
        <f t="shared" si="10"/>
        <v>--</v>
      </c>
      <c r="X32" s="721" t="str">
        <f t="shared" si="11"/>
        <v>--</v>
      </c>
      <c r="Y32" s="209" t="s">
        <v>117</v>
      </c>
      <c r="Z32" s="359">
        <f t="shared" si="12"/>
        <v>508.0075</v>
      </c>
      <c r="AA32" s="6"/>
    </row>
    <row r="33" spans="2:27" s="5" customFormat="1" ht="16.5" customHeight="1">
      <c r="B33" s="50"/>
      <c r="C33" s="262">
        <v>91</v>
      </c>
      <c r="D33" s="262">
        <v>209105</v>
      </c>
      <c r="E33" s="262">
        <v>662</v>
      </c>
      <c r="F33" s="416" t="s">
        <v>196</v>
      </c>
      <c r="G33" s="354" t="s">
        <v>254</v>
      </c>
      <c r="H33" s="417">
        <v>80</v>
      </c>
      <c r="I33" s="279">
        <f t="shared" si="0"/>
        <v>25.52</v>
      </c>
      <c r="J33" s="356">
        <v>40017.71111111111</v>
      </c>
      <c r="K33" s="178">
        <v>40017.73263888889</v>
      </c>
      <c r="L33" s="357">
        <f t="shared" si="1"/>
        <v>0.5166666667792015</v>
      </c>
      <c r="M33" s="358">
        <f t="shared" si="2"/>
        <v>31</v>
      </c>
      <c r="N33" s="208" t="s">
        <v>137</v>
      </c>
      <c r="O33" s="452"/>
      <c r="P33" s="209" t="s">
        <v>117</v>
      </c>
      <c r="Q33" s="723">
        <f t="shared" si="4"/>
        <v>20</v>
      </c>
      <c r="R33" s="724" t="str">
        <f t="shared" si="5"/>
        <v>--</v>
      </c>
      <c r="S33" s="412" t="str">
        <f t="shared" si="6"/>
        <v>--</v>
      </c>
      <c r="T33" s="413">
        <f t="shared" si="7"/>
        <v>265.408</v>
      </c>
      <c r="U33" s="286" t="str">
        <f t="shared" si="8"/>
        <v>--</v>
      </c>
      <c r="V33" s="287" t="str">
        <f t="shared" si="9"/>
        <v>--</v>
      </c>
      <c r="W33" s="414" t="str">
        <f t="shared" si="10"/>
        <v>--</v>
      </c>
      <c r="X33" s="721" t="str">
        <f t="shared" si="11"/>
        <v>--</v>
      </c>
      <c r="Y33" s="209" t="s">
        <v>117</v>
      </c>
      <c r="Z33" s="359">
        <f t="shared" si="12"/>
        <v>265.408</v>
      </c>
      <c r="AA33" s="6"/>
    </row>
    <row r="34" spans="2:27" s="5" customFormat="1" ht="16.5" customHeight="1">
      <c r="B34" s="50"/>
      <c r="C34" s="262">
        <v>92</v>
      </c>
      <c r="D34" s="262">
        <v>209114</v>
      </c>
      <c r="E34" s="149">
        <v>589</v>
      </c>
      <c r="F34" s="416" t="s">
        <v>162</v>
      </c>
      <c r="G34" s="354" t="s">
        <v>210</v>
      </c>
      <c r="H34" s="417">
        <v>245</v>
      </c>
      <c r="I34" s="279">
        <f t="shared" si="0"/>
        <v>78.155</v>
      </c>
      <c r="J34" s="356">
        <v>40019.342361111114</v>
      </c>
      <c r="K34" s="178">
        <v>40019.53402777778</v>
      </c>
      <c r="L34" s="357">
        <f t="shared" si="1"/>
        <v>4.599999999976717</v>
      </c>
      <c r="M34" s="358">
        <f t="shared" si="2"/>
        <v>276</v>
      </c>
      <c r="N34" s="208" t="s">
        <v>134</v>
      </c>
      <c r="O34" s="452"/>
      <c r="P34" s="209" t="str">
        <f t="shared" si="3"/>
        <v>--</v>
      </c>
      <c r="Q34" s="723">
        <f t="shared" si="4"/>
        <v>2</v>
      </c>
      <c r="R34" s="724">
        <f t="shared" si="5"/>
        <v>719.026</v>
      </c>
      <c r="S34" s="412" t="str">
        <f t="shared" si="6"/>
        <v>--</v>
      </c>
      <c r="T34" s="413" t="str">
        <f t="shared" si="7"/>
        <v>--</v>
      </c>
      <c r="U34" s="286" t="str">
        <f t="shared" si="8"/>
        <v>--</v>
      </c>
      <c r="V34" s="287" t="str">
        <f t="shared" si="9"/>
        <v>--</v>
      </c>
      <c r="W34" s="414" t="str">
        <f t="shared" si="10"/>
        <v>--</v>
      </c>
      <c r="X34" s="721" t="str">
        <f t="shared" si="11"/>
        <v>--</v>
      </c>
      <c r="Y34" s="209" t="s">
        <v>117</v>
      </c>
      <c r="Z34" s="359">
        <f t="shared" si="12"/>
        <v>719.026</v>
      </c>
      <c r="AA34" s="6"/>
    </row>
    <row r="35" spans="2:27" s="5" customFormat="1" ht="16.5" customHeight="1">
      <c r="B35" s="50"/>
      <c r="C35" s="262">
        <v>93</v>
      </c>
      <c r="D35" s="262">
        <v>209115</v>
      </c>
      <c r="E35" s="262">
        <v>590</v>
      </c>
      <c r="F35" s="416" t="s">
        <v>162</v>
      </c>
      <c r="G35" s="354" t="s">
        <v>215</v>
      </c>
      <c r="H35" s="417">
        <v>245</v>
      </c>
      <c r="I35" s="279">
        <f t="shared" si="0"/>
        <v>78.155</v>
      </c>
      <c r="J35" s="356">
        <v>40019.342361111114</v>
      </c>
      <c r="K35" s="178">
        <v>40019.53194444445</v>
      </c>
      <c r="L35" s="357">
        <f t="shared" si="1"/>
        <v>4.5499999999883585</v>
      </c>
      <c r="M35" s="358">
        <f t="shared" si="2"/>
        <v>273</v>
      </c>
      <c r="N35" s="208" t="s">
        <v>134</v>
      </c>
      <c r="O35" s="452"/>
      <c r="P35" s="209" t="str">
        <f t="shared" si="3"/>
        <v>--</v>
      </c>
      <c r="Q35" s="723">
        <f t="shared" si="4"/>
        <v>2</v>
      </c>
      <c r="R35" s="724">
        <f t="shared" si="5"/>
        <v>711.2105</v>
      </c>
      <c r="S35" s="412" t="str">
        <f t="shared" si="6"/>
        <v>--</v>
      </c>
      <c r="T35" s="413" t="str">
        <f t="shared" si="7"/>
        <v>--</v>
      </c>
      <c r="U35" s="286" t="str">
        <f t="shared" si="8"/>
        <v>--</v>
      </c>
      <c r="V35" s="287" t="str">
        <f t="shared" si="9"/>
        <v>--</v>
      </c>
      <c r="W35" s="414" t="str">
        <f t="shared" si="10"/>
        <v>--</v>
      </c>
      <c r="X35" s="721" t="str">
        <f t="shared" si="11"/>
        <v>--</v>
      </c>
      <c r="Y35" s="209" t="s">
        <v>117</v>
      </c>
      <c r="Z35" s="359">
        <f t="shared" si="12"/>
        <v>711.2105</v>
      </c>
      <c r="AA35" s="6"/>
    </row>
    <row r="36" spans="2:27" s="5" customFormat="1" ht="16.5" customHeight="1">
      <c r="B36" s="50"/>
      <c r="C36" s="262"/>
      <c r="D36" s="262"/>
      <c r="E36" s="149"/>
      <c r="F36" s="416"/>
      <c r="G36" s="354"/>
      <c r="H36" s="417"/>
      <c r="I36" s="279">
        <f t="shared" si="0"/>
        <v>0</v>
      </c>
      <c r="J36" s="356"/>
      <c r="K36" s="178"/>
      <c r="L36" s="357">
        <f t="shared" si="1"/>
      </c>
      <c r="M36" s="358">
        <f t="shared" si="2"/>
      </c>
      <c r="N36" s="208"/>
      <c r="O36" s="452">
        <f aca="true" t="shared" si="13" ref="O36:O41">IF(F36="","","--")</f>
      </c>
      <c r="P36" s="209">
        <f t="shared" si="3"/>
      </c>
      <c r="Q36" s="723">
        <f t="shared" si="4"/>
        <v>20</v>
      </c>
      <c r="R36" s="724" t="str">
        <f t="shared" si="5"/>
        <v>--</v>
      </c>
      <c r="S36" s="412" t="str">
        <f t="shared" si="6"/>
        <v>--</v>
      </c>
      <c r="T36" s="413" t="str">
        <f t="shared" si="7"/>
        <v>--</v>
      </c>
      <c r="U36" s="286" t="str">
        <f t="shared" si="8"/>
        <v>--</v>
      </c>
      <c r="V36" s="287" t="str">
        <f t="shared" si="9"/>
        <v>--</v>
      </c>
      <c r="W36" s="414" t="str">
        <f t="shared" si="10"/>
        <v>--</v>
      </c>
      <c r="X36" s="721" t="str">
        <f t="shared" si="11"/>
        <v>--</v>
      </c>
      <c r="Y36" s="209">
        <f aca="true" t="shared" si="14" ref="Y36:Y41">IF(F36="","","SI")</f>
      </c>
      <c r="Z36" s="359">
        <f t="shared" si="12"/>
      </c>
      <c r="AA36" s="6"/>
    </row>
    <row r="37" spans="2:27" s="5" customFormat="1" ht="16.5" customHeight="1">
      <c r="B37" s="50"/>
      <c r="C37" s="262"/>
      <c r="D37" s="262"/>
      <c r="E37" s="262"/>
      <c r="F37" s="416"/>
      <c r="G37" s="354"/>
      <c r="H37" s="417"/>
      <c r="I37" s="279">
        <f t="shared" si="0"/>
        <v>0</v>
      </c>
      <c r="J37" s="356"/>
      <c r="K37" s="178"/>
      <c r="L37" s="357">
        <f t="shared" si="1"/>
      </c>
      <c r="M37" s="358">
        <f t="shared" si="2"/>
      </c>
      <c r="N37" s="208"/>
      <c r="O37" s="452">
        <f t="shared" si="13"/>
      </c>
      <c r="P37" s="209">
        <f t="shared" si="3"/>
      </c>
      <c r="Q37" s="723">
        <f t="shared" si="4"/>
        <v>20</v>
      </c>
      <c r="R37" s="724" t="str">
        <f t="shared" si="5"/>
        <v>--</v>
      </c>
      <c r="S37" s="412" t="str">
        <f t="shared" si="6"/>
        <v>--</v>
      </c>
      <c r="T37" s="413" t="str">
        <f t="shared" si="7"/>
        <v>--</v>
      </c>
      <c r="U37" s="286" t="str">
        <f t="shared" si="8"/>
        <v>--</v>
      </c>
      <c r="V37" s="287" t="str">
        <f t="shared" si="9"/>
        <v>--</v>
      </c>
      <c r="W37" s="414" t="str">
        <f t="shared" si="10"/>
        <v>--</v>
      </c>
      <c r="X37" s="721" t="str">
        <f t="shared" si="11"/>
        <v>--</v>
      </c>
      <c r="Y37" s="209">
        <f t="shared" si="14"/>
      </c>
      <c r="Z37" s="359">
        <f t="shared" si="12"/>
      </c>
      <c r="AA37" s="6"/>
    </row>
    <row r="38" spans="2:27" s="5" customFormat="1" ht="16.5" customHeight="1">
      <c r="B38" s="50"/>
      <c r="C38" s="262"/>
      <c r="D38" s="262"/>
      <c r="E38" s="149"/>
      <c r="F38" s="416"/>
      <c r="G38" s="354"/>
      <c r="H38" s="417"/>
      <c r="I38" s="279">
        <f t="shared" si="0"/>
        <v>0</v>
      </c>
      <c r="J38" s="356"/>
      <c r="K38" s="178"/>
      <c r="L38" s="357">
        <f t="shared" si="1"/>
      </c>
      <c r="M38" s="358">
        <f t="shared" si="2"/>
      </c>
      <c r="N38" s="208"/>
      <c r="O38" s="452">
        <f t="shared" si="13"/>
      </c>
      <c r="P38" s="209">
        <f t="shared" si="3"/>
      </c>
      <c r="Q38" s="723">
        <f t="shared" si="4"/>
        <v>20</v>
      </c>
      <c r="R38" s="724" t="str">
        <f t="shared" si="5"/>
        <v>--</v>
      </c>
      <c r="S38" s="412" t="str">
        <f t="shared" si="6"/>
        <v>--</v>
      </c>
      <c r="T38" s="413" t="str">
        <f t="shared" si="7"/>
        <v>--</v>
      </c>
      <c r="U38" s="286" t="str">
        <f t="shared" si="8"/>
        <v>--</v>
      </c>
      <c r="V38" s="287" t="str">
        <f t="shared" si="9"/>
        <v>--</v>
      </c>
      <c r="W38" s="414" t="str">
        <f t="shared" si="10"/>
        <v>--</v>
      </c>
      <c r="X38" s="721" t="str">
        <f t="shared" si="11"/>
        <v>--</v>
      </c>
      <c r="Y38" s="209">
        <f t="shared" si="14"/>
      </c>
      <c r="Z38" s="359">
        <f t="shared" si="12"/>
      </c>
      <c r="AA38" s="6"/>
    </row>
    <row r="39" spans="2:27" s="5" customFormat="1" ht="16.5" customHeight="1">
      <c r="B39" s="50"/>
      <c r="C39" s="262"/>
      <c r="D39" s="262"/>
      <c r="E39" s="262"/>
      <c r="F39" s="416"/>
      <c r="G39" s="354"/>
      <c r="H39" s="417"/>
      <c r="I39" s="279">
        <f t="shared" si="0"/>
        <v>0</v>
      </c>
      <c r="J39" s="356"/>
      <c r="K39" s="178"/>
      <c r="L39" s="357">
        <f t="shared" si="1"/>
      </c>
      <c r="M39" s="358">
        <f t="shared" si="2"/>
      </c>
      <c r="N39" s="208"/>
      <c r="O39" s="452">
        <f t="shared" si="13"/>
      </c>
      <c r="P39" s="209">
        <f t="shared" si="3"/>
      </c>
      <c r="Q39" s="723">
        <f t="shared" si="4"/>
        <v>20</v>
      </c>
      <c r="R39" s="724" t="str">
        <f t="shared" si="5"/>
        <v>--</v>
      </c>
      <c r="S39" s="412" t="str">
        <f t="shared" si="6"/>
        <v>--</v>
      </c>
      <c r="T39" s="413" t="str">
        <f t="shared" si="7"/>
        <v>--</v>
      </c>
      <c r="U39" s="286" t="str">
        <f t="shared" si="8"/>
        <v>--</v>
      </c>
      <c r="V39" s="287" t="str">
        <f t="shared" si="9"/>
        <v>--</v>
      </c>
      <c r="W39" s="414" t="str">
        <f t="shared" si="10"/>
        <v>--</v>
      </c>
      <c r="X39" s="721" t="str">
        <f t="shared" si="11"/>
        <v>--</v>
      </c>
      <c r="Y39" s="209">
        <f t="shared" si="14"/>
      </c>
      <c r="Z39" s="359">
        <f t="shared" si="12"/>
      </c>
      <c r="AA39" s="6"/>
    </row>
    <row r="40" spans="2:27" s="5" customFormat="1" ht="16.5" customHeight="1">
      <c r="B40" s="50"/>
      <c r="C40" s="262"/>
      <c r="D40" s="262"/>
      <c r="E40" s="149"/>
      <c r="F40" s="416"/>
      <c r="G40" s="354"/>
      <c r="H40" s="417"/>
      <c r="I40" s="279">
        <f t="shared" si="0"/>
        <v>0</v>
      </c>
      <c r="J40" s="356"/>
      <c r="K40" s="178"/>
      <c r="L40" s="357">
        <f t="shared" si="1"/>
      </c>
      <c r="M40" s="358">
        <f t="shared" si="2"/>
      </c>
      <c r="N40" s="208"/>
      <c r="O40" s="452">
        <f t="shared" si="13"/>
      </c>
      <c r="P40" s="209">
        <f t="shared" si="3"/>
      </c>
      <c r="Q40" s="723">
        <f t="shared" si="4"/>
        <v>20</v>
      </c>
      <c r="R40" s="724" t="str">
        <f t="shared" si="5"/>
        <v>--</v>
      </c>
      <c r="S40" s="412" t="str">
        <f t="shared" si="6"/>
        <v>--</v>
      </c>
      <c r="T40" s="413" t="str">
        <f t="shared" si="7"/>
        <v>--</v>
      </c>
      <c r="U40" s="286" t="str">
        <f t="shared" si="8"/>
        <v>--</v>
      </c>
      <c r="V40" s="287" t="str">
        <f t="shared" si="9"/>
        <v>--</v>
      </c>
      <c r="W40" s="414" t="str">
        <f t="shared" si="10"/>
        <v>--</v>
      </c>
      <c r="X40" s="721" t="str">
        <f t="shared" si="11"/>
        <v>--</v>
      </c>
      <c r="Y40" s="209">
        <f t="shared" si="14"/>
      </c>
      <c r="Z40" s="359">
        <f t="shared" si="12"/>
      </c>
      <c r="AA40" s="6"/>
    </row>
    <row r="41" spans="2:27" s="5" customFormat="1" ht="16.5" customHeight="1">
      <c r="B41" s="50"/>
      <c r="C41" s="262"/>
      <c r="D41" s="262"/>
      <c r="E41" s="262"/>
      <c r="F41" s="416"/>
      <c r="G41" s="354"/>
      <c r="H41" s="417"/>
      <c r="I41" s="279">
        <f t="shared" si="0"/>
        <v>0</v>
      </c>
      <c r="J41" s="356"/>
      <c r="K41" s="178"/>
      <c r="L41" s="357">
        <f t="shared" si="1"/>
      </c>
      <c r="M41" s="358">
        <f t="shared" si="2"/>
      </c>
      <c r="N41" s="208"/>
      <c r="O41" s="452">
        <f t="shared" si="13"/>
      </c>
      <c r="P41" s="209">
        <f t="shared" si="3"/>
      </c>
      <c r="Q41" s="723">
        <f t="shared" si="4"/>
        <v>20</v>
      </c>
      <c r="R41" s="724" t="str">
        <f t="shared" si="5"/>
        <v>--</v>
      </c>
      <c r="S41" s="412" t="str">
        <f t="shared" si="6"/>
        <v>--</v>
      </c>
      <c r="T41" s="413" t="str">
        <f t="shared" si="7"/>
        <v>--</v>
      </c>
      <c r="U41" s="286" t="str">
        <f t="shared" si="8"/>
        <v>--</v>
      </c>
      <c r="V41" s="287" t="str">
        <f t="shared" si="9"/>
        <v>--</v>
      </c>
      <c r="W41" s="414" t="str">
        <f t="shared" si="10"/>
        <v>--</v>
      </c>
      <c r="X41" s="721" t="str">
        <f t="shared" si="11"/>
        <v>--</v>
      </c>
      <c r="Y41" s="209">
        <f t="shared" si="14"/>
      </c>
      <c r="Z41" s="359">
        <f t="shared" si="12"/>
      </c>
      <c r="AA41" s="6"/>
    </row>
    <row r="42" spans="2:27" s="5" customFormat="1" ht="16.5" customHeight="1" thickBot="1">
      <c r="B42" s="50"/>
      <c r="C42" s="419"/>
      <c r="D42" s="419"/>
      <c r="E42" s="419"/>
      <c r="F42" s="419"/>
      <c r="G42" s="419"/>
      <c r="H42" s="419"/>
      <c r="I42" s="129"/>
      <c r="J42" s="360"/>
      <c r="K42" s="360"/>
      <c r="L42" s="361"/>
      <c r="M42" s="361"/>
      <c r="N42" s="360"/>
      <c r="O42" s="182"/>
      <c r="P42" s="148"/>
      <c r="Q42" s="420"/>
      <c r="R42" s="421"/>
      <c r="S42" s="422"/>
      <c r="T42" s="423"/>
      <c r="U42" s="304"/>
      <c r="V42" s="305"/>
      <c r="W42" s="424"/>
      <c r="X42" s="424"/>
      <c r="Y42" s="148"/>
      <c r="Z42" s="425"/>
      <c r="AA42" s="6"/>
    </row>
    <row r="43" spans="2:27" s="5" customFormat="1" ht="16.5" customHeight="1" thickBot="1" thickTop="1">
      <c r="B43" s="50"/>
      <c r="C43" s="125" t="s">
        <v>23</v>
      </c>
      <c r="D43" s="730" t="s">
        <v>216</v>
      </c>
      <c r="E43" s="125"/>
      <c r="F43" s="126"/>
      <c r="I43" s="4"/>
      <c r="J43" s="4"/>
      <c r="K43" s="4"/>
      <c r="L43" s="4"/>
      <c r="M43" s="4"/>
      <c r="N43" s="4"/>
      <c r="O43" s="4"/>
      <c r="P43" s="4"/>
      <c r="Q43" s="4"/>
      <c r="R43" s="426">
        <f aca="true" t="shared" si="15" ref="R43:X43">SUM(R20:R42)</f>
        <v>79431.15950000002</v>
      </c>
      <c r="S43" s="427">
        <f t="shared" si="15"/>
        <v>0</v>
      </c>
      <c r="T43" s="428">
        <f t="shared" si="15"/>
        <v>265.408</v>
      </c>
      <c r="U43" s="314">
        <f t="shared" si="15"/>
        <v>0</v>
      </c>
      <c r="V43" s="315">
        <f t="shared" si="15"/>
        <v>0</v>
      </c>
      <c r="W43" s="429">
        <f t="shared" si="15"/>
        <v>0</v>
      </c>
      <c r="X43" s="429">
        <f t="shared" si="15"/>
        <v>0</v>
      </c>
      <c r="Z43" s="98">
        <f>ROUND(SUM(Z20:Z42),2)</f>
        <v>79696.57</v>
      </c>
      <c r="AA43" s="430"/>
    </row>
    <row r="44" spans="2:27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6"/>
    </row>
    <row r="45" spans="6:29" ht="16.5" customHeight="1" thickTop="1">
      <c r="F45" s="169"/>
      <c r="G45" s="169"/>
      <c r="H45" s="169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</row>
    <row r="46" spans="6:29" ht="16.5" customHeight="1">
      <c r="F46" s="169"/>
      <c r="G46" s="169"/>
      <c r="H46" s="169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</row>
    <row r="47" spans="6:29" ht="16.5" customHeight="1">
      <c r="F47" s="169"/>
      <c r="G47" s="169"/>
      <c r="H47" s="169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</row>
    <row r="48" spans="6:29" ht="16.5" customHeight="1">
      <c r="F48" s="169"/>
      <c r="G48" s="169"/>
      <c r="H48" s="169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</row>
    <row r="49" spans="6:29" ht="16.5" customHeight="1">
      <c r="F49" s="169"/>
      <c r="G49" s="169"/>
      <c r="H49" s="169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</row>
    <row r="50" spans="6:29" ht="16.5" customHeight="1">
      <c r="F50" s="169"/>
      <c r="G50" s="169"/>
      <c r="H50" s="169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</row>
    <row r="51" spans="6:29" ht="16.5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</row>
    <row r="52" spans="6:29" ht="16.5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</row>
    <row r="53" spans="6:29" ht="16.5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</row>
    <row r="54" spans="6:29" ht="16.5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</row>
    <row r="55" spans="6:29" ht="16.5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</row>
    <row r="56" spans="6:29" ht="16.5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</row>
    <row r="57" spans="6:29" ht="16.5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</row>
    <row r="58" spans="6:29" ht="16.5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</row>
    <row r="59" spans="6:29" ht="16.5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</row>
    <row r="60" spans="6:29" ht="16.5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</row>
    <row r="61" spans="6:29" ht="16.5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</row>
    <row r="62" spans="6:29" ht="16.5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</row>
    <row r="63" spans="6:29" ht="16.5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</row>
    <row r="64" spans="6:29" ht="16.5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</row>
    <row r="65" spans="6:29" ht="16.5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</row>
    <row r="66" spans="6:29" ht="16.5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</row>
    <row r="67" spans="6:29" ht="16.5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</row>
    <row r="68" spans="6:29" ht="16.5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</row>
    <row r="69" spans="6:29" ht="16.5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</row>
    <row r="70" spans="6:29" ht="16.5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</row>
    <row r="71" spans="6:29" ht="16.5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</row>
    <row r="72" spans="6:29" ht="16.5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</row>
    <row r="73" spans="6:29" ht="16.5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</row>
    <row r="74" spans="6:29" ht="16.5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</row>
    <row r="75" spans="6:29" ht="16.5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</row>
    <row r="76" spans="6:29" ht="16.5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</row>
    <row r="77" spans="6:29" ht="16.5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</row>
    <row r="78" spans="6:29" ht="16.5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</row>
    <row r="79" spans="6:29" ht="16.5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</row>
    <row r="80" spans="6:29" ht="16.5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</row>
    <row r="81" spans="6:29" ht="16.5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</row>
    <row r="82" spans="6:29" ht="16.5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</row>
    <row r="83" spans="6:29" ht="16.5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</row>
    <row r="84" spans="6:29" ht="16.5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</row>
    <row r="85" spans="6:29" ht="16.5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</row>
    <row r="86" spans="6:29" ht="16.5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</row>
    <row r="87" spans="6:29" ht="16.5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</row>
    <row r="88" spans="6:29" ht="16.5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</row>
    <row r="89" spans="6:29" ht="16.5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</row>
    <row r="90" spans="6:29" ht="16.5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</row>
    <row r="91" spans="6:29" ht="16.5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</row>
    <row r="92" spans="6:29" ht="16.5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</row>
    <row r="93" spans="6:29" ht="16.5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</row>
    <row r="94" spans="6:29" ht="16.5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</row>
    <row r="95" spans="6:29" ht="16.5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</row>
    <row r="96" spans="6:29" ht="16.5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</row>
    <row r="97" spans="6:29" ht="16.5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</row>
    <row r="98" spans="6:29" ht="16.5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</row>
    <row r="99" spans="6:29" ht="16.5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</row>
    <row r="100" spans="6:29" ht="16.5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</row>
    <row r="101" spans="6:29" ht="16.5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</row>
    <row r="102" spans="6:29" ht="16.5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</row>
    <row r="103" spans="6:29" ht="16.5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</row>
    <row r="104" spans="6:29" ht="16.5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</row>
    <row r="105" spans="6:29" ht="16.5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</row>
    <row r="106" spans="6:29" ht="16.5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</row>
    <row r="107" spans="6:29" ht="16.5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</row>
    <row r="108" spans="6:29" ht="16.5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</row>
    <row r="109" spans="6:29" ht="16.5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</row>
    <row r="110" spans="6:29" ht="16.5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</row>
    <row r="111" spans="6:29" ht="16.5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</row>
    <row r="112" spans="6:29" ht="16.5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</row>
    <row r="113" spans="6:29" ht="16.5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</row>
    <row r="114" spans="6:29" ht="16.5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</row>
    <row r="115" spans="6:29" ht="16.5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</row>
    <row r="116" spans="6:29" ht="16.5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</row>
    <row r="117" spans="6:29" ht="16.5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</row>
    <row r="118" spans="6:29" ht="16.5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</row>
    <row r="119" spans="6:29" ht="16.5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</row>
    <row r="120" spans="6:29" ht="16.5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</row>
    <row r="121" spans="6:29" ht="16.5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</row>
    <row r="122" spans="6:29" ht="16.5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</row>
    <row r="123" spans="6:29" ht="16.5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</row>
    <row r="124" spans="6:29" ht="16.5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</row>
    <row r="125" spans="6:29" ht="16.5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</row>
    <row r="126" spans="6:29" ht="16.5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</row>
    <row r="127" spans="6:29" ht="16.5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</row>
    <row r="128" spans="6:29" ht="16.5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</row>
    <row r="129" spans="6:29" ht="16.5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</row>
    <row r="130" spans="6:29" ht="16.5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</row>
    <row r="131" spans="6:29" ht="16.5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</row>
    <row r="132" spans="6:29" ht="16.5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</row>
    <row r="133" spans="6:29" ht="16.5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</row>
    <row r="134" spans="6:29" ht="16.5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</row>
    <row r="135" spans="6:29" ht="16.5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</row>
    <row r="136" spans="6:29" ht="16.5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</row>
    <row r="137" spans="6:29" ht="16.5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</row>
    <row r="138" spans="6:29" ht="16.5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</row>
    <row r="139" spans="6:29" ht="16.5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</row>
    <row r="140" spans="6:29" ht="16.5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</row>
    <row r="141" spans="6:29" ht="16.5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</row>
    <row r="142" spans="6:29" ht="16.5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</row>
    <row r="143" spans="6:29" ht="16.5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</row>
    <row r="144" spans="6:29" ht="16.5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</row>
    <row r="145" spans="6:29" ht="16.5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</row>
    <row r="146" spans="6:29" ht="16.5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</row>
    <row r="147" spans="6:29" ht="16.5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</row>
    <row r="148" spans="6:29" ht="16.5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</row>
    <row r="149" spans="6:29" ht="16.5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</row>
    <row r="150" spans="6:29" ht="16.5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</row>
    <row r="151" spans="6:29" ht="16.5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</row>
    <row r="152" spans="6:29" ht="16.5" customHeight="1">
      <c r="F152" s="168"/>
      <c r="G152" s="168"/>
      <c r="H152" s="168"/>
      <c r="AB152" s="168"/>
      <c r="AC152" s="168"/>
    </row>
    <row r="153" spans="6:8" ht="16.5" customHeight="1">
      <c r="F153" s="168"/>
      <c r="G153" s="168"/>
      <c r="H153" s="168"/>
    </row>
    <row r="154" spans="6:8" ht="16.5" customHeight="1">
      <c r="F154" s="168"/>
      <c r="G154" s="168"/>
      <c r="H154" s="168"/>
    </row>
    <row r="155" spans="6:8" ht="16.5" customHeight="1">
      <c r="F155" s="168"/>
      <c r="G155" s="168"/>
      <c r="H155" s="168"/>
    </row>
    <row r="156" spans="6:8" ht="16.5" customHeight="1">
      <c r="F156" s="168"/>
      <c r="G156" s="168"/>
      <c r="H156" s="168"/>
    </row>
    <row r="157" spans="6:8" ht="16.5" customHeight="1">
      <c r="F157" s="168"/>
      <c r="G157" s="168"/>
      <c r="H157" s="168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Y157"/>
  <sheetViews>
    <sheetView zoomScale="70" zoomScaleNormal="70" workbookViewId="0" topLeftCell="A1">
      <selection activeCell="L23" sqref="L23"/>
    </sheetView>
  </sheetViews>
  <sheetFormatPr defaultColWidth="11.421875" defaultRowHeight="16.5" customHeight="1"/>
  <cols>
    <col min="1" max="2" width="4.140625" style="0" customWidth="1"/>
    <col min="3" max="3" width="5.57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1"/>
    </row>
    <row r="2" spans="1:23" s="18" customFormat="1" ht="26.25">
      <c r="A2" s="89"/>
      <c r="B2" s="19" t="str">
        <f>+'TOT-0709'!B2</f>
        <v>ANEXO II al Memorándum D.T.E.E. N°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54</v>
      </c>
      <c r="N8" s="103"/>
      <c r="O8" s="103"/>
      <c r="P8" s="94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687" customFormat="1" ht="33" customHeight="1">
      <c r="B10" s="688"/>
      <c r="C10" s="686"/>
      <c r="D10" s="686"/>
      <c r="E10" s="686"/>
      <c r="F10" s="706" t="s">
        <v>118</v>
      </c>
      <c r="G10" s="707"/>
      <c r="H10" s="708"/>
      <c r="I10" s="709"/>
      <c r="K10" s="709"/>
      <c r="L10" s="709"/>
      <c r="M10" s="709"/>
      <c r="N10" s="709"/>
      <c r="O10" s="709"/>
      <c r="P10" s="709"/>
      <c r="Q10" s="686"/>
      <c r="R10" s="686"/>
      <c r="S10" s="686"/>
      <c r="T10" s="686"/>
      <c r="U10" s="686"/>
      <c r="V10" s="686"/>
      <c r="W10" s="710"/>
    </row>
    <row r="11" spans="2:23" s="689" customFormat="1" ht="33" customHeight="1">
      <c r="B11" s="690"/>
      <c r="C11" s="691"/>
      <c r="D11" s="691"/>
      <c r="E11" s="691"/>
      <c r="F11" s="706" t="s">
        <v>122</v>
      </c>
      <c r="G11" s="711"/>
      <c r="H11" s="712"/>
      <c r="I11" s="713"/>
      <c r="J11" s="714"/>
      <c r="K11" s="713"/>
      <c r="L11" s="713"/>
      <c r="M11" s="713"/>
      <c r="N11" s="713"/>
      <c r="O11" s="713"/>
      <c r="P11" s="713"/>
      <c r="Q11" s="691"/>
      <c r="R11" s="691"/>
      <c r="S11" s="691"/>
      <c r="T11" s="691"/>
      <c r="U11" s="691"/>
      <c r="V11" s="691"/>
      <c r="W11" s="715"/>
    </row>
    <row r="12" spans="2:23" s="5" customFormat="1" ht="19.5">
      <c r="B12" s="37" t="str">
        <f>'TOT-0709'!B14</f>
        <v>Desde el 01 al 31 de julio de 2009</v>
      </c>
      <c r="C12" s="40"/>
      <c r="D12" s="40"/>
      <c r="E12" s="40"/>
      <c r="F12" s="40"/>
      <c r="G12" s="40"/>
      <c r="H12" s="40"/>
      <c r="I12" s="322"/>
      <c r="J12" s="322"/>
      <c r="K12" s="322"/>
      <c r="L12" s="322"/>
      <c r="M12" s="322"/>
      <c r="N12" s="322"/>
      <c r="O12" s="322"/>
      <c r="P12" s="322"/>
      <c r="Q12" s="40"/>
      <c r="R12" s="40"/>
      <c r="S12" s="40"/>
      <c r="T12" s="40"/>
      <c r="U12" s="40"/>
      <c r="V12" s="40"/>
      <c r="W12" s="323"/>
    </row>
    <row r="13" spans="2:23" s="5" customFormat="1" ht="14.25" thickBot="1">
      <c r="B13" s="324"/>
      <c r="C13" s="325"/>
      <c r="D13" s="325"/>
      <c r="E13" s="325"/>
      <c r="F13" s="325"/>
      <c r="G13" s="325"/>
      <c r="H13" s="325"/>
      <c r="I13" s="326"/>
      <c r="J13" s="326"/>
      <c r="K13" s="326"/>
      <c r="L13" s="326"/>
      <c r="M13" s="326"/>
      <c r="N13" s="326"/>
      <c r="O13" s="326"/>
      <c r="P13" s="326"/>
      <c r="Q13" s="325"/>
      <c r="R13" s="325"/>
      <c r="S13" s="325"/>
      <c r="T13" s="325"/>
      <c r="U13" s="325"/>
      <c r="V13" s="325"/>
      <c r="W13" s="327"/>
    </row>
    <row r="14" spans="2:23" s="5" customFormat="1" ht="15" thickBot="1" thickTop="1">
      <c r="B14" s="50"/>
      <c r="C14" s="4"/>
      <c r="D14" s="4"/>
      <c r="E14" s="4"/>
      <c r="F14" s="328"/>
      <c r="G14" s="328"/>
      <c r="H14" s="115" t="s">
        <v>64</v>
      </c>
      <c r="I14" s="4"/>
      <c r="J14" s="5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6"/>
    </row>
    <row r="15" spans="2:23" s="5" customFormat="1" ht="16.5" customHeight="1" thickBot="1" thickTop="1">
      <c r="B15" s="50"/>
      <c r="C15" s="4"/>
      <c r="D15" s="4"/>
      <c r="E15" s="4"/>
      <c r="F15" s="329" t="s">
        <v>65</v>
      </c>
      <c r="G15" s="330">
        <v>23.525</v>
      </c>
      <c r="H15" s="331">
        <v>200</v>
      </c>
      <c r="V15" s="113"/>
      <c r="W15" s="6"/>
    </row>
    <row r="16" spans="2:23" s="5" customFormat="1" ht="16.5" customHeight="1" thickBot="1" thickTop="1">
      <c r="B16" s="50"/>
      <c r="C16" s="4"/>
      <c r="D16" s="4"/>
      <c r="E16" s="4"/>
      <c r="F16" s="332" t="s">
        <v>66</v>
      </c>
      <c r="G16" s="333" t="s">
        <v>130</v>
      </c>
      <c r="H16" s="331">
        <v>100</v>
      </c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34" t="s">
        <v>67</v>
      </c>
      <c r="G17" s="372">
        <v>18.82</v>
      </c>
      <c r="H17" s="331">
        <v>40</v>
      </c>
      <c r="O17" s="4"/>
      <c r="Q17" s="4"/>
      <c r="R17" s="4"/>
      <c r="S17" s="4"/>
      <c r="T17" s="4"/>
      <c r="U17" s="4"/>
      <c r="V17" s="4"/>
      <c r="W17" s="6"/>
    </row>
    <row r="18" spans="2:23" s="5" customFormat="1" ht="16.5" customHeight="1" thickBot="1" thickTop="1">
      <c r="B18" s="50"/>
      <c r="C18" s="726">
        <v>3</v>
      </c>
      <c r="D18" s="726">
        <v>4</v>
      </c>
      <c r="E18" s="726">
        <v>5</v>
      </c>
      <c r="F18" s="726">
        <v>6</v>
      </c>
      <c r="G18" s="726">
        <v>7</v>
      </c>
      <c r="H18" s="726">
        <v>8</v>
      </c>
      <c r="I18" s="726">
        <v>9</v>
      </c>
      <c r="J18" s="726">
        <v>10</v>
      </c>
      <c r="K18" s="726">
        <v>11</v>
      </c>
      <c r="L18" s="726">
        <v>12</v>
      </c>
      <c r="M18" s="726">
        <v>13</v>
      </c>
      <c r="N18" s="726">
        <v>14</v>
      </c>
      <c r="O18" s="726">
        <v>15</v>
      </c>
      <c r="P18" s="726">
        <v>16</v>
      </c>
      <c r="Q18" s="726">
        <v>17</v>
      </c>
      <c r="R18" s="726">
        <v>18</v>
      </c>
      <c r="S18" s="726">
        <v>19</v>
      </c>
      <c r="T18" s="726">
        <v>20</v>
      </c>
      <c r="U18" s="726">
        <v>21</v>
      </c>
      <c r="V18" s="726">
        <v>22</v>
      </c>
      <c r="W18" s="6"/>
    </row>
    <row r="19" spans="2:23" s="5" customFormat="1" ht="33.75" customHeight="1" thickBot="1" thickTop="1">
      <c r="B19" s="50"/>
      <c r="C19" s="121" t="s">
        <v>12</v>
      </c>
      <c r="D19" s="84" t="s">
        <v>128</v>
      </c>
      <c r="E19" s="84" t="s">
        <v>129</v>
      </c>
      <c r="F19" s="86" t="s">
        <v>25</v>
      </c>
      <c r="G19" s="335" t="s">
        <v>26</v>
      </c>
      <c r="H19" s="336" t="s">
        <v>13</v>
      </c>
      <c r="I19" s="127" t="s">
        <v>15</v>
      </c>
      <c r="J19" s="85" t="s">
        <v>16</v>
      </c>
      <c r="K19" s="335" t="s">
        <v>17</v>
      </c>
      <c r="L19" s="337" t="s">
        <v>34</v>
      </c>
      <c r="M19" s="337" t="s">
        <v>29</v>
      </c>
      <c r="N19" s="87" t="s">
        <v>18</v>
      </c>
      <c r="O19" s="171" t="s">
        <v>30</v>
      </c>
      <c r="P19" s="133" t="s">
        <v>35</v>
      </c>
      <c r="Q19" s="338" t="s">
        <v>55</v>
      </c>
      <c r="R19" s="172" t="s">
        <v>33</v>
      </c>
      <c r="S19" s="339"/>
      <c r="T19" s="132" t="s">
        <v>21</v>
      </c>
      <c r="U19" s="130" t="s">
        <v>58</v>
      </c>
      <c r="V19" s="119" t="s">
        <v>22</v>
      </c>
      <c r="W19" s="6"/>
    </row>
    <row r="20" spans="2:23" s="5" customFormat="1" ht="16.5" customHeight="1" thickTop="1">
      <c r="B20" s="50"/>
      <c r="C20" s="248"/>
      <c r="D20" s="248"/>
      <c r="E20" s="248"/>
      <c r="F20" s="340"/>
      <c r="G20" s="340"/>
      <c r="H20" s="340"/>
      <c r="I20" s="206"/>
      <c r="J20" s="340"/>
      <c r="K20" s="340"/>
      <c r="L20" s="340"/>
      <c r="M20" s="340"/>
      <c r="N20" s="340"/>
      <c r="O20" s="340"/>
      <c r="P20" s="341"/>
      <c r="Q20" s="342"/>
      <c r="R20" s="343"/>
      <c r="S20" s="344"/>
      <c r="T20" s="345"/>
      <c r="U20" s="340"/>
      <c r="V20" s="346"/>
      <c r="W20" s="6"/>
    </row>
    <row r="21" spans="2:23" s="5" customFormat="1" ht="16.5" customHeight="1">
      <c r="B21" s="50"/>
      <c r="C21" s="262"/>
      <c r="D21" s="262"/>
      <c r="E21" s="262"/>
      <c r="F21" s="347"/>
      <c r="G21" s="347"/>
      <c r="H21" s="347"/>
      <c r="I21" s="348"/>
      <c r="J21" s="347"/>
      <c r="K21" s="347"/>
      <c r="L21" s="347"/>
      <c r="M21" s="347"/>
      <c r="N21" s="347"/>
      <c r="O21" s="347"/>
      <c r="P21" s="349"/>
      <c r="Q21" s="350"/>
      <c r="R21" s="181"/>
      <c r="S21" s="351"/>
      <c r="T21" s="352"/>
      <c r="U21" s="347"/>
      <c r="V21" s="353"/>
      <c r="W21" s="6"/>
    </row>
    <row r="22" spans="2:23" s="5" customFormat="1" ht="16.5" customHeight="1">
      <c r="B22" s="50"/>
      <c r="C22" s="262">
        <v>94</v>
      </c>
      <c r="D22" s="262">
        <v>208499</v>
      </c>
      <c r="E22" s="149">
        <v>2588</v>
      </c>
      <c r="F22" s="354" t="s">
        <v>199</v>
      </c>
      <c r="G22" s="354" t="s">
        <v>200</v>
      </c>
      <c r="H22" s="355">
        <v>132</v>
      </c>
      <c r="I22" s="128">
        <f aca="true" t="shared" si="0" ref="I22:I41">IF(H22=500,$G$15,IF(H22=220,$G$16,$G$17))</f>
        <v>18.82</v>
      </c>
      <c r="J22" s="356">
        <v>39995.413194444445</v>
      </c>
      <c r="K22" s="147">
        <v>39995.6625</v>
      </c>
      <c r="L22" s="357">
        <f aca="true" t="shared" si="1" ref="L22:L41">IF(F22="","",(K22-J22)*24)</f>
        <v>5.983333333279006</v>
      </c>
      <c r="M22" s="358">
        <f aca="true" t="shared" si="2" ref="M22:M41">IF(F22="","",ROUND((K22-J22)*24*60,0))</f>
        <v>359</v>
      </c>
      <c r="N22" s="208" t="s">
        <v>134</v>
      </c>
      <c r="O22" s="209" t="str">
        <f aca="true" t="shared" si="3" ref="O22:O41">IF(F22="","",IF(N22="P","--","NO"))</f>
        <v>--</v>
      </c>
      <c r="P22" s="588">
        <f aca="true" t="shared" si="4" ref="P22:P41">IF(H22=500,$H$15,IF(H22=220,$H$16,$H$17))</f>
        <v>40</v>
      </c>
      <c r="Q22" s="722">
        <f aca="true" t="shared" si="5" ref="Q22:Q41">IF(N22="P",I22*P22*ROUND(M22/60,2)*0.1,"--")</f>
        <v>450.1744</v>
      </c>
      <c r="R22" s="181" t="str">
        <f aca="true" t="shared" si="6" ref="R22:R41">IF(AND(N22="F",O22="NO"),I22*P22,"--")</f>
        <v>--</v>
      </c>
      <c r="S22" s="351" t="str">
        <f aca="true" t="shared" si="7" ref="S22:S41">IF(N22="F",I22*P22*ROUND(M22/60,2),"--")</f>
        <v>--</v>
      </c>
      <c r="T22" s="728" t="s">
        <v>117</v>
      </c>
      <c r="U22" s="209" t="str">
        <f aca="true" t="shared" si="8" ref="U22:U41">IF(F22="","","SI")</f>
        <v>SI</v>
      </c>
      <c r="V22" s="359">
        <f aca="true" t="shared" si="9" ref="V22:V41">IF(F22="","",SUM(Q22:T22)*IF(U22="SI",1,2))</f>
        <v>450.1744</v>
      </c>
      <c r="W22" s="6"/>
    </row>
    <row r="23" spans="2:23" s="5" customFormat="1" ht="16.5" customHeight="1">
      <c r="B23" s="50"/>
      <c r="C23" s="262">
        <v>95</v>
      </c>
      <c r="D23" s="262">
        <v>208507</v>
      </c>
      <c r="E23" s="262">
        <v>2588</v>
      </c>
      <c r="F23" s="354" t="s">
        <v>199</v>
      </c>
      <c r="G23" s="354" t="s">
        <v>200</v>
      </c>
      <c r="H23" s="355">
        <v>132</v>
      </c>
      <c r="I23" s="128">
        <f t="shared" si="0"/>
        <v>18.82</v>
      </c>
      <c r="J23" s="356">
        <v>39996.41111111111</v>
      </c>
      <c r="K23" s="147">
        <v>39996.52916666667</v>
      </c>
      <c r="L23" s="357">
        <f t="shared" si="1"/>
        <v>2.833333333313931</v>
      </c>
      <c r="M23" s="358">
        <f t="shared" si="2"/>
        <v>170</v>
      </c>
      <c r="N23" s="208" t="s">
        <v>134</v>
      </c>
      <c r="O23" s="209" t="str">
        <f t="shared" si="3"/>
        <v>--</v>
      </c>
      <c r="P23" s="588">
        <f t="shared" si="4"/>
        <v>40</v>
      </c>
      <c r="Q23" s="722">
        <f t="shared" si="5"/>
        <v>213.04240000000001</v>
      </c>
      <c r="R23" s="181" t="str">
        <f t="shared" si="6"/>
        <v>--</v>
      </c>
      <c r="S23" s="351" t="str">
        <f t="shared" si="7"/>
        <v>--</v>
      </c>
      <c r="T23" s="728" t="s">
        <v>117</v>
      </c>
      <c r="U23" s="209" t="str">
        <f t="shared" si="8"/>
        <v>SI</v>
      </c>
      <c r="V23" s="359">
        <f t="shared" si="9"/>
        <v>213.04240000000001</v>
      </c>
      <c r="W23" s="6"/>
    </row>
    <row r="24" spans="2:23" s="5" customFormat="1" ht="16.5" customHeight="1">
      <c r="B24" s="50"/>
      <c r="C24" s="262">
        <v>96</v>
      </c>
      <c r="D24" s="262">
        <v>208648</v>
      </c>
      <c r="E24" s="149">
        <v>2602</v>
      </c>
      <c r="F24" s="354" t="s">
        <v>201</v>
      </c>
      <c r="G24" s="354" t="s">
        <v>202</v>
      </c>
      <c r="H24" s="355">
        <v>132</v>
      </c>
      <c r="I24" s="128">
        <f t="shared" si="0"/>
        <v>18.82</v>
      </c>
      <c r="J24" s="356">
        <v>40002.34305555555</v>
      </c>
      <c r="K24" s="147">
        <v>40002.586805555555</v>
      </c>
      <c r="L24" s="357">
        <f t="shared" si="1"/>
        <v>5.850000000034925</v>
      </c>
      <c r="M24" s="358">
        <f t="shared" si="2"/>
        <v>351</v>
      </c>
      <c r="N24" s="208" t="s">
        <v>134</v>
      </c>
      <c r="O24" s="209" t="str">
        <f t="shared" si="3"/>
        <v>--</v>
      </c>
      <c r="P24" s="588">
        <f t="shared" si="4"/>
        <v>40</v>
      </c>
      <c r="Q24" s="722">
        <f t="shared" si="5"/>
        <v>440.3879999999999</v>
      </c>
      <c r="R24" s="181" t="str">
        <f t="shared" si="6"/>
        <v>--</v>
      </c>
      <c r="S24" s="351" t="str">
        <f t="shared" si="7"/>
        <v>--</v>
      </c>
      <c r="T24" s="728" t="s">
        <v>117</v>
      </c>
      <c r="U24" s="209" t="str">
        <f t="shared" si="8"/>
        <v>SI</v>
      </c>
      <c r="V24" s="359">
        <f t="shared" si="9"/>
        <v>440.3879999999999</v>
      </c>
      <c r="W24" s="6"/>
    </row>
    <row r="25" spans="2:23" s="5" customFormat="1" ht="16.5" customHeight="1">
      <c r="B25" s="50"/>
      <c r="C25" s="262">
        <v>97</v>
      </c>
      <c r="D25" s="262">
        <v>208649</v>
      </c>
      <c r="E25" s="262">
        <v>2636</v>
      </c>
      <c r="F25" s="354" t="s">
        <v>199</v>
      </c>
      <c r="G25" s="354" t="s">
        <v>203</v>
      </c>
      <c r="H25" s="355">
        <v>500</v>
      </c>
      <c r="I25" s="128">
        <f t="shared" si="0"/>
        <v>23.525</v>
      </c>
      <c r="J25" s="356">
        <v>40004.32361111111</v>
      </c>
      <c r="K25" s="147">
        <v>40004.760416666664</v>
      </c>
      <c r="L25" s="357">
        <f t="shared" si="1"/>
        <v>10.483333333279006</v>
      </c>
      <c r="M25" s="358">
        <f t="shared" si="2"/>
        <v>629</v>
      </c>
      <c r="N25" s="208" t="s">
        <v>134</v>
      </c>
      <c r="O25" s="209" t="str">
        <f t="shared" si="3"/>
        <v>--</v>
      </c>
      <c r="P25" s="588">
        <f t="shared" si="4"/>
        <v>200</v>
      </c>
      <c r="Q25" s="722">
        <f t="shared" si="5"/>
        <v>4930.84</v>
      </c>
      <c r="R25" s="181" t="str">
        <f t="shared" si="6"/>
        <v>--</v>
      </c>
      <c r="S25" s="351" t="str">
        <f t="shared" si="7"/>
        <v>--</v>
      </c>
      <c r="T25" s="728" t="s">
        <v>117</v>
      </c>
      <c r="U25" s="209" t="str">
        <f t="shared" si="8"/>
        <v>SI</v>
      </c>
      <c r="V25" s="359">
        <f t="shared" si="9"/>
        <v>4930.84</v>
      </c>
      <c r="W25" s="6"/>
    </row>
    <row r="26" spans="2:23" s="5" customFormat="1" ht="16.5" customHeight="1">
      <c r="B26" s="50"/>
      <c r="C26" s="262">
        <v>98</v>
      </c>
      <c r="D26" s="262">
        <v>208918</v>
      </c>
      <c r="E26" s="149">
        <v>2593</v>
      </c>
      <c r="F26" s="354" t="s">
        <v>204</v>
      </c>
      <c r="G26" s="354" t="s">
        <v>255</v>
      </c>
      <c r="H26" s="355">
        <v>132</v>
      </c>
      <c r="I26" s="128">
        <f t="shared" si="0"/>
        <v>18.82</v>
      </c>
      <c r="J26" s="356">
        <v>40010.56180555555</v>
      </c>
      <c r="K26" s="147">
        <v>40010.70763888889</v>
      </c>
      <c r="L26" s="357">
        <f t="shared" si="1"/>
        <v>3.5000000000582077</v>
      </c>
      <c r="M26" s="358">
        <f t="shared" si="2"/>
        <v>210</v>
      </c>
      <c r="N26" s="208" t="s">
        <v>134</v>
      </c>
      <c r="O26" s="209" t="str">
        <f t="shared" si="3"/>
        <v>--</v>
      </c>
      <c r="P26" s="588">
        <f t="shared" si="4"/>
        <v>40</v>
      </c>
      <c r="Q26" s="722">
        <f t="shared" si="5"/>
        <v>263.47999999999996</v>
      </c>
      <c r="R26" s="181" t="str">
        <f t="shared" si="6"/>
        <v>--</v>
      </c>
      <c r="S26" s="351" t="str">
        <f t="shared" si="7"/>
        <v>--</v>
      </c>
      <c r="T26" s="728" t="s">
        <v>117</v>
      </c>
      <c r="U26" s="209" t="str">
        <f t="shared" si="8"/>
        <v>SI</v>
      </c>
      <c r="V26" s="359">
        <f t="shared" si="9"/>
        <v>263.47999999999996</v>
      </c>
      <c r="W26" s="6"/>
    </row>
    <row r="27" spans="2:23" s="5" customFormat="1" ht="16.5" customHeight="1">
      <c r="B27" s="50"/>
      <c r="C27" s="262">
        <v>99</v>
      </c>
      <c r="D27" s="262">
        <v>208925</v>
      </c>
      <c r="E27" s="262">
        <v>2595</v>
      </c>
      <c r="F27" s="354" t="s">
        <v>204</v>
      </c>
      <c r="G27" s="354" t="s">
        <v>206</v>
      </c>
      <c r="H27" s="355">
        <v>132</v>
      </c>
      <c r="I27" s="128">
        <f t="shared" si="0"/>
        <v>18.82</v>
      </c>
      <c r="J27" s="356">
        <v>40013.38125</v>
      </c>
      <c r="K27" s="147">
        <v>40013.67152777778</v>
      </c>
      <c r="L27" s="357">
        <f t="shared" si="1"/>
        <v>6.966666666674428</v>
      </c>
      <c r="M27" s="358">
        <f t="shared" si="2"/>
        <v>418</v>
      </c>
      <c r="N27" s="208" t="s">
        <v>134</v>
      </c>
      <c r="O27" s="209" t="str">
        <f t="shared" si="3"/>
        <v>--</v>
      </c>
      <c r="P27" s="588">
        <f t="shared" si="4"/>
        <v>40</v>
      </c>
      <c r="Q27" s="722">
        <f t="shared" si="5"/>
        <v>524.7016</v>
      </c>
      <c r="R27" s="181" t="str">
        <f t="shared" si="6"/>
        <v>--</v>
      </c>
      <c r="S27" s="351" t="str">
        <f t="shared" si="7"/>
        <v>--</v>
      </c>
      <c r="T27" s="728" t="s">
        <v>117</v>
      </c>
      <c r="U27" s="209" t="str">
        <f t="shared" si="8"/>
        <v>SI</v>
      </c>
      <c r="V27" s="359">
        <f t="shared" si="9"/>
        <v>524.7016</v>
      </c>
      <c r="W27" s="6"/>
    </row>
    <row r="28" spans="2:23" s="5" customFormat="1" ht="16.5" customHeight="1">
      <c r="B28" s="50"/>
      <c r="C28" s="262">
        <v>100</v>
      </c>
      <c r="D28" s="262">
        <v>209377</v>
      </c>
      <c r="E28" s="149">
        <v>2595</v>
      </c>
      <c r="F28" s="354" t="s">
        <v>204</v>
      </c>
      <c r="G28" s="354" t="s">
        <v>206</v>
      </c>
      <c r="H28" s="355">
        <v>132</v>
      </c>
      <c r="I28" s="128">
        <f t="shared" si="0"/>
        <v>18.82</v>
      </c>
      <c r="J28" s="356">
        <v>40022.381944444445</v>
      </c>
      <c r="K28" s="147">
        <v>40022.72361111111</v>
      </c>
      <c r="L28" s="357">
        <f t="shared" si="1"/>
        <v>8.200000000011642</v>
      </c>
      <c r="M28" s="358">
        <f t="shared" si="2"/>
        <v>492</v>
      </c>
      <c r="N28" s="208" t="s">
        <v>134</v>
      </c>
      <c r="O28" s="209" t="str">
        <f t="shared" si="3"/>
        <v>--</v>
      </c>
      <c r="P28" s="588">
        <f t="shared" si="4"/>
        <v>40</v>
      </c>
      <c r="Q28" s="722">
        <f t="shared" si="5"/>
        <v>617.2959999999999</v>
      </c>
      <c r="R28" s="181" t="str">
        <f t="shared" si="6"/>
        <v>--</v>
      </c>
      <c r="S28" s="351" t="str">
        <f t="shared" si="7"/>
        <v>--</v>
      </c>
      <c r="T28" s="728" t="s">
        <v>117</v>
      </c>
      <c r="U28" s="209" t="str">
        <f t="shared" si="8"/>
        <v>SI</v>
      </c>
      <c r="V28" s="359">
        <f t="shared" si="9"/>
        <v>617.2959999999999</v>
      </c>
      <c r="W28" s="6"/>
    </row>
    <row r="29" spans="2:23" s="5" customFormat="1" ht="16.5" customHeight="1">
      <c r="B29" s="50"/>
      <c r="C29" s="262"/>
      <c r="D29" s="262"/>
      <c r="E29" s="262"/>
      <c r="F29" s="354"/>
      <c r="G29" s="354"/>
      <c r="H29" s="355"/>
      <c r="I29" s="128">
        <f t="shared" si="0"/>
        <v>18.82</v>
      </c>
      <c r="J29" s="356"/>
      <c r="K29" s="147"/>
      <c r="L29" s="357">
        <f t="shared" si="1"/>
      </c>
      <c r="M29" s="358">
        <f t="shared" si="2"/>
      </c>
      <c r="N29" s="208"/>
      <c r="O29" s="209">
        <f t="shared" si="3"/>
      </c>
      <c r="P29" s="588">
        <f t="shared" si="4"/>
        <v>40</v>
      </c>
      <c r="Q29" s="722" t="str">
        <f t="shared" si="5"/>
        <v>--</v>
      </c>
      <c r="R29" s="181" t="str">
        <f t="shared" si="6"/>
        <v>--</v>
      </c>
      <c r="S29" s="351" t="str">
        <f t="shared" si="7"/>
        <v>--</v>
      </c>
      <c r="T29" s="352" t="str">
        <f aca="true" t="shared" si="10" ref="T29:T41">IF(N29="RF",I29*P29*ROUND(M29/60,2),"--")</f>
        <v>--</v>
      </c>
      <c r="U29" s="209">
        <f t="shared" si="8"/>
      </c>
      <c r="V29" s="359">
        <f t="shared" si="9"/>
      </c>
      <c r="W29" s="6"/>
    </row>
    <row r="30" spans="2:23" s="5" customFormat="1" ht="16.5" customHeight="1">
      <c r="B30" s="50"/>
      <c r="C30" s="262"/>
      <c r="D30" s="262"/>
      <c r="E30" s="149"/>
      <c r="F30" s="354"/>
      <c r="G30" s="354"/>
      <c r="H30" s="355"/>
      <c r="I30" s="128">
        <f t="shared" si="0"/>
        <v>18.82</v>
      </c>
      <c r="J30" s="356"/>
      <c r="K30" s="147"/>
      <c r="L30" s="357">
        <f t="shared" si="1"/>
      </c>
      <c r="M30" s="358">
        <f t="shared" si="2"/>
      </c>
      <c r="N30" s="208"/>
      <c r="O30" s="209">
        <f t="shared" si="3"/>
      </c>
      <c r="P30" s="588">
        <f t="shared" si="4"/>
        <v>40</v>
      </c>
      <c r="Q30" s="722" t="str">
        <f t="shared" si="5"/>
        <v>--</v>
      </c>
      <c r="R30" s="181" t="str">
        <f t="shared" si="6"/>
        <v>--</v>
      </c>
      <c r="S30" s="351" t="str">
        <f t="shared" si="7"/>
        <v>--</v>
      </c>
      <c r="T30" s="352" t="str">
        <f t="shared" si="10"/>
        <v>--</v>
      </c>
      <c r="U30" s="209">
        <f t="shared" si="8"/>
      </c>
      <c r="V30" s="359">
        <f t="shared" si="9"/>
      </c>
      <c r="W30" s="6"/>
    </row>
    <row r="31" spans="2:23" s="5" customFormat="1" ht="16.5" customHeight="1">
      <c r="B31" s="50"/>
      <c r="C31" s="262"/>
      <c r="D31" s="262"/>
      <c r="E31" s="262"/>
      <c r="F31" s="354"/>
      <c r="G31" s="354"/>
      <c r="H31" s="355"/>
      <c r="I31" s="128">
        <f t="shared" si="0"/>
        <v>18.82</v>
      </c>
      <c r="J31" s="356"/>
      <c r="K31" s="147"/>
      <c r="L31" s="357">
        <f t="shared" si="1"/>
      </c>
      <c r="M31" s="358">
        <f t="shared" si="2"/>
      </c>
      <c r="N31" s="208"/>
      <c r="O31" s="209">
        <f t="shared" si="3"/>
      </c>
      <c r="P31" s="588">
        <f t="shared" si="4"/>
        <v>40</v>
      </c>
      <c r="Q31" s="722" t="str">
        <f t="shared" si="5"/>
        <v>--</v>
      </c>
      <c r="R31" s="181" t="str">
        <f t="shared" si="6"/>
        <v>--</v>
      </c>
      <c r="S31" s="351" t="str">
        <f t="shared" si="7"/>
        <v>--</v>
      </c>
      <c r="T31" s="352" t="str">
        <f t="shared" si="10"/>
        <v>--</v>
      </c>
      <c r="U31" s="209">
        <f t="shared" si="8"/>
      </c>
      <c r="V31" s="359">
        <f t="shared" si="9"/>
      </c>
      <c r="W31" s="6"/>
    </row>
    <row r="32" spans="2:23" s="5" customFormat="1" ht="16.5" customHeight="1">
      <c r="B32" s="50"/>
      <c r="C32" s="262"/>
      <c r="D32" s="262"/>
      <c r="E32" s="149"/>
      <c r="F32" s="354"/>
      <c r="G32" s="354"/>
      <c r="H32" s="355"/>
      <c r="I32" s="128">
        <f t="shared" si="0"/>
        <v>18.82</v>
      </c>
      <c r="J32" s="356"/>
      <c r="K32" s="147"/>
      <c r="L32" s="357">
        <f t="shared" si="1"/>
      </c>
      <c r="M32" s="358">
        <f t="shared" si="2"/>
      </c>
      <c r="N32" s="208"/>
      <c r="O32" s="209">
        <f t="shared" si="3"/>
      </c>
      <c r="P32" s="588">
        <f t="shared" si="4"/>
        <v>40</v>
      </c>
      <c r="Q32" s="722" t="str">
        <f t="shared" si="5"/>
        <v>--</v>
      </c>
      <c r="R32" s="181" t="str">
        <f t="shared" si="6"/>
        <v>--</v>
      </c>
      <c r="S32" s="351" t="str">
        <f t="shared" si="7"/>
        <v>--</v>
      </c>
      <c r="T32" s="352" t="str">
        <f t="shared" si="10"/>
        <v>--</v>
      </c>
      <c r="U32" s="209">
        <f t="shared" si="8"/>
      </c>
      <c r="V32" s="359">
        <f t="shared" si="9"/>
      </c>
      <c r="W32" s="6"/>
    </row>
    <row r="33" spans="2:23" s="5" customFormat="1" ht="16.5" customHeight="1">
      <c r="B33" s="50"/>
      <c r="C33" s="262"/>
      <c r="D33" s="262"/>
      <c r="E33" s="262"/>
      <c r="F33" s="354"/>
      <c r="G33" s="354"/>
      <c r="H33" s="355"/>
      <c r="I33" s="128">
        <f t="shared" si="0"/>
        <v>18.82</v>
      </c>
      <c r="J33" s="356"/>
      <c r="K33" s="147"/>
      <c r="L33" s="357">
        <f t="shared" si="1"/>
      </c>
      <c r="M33" s="358">
        <f t="shared" si="2"/>
      </c>
      <c r="N33" s="208"/>
      <c r="O33" s="209">
        <f t="shared" si="3"/>
      </c>
      <c r="P33" s="588">
        <f t="shared" si="4"/>
        <v>40</v>
      </c>
      <c r="Q33" s="722" t="str">
        <f t="shared" si="5"/>
        <v>--</v>
      </c>
      <c r="R33" s="181" t="str">
        <f t="shared" si="6"/>
        <v>--</v>
      </c>
      <c r="S33" s="351" t="str">
        <f t="shared" si="7"/>
        <v>--</v>
      </c>
      <c r="T33" s="352" t="str">
        <f t="shared" si="10"/>
        <v>--</v>
      </c>
      <c r="U33" s="209">
        <f t="shared" si="8"/>
      </c>
      <c r="V33" s="359">
        <f t="shared" si="9"/>
      </c>
      <c r="W33" s="6"/>
    </row>
    <row r="34" spans="2:23" s="5" customFormat="1" ht="16.5" customHeight="1">
      <c r="B34" s="50"/>
      <c r="C34" s="262"/>
      <c r="D34" s="262"/>
      <c r="E34" s="149"/>
      <c r="F34" s="354"/>
      <c r="G34" s="354"/>
      <c r="H34" s="355"/>
      <c r="I34" s="128">
        <f t="shared" si="0"/>
        <v>18.82</v>
      </c>
      <c r="J34" s="356"/>
      <c r="K34" s="147"/>
      <c r="L34" s="357">
        <f t="shared" si="1"/>
      </c>
      <c r="M34" s="358">
        <f t="shared" si="2"/>
      </c>
      <c r="N34" s="208"/>
      <c r="O34" s="209">
        <f t="shared" si="3"/>
      </c>
      <c r="P34" s="588">
        <f t="shared" si="4"/>
        <v>40</v>
      </c>
      <c r="Q34" s="722" t="str">
        <f t="shared" si="5"/>
        <v>--</v>
      </c>
      <c r="R34" s="181" t="str">
        <f t="shared" si="6"/>
        <v>--</v>
      </c>
      <c r="S34" s="351" t="str">
        <f t="shared" si="7"/>
        <v>--</v>
      </c>
      <c r="T34" s="352" t="str">
        <f t="shared" si="10"/>
        <v>--</v>
      </c>
      <c r="U34" s="209">
        <f t="shared" si="8"/>
      </c>
      <c r="V34" s="359">
        <f t="shared" si="9"/>
      </c>
      <c r="W34" s="6"/>
    </row>
    <row r="35" spans="2:23" s="5" customFormat="1" ht="16.5" customHeight="1">
      <c r="B35" s="50"/>
      <c r="C35" s="262"/>
      <c r="D35" s="262"/>
      <c r="E35" s="262"/>
      <c r="F35" s="354"/>
      <c r="G35" s="354"/>
      <c r="H35" s="355"/>
      <c r="I35" s="128">
        <f t="shared" si="0"/>
        <v>18.82</v>
      </c>
      <c r="J35" s="356"/>
      <c r="K35" s="147"/>
      <c r="L35" s="357">
        <f t="shared" si="1"/>
      </c>
      <c r="M35" s="358">
        <f t="shared" si="2"/>
      </c>
      <c r="N35" s="208"/>
      <c r="O35" s="209">
        <f t="shared" si="3"/>
      </c>
      <c r="P35" s="588">
        <f t="shared" si="4"/>
        <v>40</v>
      </c>
      <c r="Q35" s="722" t="str">
        <f t="shared" si="5"/>
        <v>--</v>
      </c>
      <c r="R35" s="181" t="str">
        <f t="shared" si="6"/>
        <v>--</v>
      </c>
      <c r="S35" s="351" t="str">
        <f t="shared" si="7"/>
        <v>--</v>
      </c>
      <c r="T35" s="352" t="str">
        <f t="shared" si="10"/>
        <v>--</v>
      </c>
      <c r="U35" s="209">
        <f t="shared" si="8"/>
      </c>
      <c r="V35" s="359">
        <f t="shared" si="9"/>
      </c>
      <c r="W35" s="6"/>
    </row>
    <row r="36" spans="2:23" s="5" customFormat="1" ht="16.5" customHeight="1">
      <c r="B36" s="50"/>
      <c r="C36" s="262"/>
      <c r="D36" s="262"/>
      <c r="E36" s="149"/>
      <c r="F36" s="354"/>
      <c r="G36" s="354"/>
      <c r="H36" s="355"/>
      <c r="I36" s="128">
        <f t="shared" si="0"/>
        <v>18.82</v>
      </c>
      <c r="J36" s="356"/>
      <c r="K36" s="147"/>
      <c r="L36" s="357">
        <f t="shared" si="1"/>
      </c>
      <c r="M36" s="358">
        <f t="shared" si="2"/>
      </c>
      <c r="N36" s="208"/>
      <c r="O36" s="209">
        <f t="shared" si="3"/>
      </c>
      <c r="P36" s="588">
        <f t="shared" si="4"/>
        <v>40</v>
      </c>
      <c r="Q36" s="722" t="str">
        <f t="shared" si="5"/>
        <v>--</v>
      </c>
      <c r="R36" s="181" t="str">
        <f t="shared" si="6"/>
        <v>--</v>
      </c>
      <c r="S36" s="351" t="str">
        <f t="shared" si="7"/>
        <v>--</v>
      </c>
      <c r="T36" s="352" t="str">
        <f t="shared" si="10"/>
        <v>--</v>
      </c>
      <c r="U36" s="209">
        <f t="shared" si="8"/>
      </c>
      <c r="V36" s="359">
        <f t="shared" si="9"/>
      </c>
      <c r="W36" s="6"/>
    </row>
    <row r="37" spans="2:23" s="5" customFormat="1" ht="16.5" customHeight="1">
      <c r="B37" s="50"/>
      <c r="C37" s="262"/>
      <c r="D37" s="262"/>
      <c r="E37" s="262"/>
      <c r="F37" s="354"/>
      <c r="G37" s="354"/>
      <c r="H37" s="355"/>
      <c r="I37" s="128">
        <f t="shared" si="0"/>
        <v>18.82</v>
      </c>
      <c r="J37" s="356"/>
      <c r="K37" s="147"/>
      <c r="L37" s="357">
        <f t="shared" si="1"/>
      </c>
      <c r="M37" s="358">
        <f t="shared" si="2"/>
      </c>
      <c r="N37" s="208"/>
      <c r="O37" s="209">
        <f t="shared" si="3"/>
      </c>
      <c r="P37" s="588">
        <f t="shared" si="4"/>
        <v>40</v>
      </c>
      <c r="Q37" s="722" t="str">
        <f t="shared" si="5"/>
        <v>--</v>
      </c>
      <c r="R37" s="181" t="str">
        <f t="shared" si="6"/>
        <v>--</v>
      </c>
      <c r="S37" s="351" t="str">
        <f t="shared" si="7"/>
        <v>--</v>
      </c>
      <c r="T37" s="352" t="str">
        <f t="shared" si="10"/>
        <v>--</v>
      </c>
      <c r="U37" s="209">
        <f t="shared" si="8"/>
      </c>
      <c r="V37" s="359">
        <f t="shared" si="9"/>
      </c>
      <c r="W37" s="6"/>
    </row>
    <row r="38" spans="2:23" s="5" customFormat="1" ht="16.5" customHeight="1">
      <c r="B38" s="50"/>
      <c r="C38" s="262"/>
      <c r="D38" s="262"/>
      <c r="E38" s="149"/>
      <c r="F38" s="354"/>
      <c r="G38" s="354"/>
      <c r="H38" s="355"/>
      <c r="I38" s="128">
        <f t="shared" si="0"/>
        <v>18.82</v>
      </c>
      <c r="J38" s="356"/>
      <c r="K38" s="147"/>
      <c r="L38" s="357">
        <f t="shared" si="1"/>
      </c>
      <c r="M38" s="358">
        <f t="shared" si="2"/>
      </c>
      <c r="N38" s="208"/>
      <c r="O38" s="209">
        <f t="shared" si="3"/>
      </c>
      <c r="P38" s="588">
        <f t="shared" si="4"/>
        <v>40</v>
      </c>
      <c r="Q38" s="722" t="str">
        <f t="shared" si="5"/>
        <v>--</v>
      </c>
      <c r="R38" s="181" t="str">
        <f t="shared" si="6"/>
        <v>--</v>
      </c>
      <c r="S38" s="351" t="str">
        <f t="shared" si="7"/>
        <v>--</v>
      </c>
      <c r="T38" s="352" t="str">
        <f t="shared" si="10"/>
        <v>--</v>
      </c>
      <c r="U38" s="209">
        <f t="shared" si="8"/>
      </c>
      <c r="V38" s="359">
        <f t="shared" si="9"/>
      </c>
      <c r="W38" s="6"/>
    </row>
    <row r="39" spans="2:23" s="5" customFormat="1" ht="16.5" customHeight="1">
      <c r="B39" s="50"/>
      <c r="C39" s="262"/>
      <c r="D39" s="262"/>
      <c r="E39" s="262"/>
      <c r="F39" s="354"/>
      <c r="G39" s="354"/>
      <c r="H39" s="355"/>
      <c r="I39" s="128">
        <f t="shared" si="0"/>
        <v>18.82</v>
      </c>
      <c r="J39" s="356"/>
      <c r="K39" s="147"/>
      <c r="L39" s="357">
        <f t="shared" si="1"/>
      </c>
      <c r="M39" s="358">
        <f t="shared" si="2"/>
      </c>
      <c r="N39" s="208"/>
      <c r="O39" s="209">
        <f t="shared" si="3"/>
      </c>
      <c r="P39" s="588">
        <f t="shared" si="4"/>
        <v>40</v>
      </c>
      <c r="Q39" s="722" t="str">
        <f t="shared" si="5"/>
        <v>--</v>
      </c>
      <c r="R39" s="181" t="str">
        <f t="shared" si="6"/>
        <v>--</v>
      </c>
      <c r="S39" s="351" t="str">
        <f t="shared" si="7"/>
        <v>--</v>
      </c>
      <c r="T39" s="352" t="str">
        <f t="shared" si="10"/>
        <v>--</v>
      </c>
      <c r="U39" s="209">
        <f t="shared" si="8"/>
      </c>
      <c r="V39" s="359">
        <f t="shared" si="9"/>
      </c>
      <c r="W39" s="6"/>
    </row>
    <row r="40" spans="2:23" s="5" customFormat="1" ht="16.5" customHeight="1">
      <c r="B40" s="50"/>
      <c r="C40" s="262"/>
      <c r="D40" s="262"/>
      <c r="E40" s="149"/>
      <c r="F40" s="354"/>
      <c r="G40" s="354"/>
      <c r="H40" s="355"/>
      <c r="I40" s="128">
        <f t="shared" si="0"/>
        <v>18.82</v>
      </c>
      <c r="J40" s="356"/>
      <c r="K40" s="147"/>
      <c r="L40" s="357">
        <f t="shared" si="1"/>
      </c>
      <c r="M40" s="358">
        <f t="shared" si="2"/>
      </c>
      <c r="N40" s="208"/>
      <c r="O40" s="209">
        <f t="shared" si="3"/>
      </c>
      <c r="P40" s="588">
        <f t="shared" si="4"/>
        <v>40</v>
      </c>
      <c r="Q40" s="722" t="str">
        <f t="shared" si="5"/>
        <v>--</v>
      </c>
      <c r="R40" s="181" t="str">
        <f t="shared" si="6"/>
        <v>--</v>
      </c>
      <c r="S40" s="351" t="str">
        <f t="shared" si="7"/>
        <v>--</v>
      </c>
      <c r="T40" s="352" t="str">
        <f t="shared" si="10"/>
        <v>--</v>
      </c>
      <c r="U40" s="209">
        <f t="shared" si="8"/>
      </c>
      <c r="V40" s="359">
        <f t="shared" si="9"/>
      </c>
      <c r="W40" s="6"/>
    </row>
    <row r="41" spans="2:23" s="5" customFormat="1" ht="16.5" customHeight="1">
      <c r="B41" s="50"/>
      <c r="C41" s="262"/>
      <c r="D41" s="262"/>
      <c r="E41" s="262"/>
      <c r="F41" s="354"/>
      <c r="G41" s="354"/>
      <c r="H41" s="355"/>
      <c r="I41" s="128">
        <f t="shared" si="0"/>
        <v>18.82</v>
      </c>
      <c r="J41" s="356"/>
      <c r="K41" s="147"/>
      <c r="L41" s="357">
        <f t="shared" si="1"/>
      </c>
      <c r="M41" s="358">
        <f t="shared" si="2"/>
      </c>
      <c r="N41" s="208"/>
      <c r="O41" s="209">
        <f t="shared" si="3"/>
      </c>
      <c r="P41" s="588">
        <f t="shared" si="4"/>
        <v>40</v>
      </c>
      <c r="Q41" s="722" t="str">
        <f t="shared" si="5"/>
        <v>--</v>
      </c>
      <c r="R41" s="181" t="str">
        <f t="shared" si="6"/>
        <v>--</v>
      </c>
      <c r="S41" s="351" t="str">
        <f t="shared" si="7"/>
        <v>--</v>
      </c>
      <c r="T41" s="352" t="str">
        <f t="shared" si="10"/>
        <v>--</v>
      </c>
      <c r="U41" s="209">
        <f t="shared" si="8"/>
      </c>
      <c r="V41" s="359">
        <f t="shared" si="9"/>
      </c>
      <c r="W41" s="6"/>
    </row>
    <row r="42" spans="2:23" s="5" customFormat="1" ht="16.5" customHeight="1" thickBot="1">
      <c r="B42" s="50"/>
      <c r="C42" s="216"/>
      <c r="D42" s="216"/>
      <c r="E42" s="216"/>
      <c r="F42" s="216"/>
      <c r="G42" s="216"/>
      <c r="H42" s="216"/>
      <c r="I42" s="129"/>
      <c r="J42" s="360"/>
      <c r="K42" s="360"/>
      <c r="L42" s="361"/>
      <c r="M42" s="361"/>
      <c r="N42" s="360"/>
      <c r="O42" s="148"/>
      <c r="P42" s="362"/>
      <c r="Q42" s="363"/>
      <c r="R42" s="364"/>
      <c r="S42" s="365"/>
      <c r="T42" s="154"/>
      <c r="U42" s="148"/>
      <c r="V42" s="366"/>
      <c r="W42" s="6"/>
    </row>
    <row r="43" spans="2:23" s="5" customFormat="1" ht="16.5" customHeight="1" thickBot="1" thickTop="1">
      <c r="B43" s="50"/>
      <c r="C43" s="125" t="s">
        <v>23</v>
      </c>
      <c r="D43" s="730" t="s">
        <v>217</v>
      </c>
      <c r="E43" s="125"/>
      <c r="F43" s="126"/>
      <c r="G43"/>
      <c r="H43" s="4"/>
      <c r="I43" s="4"/>
      <c r="J43" s="4"/>
      <c r="K43" s="4"/>
      <c r="L43" s="4"/>
      <c r="M43" s="4"/>
      <c r="N43" s="4"/>
      <c r="O43" s="4"/>
      <c r="P43" s="4"/>
      <c r="Q43" s="367">
        <f>SUM(Q20:Q42)</f>
        <v>7439.9224</v>
      </c>
      <c r="R43" s="368">
        <f>SUM(R20:R42)</f>
        <v>0</v>
      </c>
      <c r="S43" s="369">
        <f>SUM(S20:S42)</f>
        <v>0</v>
      </c>
      <c r="T43" s="370">
        <f>SUM(T20:T42)</f>
        <v>0</v>
      </c>
      <c r="U43" s="371"/>
      <c r="V43" s="98">
        <f>ROUND(SUM(V20:V42),2)</f>
        <v>7439.92</v>
      </c>
      <c r="W43" s="6"/>
    </row>
    <row r="44" spans="2:23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</row>
    <row r="45" spans="23:25" ht="16.5" customHeight="1" thickTop="1">
      <c r="W45" s="168"/>
      <c r="X45" s="168"/>
      <c r="Y45" s="168"/>
    </row>
    <row r="46" spans="23:25" ht="16.5" customHeight="1">
      <c r="W46" s="168"/>
      <c r="X46" s="168"/>
      <c r="Y46" s="168"/>
    </row>
    <row r="47" spans="23:25" ht="16.5" customHeight="1">
      <c r="W47" s="168"/>
      <c r="X47" s="168"/>
      <c r="Y47" s="168"/>
    </row>
    <row r="48" spans="23:25" ht="16.5" customHeight="1">
      <c r="W48" s="168"/>
      <c r="X48" s="168"/>
      <c r="Y48" s="168"/>
    </row>
    <row r="49" spans="23:25" ht="16.5" customHeight="1">
      <c r="W49" s="168"/>
      <c r="X49" s="168"/>
      <c r="Y49" s="168"/>
    </row>
    <row r="50" spans="6:25" ht="16.5" customHeight="1"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</row>
    <row r="51" spans="6:25" ht="16.5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</row>
    <row r="52" spans="6:25" ht="16.5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</row>
    <row r="53" spans="6:25" ht="16.5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</row>
    <row r="54" spans="6:25" ht="16.5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</row>
    <row r="55" spans="6:25" ht="16.5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</row>
    <row r="56" spans="6:25" ht="16.5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6:25" ht="16.5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</row>
    <row r="58" spans="6:25" ht="16.5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</row>
    <row r="59" spans="6:25" ht="16.5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6:25" ht="16.5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6:25" ht="16.5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</row>
    <row r="62" spans="6:25" ht="16.5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</row>
    <row r="63" spans="6:25" ht="16.5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</row>
    <row r="64" spans="6:25" ht="16.5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</row>
    <row r="65" spans="6:25" ht="16.5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</row>
    <row r="66" spans="6:25" ht="16.5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</row>
    <row r="67" spans="6:25" ht="16.5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</row>
    <row r="68" spans="6:25" ht="16.5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</row>
    <row r="69" spans="6:25" ht="16.5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</row>
    <row r="70" spans="6:25" ht="16.5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</row>
    <row r="71" spans="6:25" ht="16.5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</row>
    <row r="72" spans="6:25" ht="16.5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</row>
    <row r="73" spans="6:25" ht="16.5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</row>
    <row r="74" spans="6:25" ht="16.5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</row>
    <row r="75" spans="6:25" ht="16.5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</row>
    <row r="76" spans="6:25" ht="16.5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</row>
    <row r="77" spans="6:25" ht="16.5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</row>
    <row r="78" spans="6:25" ht="16.5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</row>
    <row r="79" spans="6:25" ht="16.5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</row>
    <row r="80" spans="6:25" ht="16.5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</row>
    <row r="81" spans="6:25" ht="16.5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</row>
    <row r="82" spans="6:25" ht="16.5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</row>
    <row r="83" spans="6:25" ht="16.5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</row>
    <row r="84" spans="6:25" ht="16.5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</row>
    <row r="85" spans="6:25" ht="16.5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6:25" ht="16.5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</row>
    <row r="87" spans="6:25" ht="16.5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</row>
    <row r="88" spans="6:25" ht="16.5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</row>
    <row r="89" spans="6:25" ht="16.5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</row>
    <row r="90" spans="6:25" ht="16.5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</row>
    <row r="91" spans="6:25" ht="16.5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</row>
    <row r="92" spans="6:25" ht="16.5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</row>
    <row r="93" spans="6:25" ht="16.5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</row>
    <row r="94" spans="6:25" ht="16.5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</row>
    <row r="95" spans="6:25" ht="16.5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</row>
    <row r="96" spans="6:25" ht="16.5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</row>
    <row r="97" spans="6:25" ht="16.5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</row>
    <row r="98" spans="6:25" ht="16.5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</row>
    <row r="99" spans="6:25" ht="16.5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</row>
    <row r="100" spans="6:25" ht="16.5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</row>
    <row r="101" spans="6:25" ht="16.5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</row>
    <row r="102" spans="6:25" ht="16.5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</row>
    <row r="103" spans="6:25" ht="16.5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</row>
    <row r="104" spans="6:25" ht="16.5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</row>
    <row r="105" spans="6:25" ht="16.5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</row>
    <row r="106" spans="6:25" ht="16.5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</row>
    <row r="107" spans="6:25" ht="16.5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</row>
    <row r="108" spans="6:25" ht="16.5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</row>
    <row r="109" spans="6:25" ht="16.5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</row>
    <row r="110" spans="6:25" ht="16.5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</row>
    <row r="111" spans="6:25" ht="16.5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</row>
    <row r="112" spans="6:25" ht="16.5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</row>
    <row r="113" spans="6:25" ht="16.5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</row>
    <row r="114" spans="6:25" ht="16.5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</row>
    <row r="115" spans="6:25" ht="16.5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</row>
    <row r="116" spans="6:25" ht="16.5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</row>
    <row r="117" spans="6:25" ht="16.5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</row>
    <row r="118" spans="6:25" ht="16.5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</row>
    <row r="119" spans="6:25" ht="16.5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</row>
    <row r="120" spans="6:25" ht="16.5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</row>
    <row r="121" spans="6:25" ht="16.5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</row>
    <row r="122" spans="6:25" ht="16.5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</row>
    <row r="123" spans="6:25" ht="16.5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6:25" ht="16.5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6:25" ht="16.5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6:25" ht="16.5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6:25" ht="16.5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6:25" ht="16.5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6:25" ht="16.5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6:25" ht="16.5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6:25" ht="16.5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6:25" ht="16.5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6:25" ht="16.5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6:25" ht="16.5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6:25" ht="16.5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6:25" ht="16.5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6:25" ht="16.5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6:25" ht="16.5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6:25" ht="16.5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6:25" ht="16.5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6:25" ht="16.5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6:25" ht="16.5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6:25" ht="16.5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6:25" ht="16.5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6:25" ht="16.5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6:25" ht="16.5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6:25" ht="16.5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6:25" ht="16.5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6:25" ht="16.5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6:25" ht="16.5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6:25" ht="16.5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6:25" ht="16.5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6:25" ht="16.5" customHeight="1"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6:25" ht="16.5" customHeight="1"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6:25" ht="16.5" customHeight="1"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6:25" ht="16.5" customHeight="1"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6:25" ht="16.5" customHeight="1"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60" ht="12.75"/>
    <row r="161" ht="12.75"/>
    <row r="162" ht="12.75"/>
    <row r="163" ht="12.75"/>
    <row r="164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F43"/>
  <sheetViews>
    <sheetView zoomScale="70" zoomScaleNormal="70" workbookViewId="0" topLeftCell="A1">
      <selection activeCell="L54" sqref="L54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7109375" style="0" customWidth="1"/>
    <col min="6" max="6" width="45.7109375" style="0" customWidth="1"/>
    <col min="7" max="8" width="9.7109375" style="0" customWidth="1"/>
    <col min="9" max="9" width="17.140625" style="0" customWidth="1"/>
    <col min="10" max="10" width="3.140625" style="0" hidden="1" customWidth="1"/>
    <col min="11" max="11" width="6.8515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1"/>
    </row>
    <row r="2" spans="1:32" s="18" customFormat="1" ht="26.25">
      <c r="A2" s="89"/>
      <c r="B2" s="19" t="str">
        <f>+'TOT-0709'!B2</f>
        <v>ANEXO II al Memorándum D.T.E.E. N°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23.25" customHeight="1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6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2"/>
    </row>
    <row r="8" spans="2:32" s="29" customFormat="1" ht="20.25">
      <c r="B8" s="79"/>
      <c r="C8" s="30"/>
      <c r="D8" s="30"/>
      <c r="E8" s="30"/>
      <c r="F8" s="167" t="s">
        <v>54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5"/>
    </row>
    <row r="9" spans="2:32" s="5" customFormat="1" ht="16.5" customHeight="1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687" customFormat="1" ht="33" customHeight="1">
      <c r="B10" s="688"/>
      <c r="C10" s="686"/>
      <c r="D10" s="686"/>
      <c r="E10" s="686"/>
      <c r="F10" s="741" t="s">
        <v>11</v>
      </c>
      <c r="G10" s="686"/>
      <c r="H10" s="686"/>
      <c r="I10" s="686"/>
      <c r="K10" s="686"/>
      <c r="L10" s="686"/>
      <c r="M10" s="686"/>
      <c r="N10" s="686"/>
      <c r="O10" s="686"/>
      <c r="P10" s="686"/>
      <c r="Q10" s="686"/>
      <c r="R10" s="741"/>
      <c r="S10" s="741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742"/>
    </row>
    <row r="11" spans="2:32" s="689" customFormat="1" ht="33" customHeight="1">
      <c r="B11" s="690"/>
      <c r="C11" s="691"/>
      <c r="D11" s="691"/>
      <c r="E11" s="691"/>
      <c r="F11" s="743" t="s">
        <v>224</v>
      </c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1"/>
      <c r="AE11" s="691"/>
      <c r="AF11" s="745"/>
    </row>
    <row r="12" spans="2:32" s="36" customFormat="1" ht="19.5">
      <c r="B12" s="37" t="str">
        <f>'TOT-0709'!B14</f>
        <v>Desde el 01 al 31 de julio de 2009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89"/>
      <c r="Q12" s="189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135"/>
    </row>
    <row r="13" spans="2:32" s="5" customFormat="1" ht="16.5" customHeight="1" thickBot="1">
      <c r="B13" s="50"/>
      <c r="C13" s="4"/>
      <c r="D13" s="4"/>
      <c r="E13" s="4"/>
      <c r="F13" s="4"/>
      <c r="G13" s="66"/>
      <c r="H13" s="66"/>
      <c r="I13" s="4"/>
      <c r="J13" s="4"/>
      <c r="K13" s="4"/>
      <c r="L13" s="190"/>
      <c r="M13" s="4"/>
      <c r="N13" s="4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5" customFormat="1" ht="16.5" customHeight="1" thickBot="1" thickTop="1">
      <c r="B14" s="50"/>
      <c r="C14" s="4"/>
      <c r="D14" s="4"/>
      <c r="E14" s="66" t="s">
        <v>293</v>
      </c>
      <c r="F14" s="82" t="s">
        <v>71</v>
      </c>
      <c r="G14" s="675">
        <f>I14*0.6</f>
        <v>70.3074</v>
      </c>
      <c r="H14" s="191"/>
      <c r="I14" s="949">
        <v>117.179</v>
      </c>
      <c r="J14" s="19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7"/>
    </row>
    <row r="15" spans="2:32" s="5" customFormat="1" ht="16.5" customHeight="1" thickBot="1" thickTop="1">
      <c r="B15" s="50"/>
      <c r="C15" s="4"/>
      <c r="D15" s="4"/>
      <c r="E15" s="66" t="s">
        <v>293</v>
      </c>
      <c r="F15" s="82" t="s">
        <v>72</v>
      </c>
      <c r="G15" s="675">
        <f>I15*0.6</f>
        <v>58.5894</v>
      </c>
      <c r="H15" s="191"/>
      <c r="I15" s="949">
        <v>97.649</v>
      </c>
      <c r="J15" s="191"/>
      <c r="K15" s="4"/>
      <c r="L15" s="192"/>
      <c r="M15" s="193"/>
      <c r="N15" s="4"/>
      <c r="O15" s="4"/>
      <c r="P15" s="4"/>
      <c r="Q15" s="4"/>
      <c r="R15" s="4"/>
      <c r="S15" s="4"/>
      <c r="T15" s="4"/>
      <c r="U15" s="4"/>
      <c r="V15" s="4"/>
      <c r="W15" s="4"/>
      <c r="X15" s="113"/>
      <c r="Y15" s="113"/>
      <c r="Z15" s="113"/>
      <c r="AA15" s="113"/>
      <c r="AB15" s="113"/>
      <c r="AC15" s="113"/>
      <c r="AD15" s="113"/>
      <c r="AF15" s="17"/>
    </row>
    <row r="16" spans="2:32" s="5" customFormat="1" ht="16.5" customHeight="1" thickBot="1" thickTop="1">
      <c r="B16" s="50"/>
      <c r="C16" s="726">
        <v>3</v>
      </c>
      <c r="D16" s="726">
        <v>4</v>
      </c>
      <c r="E16" s="726">
        <v>5</v>
      </c>
      <c r="F16" s="726">
        <v>6</v>
      </c>
      <c r="G16" s="726">
        <v>7</v>
      </c>
      <c r="H16" s="726">
        <v>8</v>
      </c>
      <c r="I16" s="726">
        <v>9</v>
      </c>
      <c r="J16" s="726">
        <v>10</v>
      </c>
      <c r="K16" s="726">
        <v>11</v>
      </c>
      <c r="L16" s="726">
        <v>12</v>
      </c>
      <c r="M16" s="726">
        <v>13</v>
      </c>
      <c r="N16" s="726">
        <v>14</v>
      </c>
      <c r="O16" s="726">
        <v>15</v>
      </c>
      <c r="P16" s="726">
        <v>16</v>
      </c>
      <c r="Q16" s="726">
        <v>17</v>
      </c>
      <c r="R16" s="726">
        <v>18</v>
      </c>
      <c r="S16" s="726">
        <v>19</v>
      </c>
      <c r="T16" s="726">
        <v>20</v>
      </c>
      <c r="U16" s="726">
        <v>21</v>
      </c>
      <c r="V16" s="726">
        <v>22</v>
      </c>
      <c r="W16" s="726">
        <v>23</v>
      </c>
      <c r="X16" s="726">
        <v>24</v>
      </c>
      <c r="Y16" s="726">
        <v>25</v>
      </c>
      <c r="Z16" s="726">
        <v>26</v>
      </c>
      <c r="AA16" s="726">
        <v>27</v>
      </c>
      <c r="AB16" s="726">
        <v>28</v>
      </c>
      <c r="AC16" s="726">
        <v>29</v>
      </c>
      <c r="AD16" s="726">
        <v>30</v>
      </c>
      <c r="AE16" s="726">
        <v>31</v>
      </c>
      <c r="AF16" s="17"/>
    </row>
    <row r="17" spans="2:32" s="5" customFormat="1" ht="33.75" customHeight="1" thickBot="1" thickTop="1">
      <c r="B17" s="50"/>
      <c r="C17" s="84" t="s">
        <v>12</v>
      </c>
      <c r="D17" s="84" t="s">
        <v>128</v>
      </c>
      <c r="E17" s="84" t="s">
        <v>129</v>
      </c>
      <c r="F17" s="85" t="s">
        <v>0</v>
      </c>
      <c r="G17" s="609" t="s">
        <v>13</v>
      </c>
      <c r="H17" s="86" t="s">
        <v>14</v>
      </c>
      <c r="I17" s="195" t="s">
        <v>56</v>
      </c>
      <c r="J17" s="610" t="s">
        <v>35</v>
      </c>
      <c r="K17" s="611" t="s">
        <v>15</v>
      </c>
      <c r="L17" s="85" t="s">
        <v>16</v>
      </c>
      <c r="M17" s="171" t="s">
        <v>17</v>
      </c>
      <c r="N17" s="87" t="s">
        <v>34</v>
      </c>
      <c r="O17" s="86" t="s">
        <v>29</v>
      </c>
      <c r="P17" s="87" t="s">
        <v>18</v>
      </c>
      <c r="Q17" s="86" t="s">
        <v>44</v>
      </c>
      <c r="R17" s="171" t="s">
        <v>45</v>
      </c>
      <c r="S17" s="85" t="s">
        <v>30</v>
      </c>
      <c r="T17" s="134" t="s">
        <v>19</v>
      </c>
      <c r="U17" s="612" t="s">
        <v>20</v>
      </c>
      <c r="V17" s="196" t="s">
        <v>46</v>
      </c>
      <c r="W17" s="197"/>
      <c r="X17" s="198"/>
      <c r="Y17" s="613" t="s">
        <v>107</v>
      </c>
      <c r="Z17" s="614"/>
      <c r="AA17" s="615"/>
      <c r="AB17" s="199" t="s">
        <v>21</v>
      </c>
      <c r="AC17" s="200" t="s">
        <v>57</v>
      </c>
      <c r="AD17" s="130" t="s">
        <v>58</v>
      </c>
      <c r="AE17" s="130" t="s">
        <v>22</v>
      </c>
      <c r="AF17" s="201"/>
    </row>
    <row r="18" spans="2:32" s="5" customFormat="1" ht="16.5" customHeight="1" thickTop="1">
      <c r="B18" s="50"/>
      <c r="C18" s="173"/>
      <c r="D18" s="173"/>
      <c r="E18" s="173"/>
      <c r="F18" s="658"/>
      <c r="G18" s="658"/>
      <c r="H18" s="676"/>
      <c r="I18" s="657"/>
      <c r="J18" s="659"/>
      <c r="K18" s="660"/>
      <c r="L18" s="671"/>
      <c r="M18" s="671"/>
      <c r="N18" s="657"/>
      <c r="O18" s="657"/>
      <c r="P18" s="657"/>
      <c r="Q18" s="657"/>
      <c r="R18" s="657"/>
      <c r="S18" s="657"/>
      <c r="T18" s="661"/>
      <c r="U18" s="662"/>
      <c r="V18" s="663"/>
      <c r="W18" s="664"/>
      <c r="X18" s="665"/>
      <c r="Y18" s="666"/>
      <c r="Z18" s="667"/>
      <c r="AA18" s="668"/>
      <c r="AB18" s="669"/>
      <c r="AC18" s="670"/>
      <c r="AD18" s="657"/>
      <c r="AE18" s="616"/>
      <c r="AF18" s="17"/>
    </row>
    <row r="19" spans="2:32" s="5" customFormat="1" ht="16.5" customHeight="1">
      <c r="B19" s="50"/>
      <c r="C19" s="10"/>
      <c r="D19" s="10"/>
      <c r="E19" s="10"/>
      <c r="F19" s="637"/>
      <c r="G19" s="638"/>
      <c r="H19" s="679"/>
      <c r="I19" s="638"/>
      <c r="J19" s="627">
        <f aca="true" t="shared" si="0" ref="J19:J39">IF(I19="A",200,IF(I19="B",60,20))</f>
        <v>20</v>
      </c>
      <c r="K19" s="628">
        <f aca="true" t="shared" si="1" ref="K19:K39">IF(G19=500,IF(H19&lt;100,100*$G$14/100,H19*$G$14/100),IF(H19&lt;100,100*$G$15/100,H19*$G$15/100))</f>
        <v>58.5894</v>
      </c>
      <c r="L19" s="629"/>
      <c r="M19" s="630"/>
      <c r="N19" s="179">
        <f aca="true" t="shared" si="2" ref="N19:N39">IF(F19="","",(M19-L19)*24)</f>
      </c>
      <c r="O19" s="180">
        <f aca="true" t="shared" si="3" ref="O19:O39">IF(F19="","",ROUND((M19-L19)*24*60,0))</f>
      </c>
      <c r="P19" s="208"/>
      <c r="Q19" s="718">
        <f aca="true" t="shared" si="4" ref="Q19:Q39">IF(F19="","","--")</f>
      </c>
      <c r="R19" s="209">
        <f aca="true" t="shared" si="5" ref="R19:R39">IF(F19="","","NO")</f>
      </c>
      <c r="S19" s="209">
        <f aca="true" t="shared" si="6" ref="S19:S39">IF(F19="","",IF(OR(P19="P",P19="RP"),"--","NO"))</f>
      </c>
      <c r="T19" s="733" t="str">
        <f aca="true" t="shared" si="7" ref="T19:T39">IF(P19="P",K19*J19*ROUND(O19/60,2)*0.01,"--")</f>
        <v>--</v>
      </c>
      <c r="U19" s="734" t="str">
        <f aca="true" t="shared" si="8" ref="U19:U39">IF(P19="RP",K19*J19*ROUND(O19/60,2)*0.01*Q19/100,"--")</f>
        <v>--</v>
      </c>
      <c r="V19" s="735" t="str">
        <f aca="true" t="shared" si="9" ref="V19:V39">IF(AND(P19="F",S19="NO"),K19*J19*IF(R19="SI",1.2,1),"--")</f>
        <v>--</v>
      </c>
      <c r="W19" s="736" t="str">
        <f aca="true" t="shared" si="10" ref="W19:W39">IF(AND(P19="F",O19&gt;=10),K19*J19*IF(R19="SI",1.2,1)*IF(O19&lt;=300,ROUND(O19/60,2),5),"--")</f>
        <v>--</v>
      </c>
      <c r="X19" s="737" t="str">
        <f aca="true" t="shared" si="11" ref="X19:X39">IF(AND(P19="F",O19&gt;300),(ROUND(O19/60,2)-5)*K19*J19*0.1*IF(R19="SI",1.2,1),"--")</f>
        <v>--</v>
      </c>
      <c r="Y19" s="731" t="str">
        <f aca="true" t="shared" si="12" ref="Y19:Y39">IF(AND(P19="R",S19="NO"),K19*J19*Q19/100*IF(R19="SI",1.2,1),"--")</f>
        <v>--</v>
      </c>
      <c r="Z19" s="732" t="str">
        <f aca="true" t="shared" si="13" ref="Z19:Z39">IF(AND(P19="R",O19&gt;=10),K19*J19*Q19/100*IF(R19="SI",1.2,1)*IF(O19&lt;=300,ROUND(O19/60,2),5),"--")</f>
        <v>--</v>
      </c>
      <c r="AA19" s="738" t="str">
        <f aca="true" t="shared" si="14" ref="AA19:AA39">IF(AND(P19="R",O19&gt;300),(ROUND(O19/60,2)-5)*K19*J19*0.1*Q19/100*IF(R19="SI",1.2,1),"--")</f>
        <v>--</v>
      </c>
      <c r="AB19" s="739" t="str">
        <f aca="true" t="shared" si="15" ref="AB19:AB39">IF(P19="RF",ROUND(O19/60,2)*K19*J19*0.1*IF(R19="SI",1.2,1),"--")</f>
        <v>--</v>
      </c>
      <c r="AC19" s="740" t="str">
        <f aca="true" t="shared" si="16" ref="AC19:AC39">IF(P19="RR",ROUND(O19/60,2)*K19*J19*0.1*Q19/100*IF(R19="SI",1.2,1),"--")</f>
        <v>--</v>
      </c>
      <c r="AD19" s="746">
        <f aca="true" t="shared" si="17" ref="AD19:AD39">IF(F19="","","SI")</f>
      </c>
      <c r="AE19" s="16">
        <f aca="true" t="shared" si="18" ref="AE19:AE39">IF(F19="","",SUM(T19:AC19)*IF(AD19="SI",1,2))</f>
      </c>
      <c r="AF19" s="17"/>
    </row>
    <row r="20" spans="2:32" s="5" customFormat="1" ht="16.5" customHeight="1">
      <c r="B20" s="50"/>
      <c r="C20" s="10">
        <v>103</v>
      </c>
      <c r="D20" s="10">
        <v>208924</v>
      </c>
      <c r="E20" s="10">
        <v>4864</v>
      </c>
      <c r="F20" s="637" t="s">
        <v>257</v>
      </c>
      <c r="G20" s="638">
        <v>500</v>
      </c>
      <c r="H20" s="679">
        <v>202.17</v>
      </c>
      <c r="I20" s="638" t="s">
        <v>133</v>
      </c>
      <c r="J20" s="627">
        <f t="shared" si="0"/>
        <v>20</v>
      </c>
      <c r="K20" s="628">
        <f t="shared" si="1"/>
        <v>142.14047058</v>
      </c>
      <c r="L20" s="629">
        <v>40013.37777777778</v>
      </c>
      <c r="M20" s="630">
        <v>40013.6125</v>
      </c>
      <c r="N20" s="179">
        <f t="shared" si="2"/>
        <v>5.633333333360497</v>
      </c>
      <c r="O20" s="180">
        <f t="shared" si="3"/>
        <v>338</v>
      </c>
      <c r="P20" s="208" t="s">
        <v>134</v>
      </c>
      <c r="Q20" s="718" t="str">
        <f t="shared" si="4"/>
        <v>--</v>
      </c>
      <c r="R20" s="209" t="str">
        <f t="shared" si="5"/>
        <v>NO</v>
      </c>
      <c r="S20" s="209" t="str">
        <f t="shared" si="6"/>
        <v>--</v>
      </c>
      <c r="T20" s="733">
        <f t="shared" si="7"/>
        <v>160.05016987308002</v>
      </c>
      <c r="U20" s="734" t="str">
        <f t="shared" si="8"/>
        <v>--</v>
      </c>
      <c r="V20" s="735" t="str">
        <f t="shared" si="9"/>
        <v>--</v>
      </c>
      <c r="W20" s="736" t="str">
        <f t="shared" si="10"/>
        <v>--</v>
      </c>
      <c r="X20" s="737" t="str">
        <f t="shared" si="11"/>
        <v>--</v>
      </c>
      <c r="Y20" s="731" t="str">
        <f t="shared" si="12"/>
        <v>--</v>
      </c>
      <c r="Z20" s="732" t="str">
        <f t="shared" si="13"/>
        <v>--</v>
      </c>
      <c r="AA20" s="738" t="str">
        <f t="shared" si="14"/>
        <v>--</v>
      </c>
      <c r="AB20" s="739" t="str">
        <f t="shared" si="15"/>
        <v>--</v>
      </c>
      <c r="AC20" s="740" t="str">
        <f t="shared" si="16"/>
        <v>--</v>
      </c>
      <c r="AD20" s="746" t="str">
        <f t="shared" si="17"/>
        <v>SI</v>
      </c>
      <c r="AE20" s="16">
        <f t="shared" si="18"/>
        <v>160.05016987308002</v>
      </c>
      <c r="AF20" s="636"/>
    </row>
    <row r="21" spans="2:32" s="5" customFormat="1" ht="16.5" customHeight="1">
      <c r="B21" s="50"/>
      <c r="C21" s="262"/>
      <c r="D21" s="262"/>
      <c r="E21" s="262"/>
      <c r="F21" s="637"/>
      <c r="G21" s="638"/>
      <c r="H21" s="679"/>
      <c r="I21" s="638"/>
      <c r="J21" s="627">
        <f t="shared" si="0"/>
        <v>20</v>
      </c>
      <c r="K21" s="628">
        <f t="shared" si="1"/>
        <v>58.5894</v>
      </c>
      <c r="L21" s="629"/>
      <c r="M21" s="630"/>
      <c r="N21" s="179">
        <f t="shared" si="2"/>
      </c>
      <c r="O21" s="180">
        <f t="shared" si="3"/>
      </c>
      <c r="P21" s="208"/>
      <c r="Q21" s="718">
        <f t="shared" si="4"/>
      </c>
      <c r="R21" s="209">
        <f t="shared" si="5"/>
      </c>
      <c r="S21" s="209">
        <f t="shared" si="6"/>
      </c>
      <c r="T21" s="733" t="str">
        <f t="shared" si="7"/>
        <v>--</v>
      </c>
      <c r="U21" s="734" t="str">
        <f t="shared" si="8"/>
        <v>--</v>
      </c>
      <c r="V21" s="735" t="str">
        <f t="shared" si="9"/>
        <v>--</v>
      </c>
      <c r="W21" s="736" t="str">
        <f t="shared" si="10"/>
        <v>--</v>
      </c>
      <c r="X21" s="737" t="str">
        <f t="shared" si="11"/>
        <v>--</v>
      </c>
      <c r="Y21" s="731" t="str">
        <f t="shared" si="12"/>
        <v>--</v>
      </c>
      <c r="Z21" s="732" t="str">
        <f t="shared" si="13"/>
        <v>--</v>
      </c>
      <c r="AA21" s="738" t="str">
        <f t="shared" si="14"/>
        <v>--</v>
      </c>
      <c r="AB21" s="739" t="str">
        <f t="shared" si="15"/>
        <v>--</v>
      </c>
      <c r="AC21" s="740" t="str">
        <f t="shared" si="16"/>
        <v>--</v>
      </c>
      <c r="AD21" s="719">
        <f t="shared" si="17"/>
      </c>
      <c r="AE21" s="16">
        <f t="shared" si="18"/>
      </c>
      <c r="AF21" s="636"/>
    </row>
    <row r="22" spans="2:32" s="5" customFormat="1" ht="16.5" customHeight="1">
      <c r="B22" s="50"/>
      <c r="C22" s="149"/>
      <c r="D22" s="149"/>
      <c r="E22" s="149"/>
      <c r="F22" s="637"/>
      <c r="G22" s="638"/>
      <c r="H22" s="679"/>
      <c r="I22" s="638"/>
      <c r="J22" s="627">
        <f t="shared" si="0"/>
        <v>20</v>
      </c>
      <c r="K22" s="628">
        <f t="shared" si="1"/>
        <v>58.5894</v>
      </c>
      <c r="L22" s="639"/>
      <c r="M22" s="640"/>
      <c r="N22" s="179">
        <f t="shared" si="2"/>
      </c>
      <c r="O22" s="180">
        <f t="shared" si="3"/>
      </c>
      <c r="P22" s="208"/>
      <c r="Q22" s="718">
        <f t="shared" si="4"/>
      </c>
      <c r="R22" s="209">
        <f t="shared" si="5"/>
      </c>
      <c r="S22" s="209">
        <f t="shared" si="6"/>
      </c>
      <c r="T22" s="733" t="str">
        <f t="shared" si="7"/>
        <v>--</v>
      </c>
      <c r="U22" s="734" t="str">
        <f t="shared" si="8"/>
        <v>--</v>
      </c>
      <c r="V22" s="735" t="str">
        <f t="shared" si="9"/>
        <v>--</v>
      </c>
      <c r="W22" s="736" t="str">
        <f t="shared" si="10"/>
        <v>--</v>
      </c>
      <c r="X22" s="737" t="str">
        <f t="shared" si="11"/>
        <v>--</v>
      </c>
      <c r="Y22" s="731" t="str">
        <f t="shared" si="12"/>
        <v>--</v>
      </c>
      <c r="Z22" s="732" t="str">
        <f t="shared" si="13"/>
        <v>--</v>
      </c>
      <c r="AA22" s="738" t="str">
        <f t="shared" si="14"/>
        <v>--</v>
      </c>
      <c r="AB22" s="739" t="str">
        <f t="shared" si="15"/>
        <v>--</v>
      </c>
      <c r="AC22" s="740" t="str">
        <f t="shared" si="16"/>
        <v>--</v>
      </c>
      <c r="AD22" s="719">
        <f t="shared" si="17"/>
      </c>
      <c r="AE22" s="16">
        <f t="shared" si="18"/>
      </c>
      <c r="AF22" s="636"/>
    </row>
    <row r="23" spans="2:32" s="5" customFormat="1" ht="16.5" customHeight="1">
      <c r="B23" s="50"/>
      <c r="C23" s="262"/>
      <c r="D23" s="262"/>
      <c r="E23" s="262"/>
      <c r="F23" s="637"/>
      <c r="G23" s="638"/>
      <c r="H23" s="679"/>
      <c r="I23" s="638"/>
      <c r="J23" s="627">
        <f t="shared" si="0"/>
        <v>20</v>
      </c>
      <c r="K23" s="628">
        <f t="shared" si="1"/>
        <v>58.5894</v>
      </c>
      <c r="L23" s="639"/>
      <c r="M23" s="640"/>
      <c r="N23" s="179">
        <f t="shared" si="2"/>
      </c>
      <c r="O23" s="180">
        <f t="shared" si="3"/>
      </c>
      <c r="P23" s="208"/>
      <c r="Q23" s="718">
        <f t="shared" si="4"/>
      </c>
      <c r="R23" s="209">
        <f t="shared" si="5"/>
      </c>
      <c r="S23" s="209">
        <f t="shared" si="6"/>
      </c>
      <c r="T23" s="733" t="str">
        <f t="shared" si="7"/>
        <v>--</v>
      </c>
      <c r="U23" s="734" t="str">
        <f t="shared" si="8"/>
        <v>--</v>
      </c>
      <c r="V23" s="735" t="str">
        <f t="shared" si="9"/>
        <v>--</v>
      </c>
      <c r="W23" s="736" t="str">
        <f t="shared" si="10"/>
        <v>--</v>
      </c>
      <c r="X23" s="737" t="str">
        <f t="shared" si="11"/>
        <v>--</v>
      </c>
      <c r="Y23" s="731" t="str">
        <f t="shared" si="12"/>
        <v>--</v>
      </c>
      <c r="Z23" s="732" t="str">
        <f t="shared" si="13"/>
        <v>--</v>
      </c>
      <c r="AA23" s="738" t="str">
        <f t="shared" si="14"/>
        <v>--</v>
      </c>
      <c r="AB23" s="739" t="str">
        <f t="shared" si="15"/>
        <v>--</v>
      </c>
      <c r="AC23" s="740" t="str">
        <f t="shared" si="16"/>
        <v>--</v>
      </c>
      <c r="AD23" s="719">
        <f t="shared" si="17"/>
      </c>
      <c r="AE23" s="16">
        <f t="shared" si="18"/>
      </c>
      <c r="AF23" s="636"/>
    </row>
    <row r="24" spans="2:32" s="5" customFormat="1" ht="16.5" customHeight="1">
      <c r="B24" s="50"/>
      <c r="C24" s="149"/>
      <c r="D24" s="149"/>
      <c r="E24" s="149"/>
      <c r="F24" s="149"/>
      <c r="G24" s="176"/>
      <c r="H24" s="678"/>
      <c r="I24" s="176"/>
      <c r="J24" s="627">
        <f t="shared" si="0"/>
        <v>20</v>
      </c>
      <c r="K24" s="628">
        <f t="shared" si="1"/>
        <v>58.5894</v>
      </c>
      <c r="L24" s="629"/>
      <c r="M24" s="630"/>
      <c r="N24" s="179">
        <f t="shared" si="2"/>
      </c>
      <c r="O24" s="180">
        <f t="shared" si="3"/>
      </c>
      <c r="P24" s="208"/>
      <c r="Q24" s="718">
        <f t="shared" si="4"/>
      </c>
      <c r="R24" s="209">
        <f t="shared" si="5"/>
      </c>
      <c r="S24" s="209">
        <f t="shared" si="6"/>
      </c>
      <c r="T24" s="733" t="str">
        <f t="shared" si="7"/>
        <v>--</v>
      </c>
      <c r="U24" s="734" t="str">
        <f t="shared" si="8"/>
        <v>--</v>
      </c>
      <c r="V24" s="735" t="str">
        <f t="shared" si="9"/>
        <v>--</v>
      </c>
      <c r="W24" s="736" t="str">
        <f t="shared" si="10"/>
        <v>--</v>
      </c>
      <c r="X24" s="737" t="str">
        <f t="shared" si="11"/>
        <v>--</v>
      </c>
      <c r="Y24" s="731" t="str">
        <f t="shared" si="12"/>
        <v>--</v>
      </c>
      <c r="Z24" s="732" t="str">
        <f t="shared" si="13"/>
        <v>--</v>
      </c>
      <c r="AA24" s="738" t="str">
        <f t="shared" si="14"/>
        <v>--</v>
      </c>
      <c r="AB24" s="739" t="str">
        <f t="shared" si="15"/>
        <v>--</v>
      </c>
      <c r="AC24" s="740" t="str">
        <f t="shared" si="16"/>
        <v>--</v>
      </c>
      <c r="AD24" s="719">
        <f t="shared" si="17"/>
      </c>
      <c r="AE24" s="16">
        <f t="shared" si="18"/>
      </c>
      <c r="AF24" s="636"/>
    </row>
    <row r="25" spans="2:32" s="5" customFormat="1" ht="16.5" customHeight="1">
      <c r="B25" s="50"/>
      <c r="C25" s="262"/>
      <c r="D25" s="262"/>
      <c r="E25" s="262"/>
      <c r="F25" s="149"/>
      <c r="G25" s="176"/>
      <c r="H25" s="678"/>
      <c r="I25" s="176"/>
      <c r="J25" s="627">
        <f t="shared" si="0"/>
        <v>20</v>
      </c>
      <c r="K25" s="628">
        <f t="shared" si="1"/>
        <v>58.5894</v>
      </c>
      <c r="L25" s="629"/>
      <c r="M25" s="630"/>
      <c r="N25" s="179">
        <f t="shared" si="2"/>
      </c>
      <c r="O25" s="180">
        <f t="shared" si="3"/>
      </c>
      <c r="P25" s="208"/>
      <c r="Q25" s="718">
        <f t="shared" si="4"/>
      </c>
      <c r="R25" s="209">
        <f t="shared" si="5"/>
      </c>
      <c r="S25" s="209">
        <f t="shared" si="6"/>
      </c>
      <c r="T25" s="733" t="str">
        <f t="shared" si="7"/>
        <v>--</v>
      </c>
      <c r="U25" s="734" t="str">
        <f t="shared" si="8"/>
        <v>--</v>
      </c>
      <c r="V25" s="735" t="str">
        <f t="shared" si="9"/>
        <v>--</v>
      </c>
      <c r="W25" s="736" t="str">
        <f t="shared" si="10"/>
        <v>--</v>
      </c>
      <c r="X25" s="737" t="str">
        <f t="shared" si="11"/>
        <v>--</v>
      </c>
      <c r="Y25" s="731" t="str">
        <f t="shared" si="12"/>
        <v>--</v>
      </c>
      <c r="Z25" s="732" t="str">
        <f t="shared" si="13"/>
        <v>--</v>
      </c>
      <c r="AA25" s="738" t="str">
        <f t="shared" si="14"/>
        <v>--</v>
      </c>
      <c r="AB25" s="739" t="str">
        <f t="shared" si="15"/>
        <v>--</v>
      </c>
      <c r="AC25" s="740" t="str">
        <f t="shared" si="16"/>
        <v>--</v>
      </c>
      <c r="AD25" s="719">
        <f t="shared" si="17"/>
      </c>
      <c r="AE25" s="16">
        <f t="shared" si="18"/>
      </c>
      <c r="AF25" s="636"/>
    </row>
    <row r="26" spans="2:32" s="5" customFormat="1" ht="16.5" customHeight="1">
      <c r="B26" s="50"/>
      <c r="C26" s="149"/>
      <c r="D26" s="149"/>
      <c r="E26" s="149"/>
      <c r="F26" s="143"/>
      <c r="G26" s="144"/>
      <c r="H26" s="680"/>
      <c r="I26" s="144"/>
      <c r="J26" s="627">
        <f t="shared" si="0"/>
        <v>20</v>
      </c>
      <c r="K26" s="628">
        <f t="shared" si="1"/>
        <v>58.5894</v>
      </c>
      <c r="L26" s="177"/>
      <c r="M26" s="207"/>
      <c r="N26" s="179">
        <f t="shared" si="2"/>
      </c>
      <c r="O26" s="180">
        <f t="shared" si="3"/>
      </c>
      <c r="P26" s="208"/>
      <c r="Q26" s="718">
        <f t="shared" si="4"/>
      </c>
      <c r="R26" s="209">
        <f t="shared" si="5"/>
      </c>
      <c r="S26" s="209">
        <f t="shared" si="6"/>
      </c>
      <c r="T26" s="733" t="str">
        <f t="shared" si="7"/>
        <v>--</v>
      </c>
      <c r="U26" s="734" t="str">
        <f t="shared" si="8"/>
        <v>--</v>
      </c>
      <c r="V26" s="735" t="str">
        <f t="shared" si="9"/>
        <v>--</v>
      </c>
      <c r="W26" s="736" t="str">
        <f t="shared" si="10"/>
        <v>--</v>
      </c>
      <c r="X26" s="737" t="str">
        <f t="shared" si="11"/>
        <v>--</v>
      </c>
      <c r="Y26" s="731" t="str">
        <f t="shared" si="12"/>
        <v>--</v>
      </c>
      <c r="Z26" s="732" t="str">
        <f t="shared" si="13"/>
        <v>--</v>
      </c>
      <c r="AA26" s="738" t="str">
        <f t="shared" si="14"/>
        <v>--</v>
      </c>
      <c r="AB26" s="739" t="str">
        <f t="shared" si="15"/>
        <v>--</v>
      </c>
      <c r="AC26" s="740" t="str">
        <f t="shared" si="16"/>
        <v>--</v>
      </c>
      <c r="AD26" s="719">
        <f t="shared" si="17"/>
      </c>
      <c r="AE26" s="16">
        <f t="shared" si="18"/>
      </c>
      <c r="AF26" s="636"/>
    </row>
    <row r="27" spans="2:32" s="5" customFormat="1" ht="16.5" customHeight="1">
      <c r="B27" s="50"/>
      <c r="C27" s="262"/>
      <c r="D27" s="262"/>
      <c r="E27" s="262"/>
      <c r="F27" s="143"/>
      <c r="G27" s="144"/>
      <c r="H27" s="680"/>
      <c r="I27" s="144"/>
      <c r="J27" s="627">
        <f t="shared" si="0"/>
        <v>20</v>
      </c>
      <c r="K27" s="628">
        <f t="shared" si="1"/>
        <v>58.5894</v>
      </c>
      <c r="L27" s="177"/>
      <c r="M27" s="207"/>
      <c r="N27" s="179">
        <f t="shared" si="2"/>
      </c>
      <c r="O27" s="180">
        <f t="shared" si="3"/>
      </c>
      <c r="P27" s="208"/>
      <c r="Q27" s="718">
        <f t="shared" si="4"/>
      </c>
      <c r="R27" s="209">
        <f t="shared" si="5"/>
      </c>
      <c r="S27" s="209">
        <f t="shared" si="6"/>
      </c>
      <c r="T27" s="733" t="str">
        <f t="shared" si="7"/>
        <v>--</v>
      </c>
      <c r="U27" s="734" t="str">
        <f t="shared" si="8"/>
        <v>--</v>
      </c>
      <c r="V27" s="735" t="str">
        <f t="shared" si="9"/>
        <v>--</v>
      </c>
      <c r="W27" s="736" t="str">
        <f t="shared" si="10"/>
        <v>--</v>
      </c>
      <c r="X27" s="737" t="str">
        <f t="shared" si="11"/>
        <v>--</v>
      </c>
      <c r="Y27" s="731" t="str">
        <f t="shared" si="12"/>
        <v>--</v>
      </c>
      <c r="Z27" s="732" t="str">
        <f t="shared" si="13"/>
        <v>--</v>
      </c>
      <c r="AA27" s="738" t="str">
        <f t="shared" si="14"/>
        <v>--</v>
      </c>
      <c r="AB27" s="739" t="str">
        <f t="shared" si="15"/>
        <v>--</v>
      </c>
      <c r="AC27" s="740" t="str">
        <f t="shared" si="16"/>
        <v>--</v>
      </c>
      <c r="AD27" s="719">
        <f t="shared" si="17"/>
      </c>
      <c r="AE27" s="16">
        <f t="shared" si="18"/>
      </c>
      <c r="AF27" s="636"/>
    </row>
    <row r="28" spans="2:32" s="5" customFormat="1" ht="16.5" customHeight="1">
      <c r="B28" s="50"/>
      <c r="C28" s="149"/>
      <c r="D28" s="149"/>
      <c r="E28" s="149"/>
      <c r="F28" s="143"/>
      <c r="G28" s="144"/>
      <c r="H28" s="680"/>
      <c r="I28" s="144"/>
      <c r="J28" s="627">
        <f t="shared" si="0"/>
        <v>20</v>
      </c>
      <c r="K28" s="628">
        <f t="shared" si="1"/>
        <v>58.5894</v>
      </c>
      <c r="L28" s="177"/>
      <c r="M28" s="207"/>
      <c r="N28" s="179">
        <f t="shared" si="2"/>
      </c>
      <c r="O28" s="180">
        <f t="shared" si="3"/>
      </c>
      <c r="P28" s="208"/>
      <c r="Q28" s="718">
        <f t="shared" si="4"/>
      </c>
      <c r="R28" s="209">
        <f t="shared" si="5"/>
      </c>
      <c r="S28" s="209">
        <f t="shared" si="6"/>
      </c>
      <c r="T28" s="733" t="str">
        <f t="shared" si="7"/>
        <v>--</v>
      </c>
      <c r="U28" s="734" t="str">
        <f t="shared" si="8"/>
        <v>--</v>
      </c>
      <c r="V28" s="735" t="str">
        <f t="shared" si="9"/>
        <v>--</v>
      </c>
      <c r="W28" s="736" t="str">
        <f t="shared" si="10"/>
        <v>--</v>
      </c>
      <c r="X28" s="737" t="str">
        <f t="shared" si="11"/>
        <v>--</v>
      </c>
      <c r="Y28" s="731" t="str">
        <f t="shared" si="12"/>
        <v>--</v>
      </c>
      <c r="Z28" s="732" t="str">
        <f t="shared" si="13"/>
        <v>--</v>
      </c>
      <c r="AA28" s="738" t="str">
        <f t="shared" si="14"/>
        <v>--</v>
      </c>
      <c r="AB28" s="739" t="str">
        <f t="shared" si="15"/>
        <v>--</v>
      </c>
      <c r="AC28" s="740" t="str">
        <f t="shared" si="16"/>
        <v>--</v>
      </c>
      <c r="AD28" s="719">
        <f t="shared" si="17"/>
      </c>
      <c r="AE28" s="16">
        <f t="shared" si="18"/>
      </c>
      <c r="AF28" s="636"/>
    </row>
    <row r="29" spans="2:32" s="5" customFormat="1" ht="16.5" customHeight="1">
      <c r="B29" s="50"/>
      <c r="C29" s="262"/>
      <c r="D29" s="262"/>
      <c r="E29" s="262"/>
      <c r="F29" s="143"/>
      <c r="G29" s="144"/>
      <c r="H29" s="680"/>
      <c r="I29" s="144"/>
      <c r="J29" s="627">
        <f t="shared" si="0"/>
        <v>20</v>
      </c>
      <c r="K29" s="628">
        <f t="shared" si="1"/>
        <v>58.5894</v>
      </c>
      <c r="L29" s="177"/>
      <c r="M29" s="207"/>
      <c r="N29" s="179">
        <f t="shared" si="2"/>
      </c>
      <c r="O29" s="180">
        <f t="shared" si="3"/>
      </c>
      <c r="P29" s="208"/>
      <c r="Q29" s="718">
        <f t="shared" si="4"/>
      </c>
      <c r="R29" s="209">
        <f t="shared" si="5"/>
      </c>
      <c r="S29" s="209">
        <f t="shared" si="6"/>
      </c>
      <c r="T29" s="733" t="str">
        <f t="shared" si="7"/>
        <v>--</v>
      </c>
      <c r="U29" s="734" t="str">
        <f t="shared" si="8"/>
        <v>--</v>
      </c>
      <c r="V29" s="735" t="str">
        <f t="shared" si="9"/>
        <v>--</v>
      </c>
      <c r="W29" s="736" t="str">
        <f t="shared" si="10"/>
        <v>--</v>
      </c>
      <c r="X29" s="737" t="str">
        <f t="shared" si="11"/>
        <v>--</v>
      </c>
      <c r="Y29" s="731" t="str">
        <f t="shared" si="12"/>
        <v>--</v>
      </c>
      <c r="Z29" s="732" t="str">
        <f t="shared" si="13"/>
        <v>--</v>
      </c>
      <c r="AA29" s="738" t="str">
        <f t="shared" si="14"/>
        <v>--</v>
      </c>
      <c r="AB29" s="739" t="str">
        <f t="shared" si="15"/>
        <v>--</v>
      </c>
      <c r="AC29" s="740" t="str">
        <f t="shared" si="16"/>
        <v>--</v>
      </c>
      <c r="AD29" s="719">
        <f t="shared" si="17"/>
      </c>
      <c r="AE29" s="16">
        <f t="shared" si="18"/>
      </c>
      <c r="AF29" s="636"/>
    </row>
    <row r="30" spans="2:32" s="5" customFormat="1" ht="16.5" customHeight="1">
      <c r="B30" s="50"/>
      <c r="C30" s="149"/>
      <c r="D30" s="149"/>
      <c r="E30" s="149"/>
      <c r="F30" s="143"/>
      <c r="G30" s="144"/>
      <c r="H30" s="680"/>
      <c r="I30" s="144"/>
      <c r="J30" s="627">
        <f t="shared" si="0"/>
        <v>20</v>
      </c>
      <c r="K30" s="628">
        <f t="shared" si="1"/>
        <v>58.5894</v>
      </c>
      <c r="L30" s="177"/>
      <c r="M30" s="207"/>
      <c r="N30" s="179">
        <f t="shared" si="2"/>
      </c>
      <c r="O30" s="180">
        <f t="shared" si="3"/>
      </c>
      <c r="P30" s="208"/>
      <c r="Q30" s="718">
        <f t="shared" si="4"/>
      </c>
      <c r="R30" s="209">
        <f t="shared" si="5"/>
      </c>
      <c r="S30" s="209">
        <f t="shared" si="6"/>
      </c>
      <c r="T30" s="733" t="str">
        <f t="shared" si="7"/>
        <v>--</v>
      </c>
      <c r="U30" s="734" t="str">
        <f t="shared" si="8"/>
        <v>--</v>
      </c>
      <c r="V30" s="735" t="str">
        <f t="shared" si="9"/>
        <v>--</v>
      </c>
      <c r="W30" s="736" t="str">
        <f t="shared" si="10"/>
        <v>--</v>
      </c>
      <c r="X30" s="737" t="str">
        <f t="shared" si="11"/>
        <v>--</v>
      </c>
      <c r="Y30" s="731" t="str">
        <f t="shared" si="12"/>
        <v>--</v>
      </c>
      <c r="Z30" s="732" t="str">
        <f t="shared" si="13"/>
        <v>--</v>
      </c>
      <c r="AA30" s="738" t="str">
        <f t="shared" si="14"/>
        <v>--</v>
      </c>
      <c r="AB30" s="739" t="str">
        <f t="shared" si="15"/>
        <v>--</v>
      </c>
      <c r="AC30" s="740" t="str">
        <f t="shared" si="16"/>
        <v>--</v>
      </c>
      <c r="AD30" s="719">
        <f t="shared" si="17"/>
      </c>
      <c r="AE30" s="16">
        <f t="shared" si="18"/>
      </c>
      <c r="AF30" s="636"/>
    </row>
    <row r="31" spans="2:32" s="5" customFormat="1" ht="16.5" customHeight="1">
      <c r="B31" s="50"/>
      <c r="C31" s="262"/>
      <c r="D31" s="262"/>
      <c r="E31" s="262"/>
      <c r="F31" s="143"/>
      <c r="G31" s="144"/>
      <c r="H31" s="680"/>
      <c r="I31" s="144"/>
      <c r="J31" s="627">
        <f t="shared" si="0"/>
        <v>20</v>
      </c>
      <c r="K31" s="628">
        <f t="shared" si="1"/>
        <v>58.5894</v>
      </c>
      <c r="L31" s="177"/>
      <c r="M31" s="178"/>
      <c r="N31" s="179">
        <f t="shared" si="2"/>
      </c>
      <c r="O31" s="180">
        <f t="shared" si="3"/>
      </c>
      <c r="P31" s="208"/>
      <c r="Q31" s="718">
        <f t="shared" si="4"/>
      </c>
      <c r="R31" s="209">
        <f t="shared" si="5"/>
      </c>
      <c r="S31" s="209">
        <f t="shared" si="6"/>
      </c>
      <c r="T31" s="733" t="str">
        <f t="shared" si="7"/>
        <v>--</v>
      </c>
      <c r="U31" s="734" t="str">
        <f t="shared" si="8"/>
        <v>--</v>
      </c>
      <c r="V31" s="735" t="str">
        <f t="shared" si="9"/>
        <v>--</v>
      </c>
      <c r="W31" s="736" t="str">
        <f t="shared" si="10"/>
        <v>--</v>
      </c>
      <c r="X31" s="737" t="str">
        <f t="shared" si="11"/>
        <v>--</v>
      </c>
      <c r="Y31" s="731" t="str">
        <f t="shared" si="12"/>
        <v>--</v>
      </c>
      <c r="Z31" s="732" t="str">
        <f t="shared" si="13"/>
        <v>--</v>
      </c>
      <c r="AA31" s="738" t="str">
        <f t="shared" si="14"/>
        <v>--</v>
      </c>
      <c r="AB31" s="739" t="str">
        <f t="shared" si="15"/>
        <v>--</v>
      </c>
      <c r="AC31" s="740" t="str">
        <f t="shared" si="16"/>
        <v>--</v>
      </c>
      <c r="AD31" s="719">
        <f t="shared" si="17"/>
      </c>
      <c r="AE31" s="16">
        <f t="shared" si="18"/>
      </c>
      <c r="AF31" s="636"/>
    </row>
    <row r="32" spans="2:32" s="5" customFormat="1" ht="16.5" customHeight="1">
      <c r="B32" s="50"/>
      <c r="C32" s="149"/>
      <c r="D32" s="149"/>
      <c r="E32" s="149"/>
      <c r="F32" s="143"/>
      <c r="G32" s="144"/>
      <c r="H32" s="680"/>
      <c r="I32" s="144"/>
      <c r="J32" s="627">
        <f t="shared" si="0"/>
        <v>20</v>
      </c>
      <c r="K32" s="628">
        <f t="shared" si="1"/>
        <v>58.5894</v>
      </c>
      <c r="L32" s="177"/>
      <c r="M32" s="178"/>
      <c r="N32" s="179">
        <f t="shared" si="2"/>
      </c>
      <c r="O32" s="180">
        <f t="shared" si="3"/>
      </c>
      <c r="P32" s="208"/>
      <c r="Q32" s="718">
        <f t="shared" si="4"/>
      </c>
      <c r="R32" s="209">
        <f t="shared" si="5"/>
      </c>
      <c r="S32" s="209">
        <f t="shared" si="6"/>
      </c>
      <c r="T32" s="733" t="str">
        <f t="shared" si="7"/>
        <v>--</v>
      </c>
      <c r="U32" s="734" t="str">
        <f t="shared" si="8"/>
        <v>--</v>
      </c>
      <c r="V32" s="735" t="str">
        <f t="shared" si="9"/>
        <v>--</v>
      </c>
      <c r="W32" s="736" t="str">
        <f t="shared" si="10"/>
        <v>--</v>
      </c>
      <c r="X32" s="737" t="str">
        <f t="shared" si="11"/>
        <v>--</v>
      </c>
      <c r="Y32" s="731" t="str">
        <f t="shared" si="12"/>
        <v>--</v>
      </c>
      <c r="Z32" s="732" t="str">
        <f t="shared" si="13"/>
        <v>--</v>
      </c>
      <c r="AA32" s="738" t="str">
        <f t="shared" si="14"/>
        <v>--</v>
      </c>
      <c r="AB32" s="739" t="str">
        <f t="shared" si="15"/>
        <v>--</v>
      </c>
      <c r="AC32" s="740" t="str">
        <f t="shared" si="16"/>
        <v>--</v>
      </c>
      <c r="AD32" s="719">
        <f t="shared" si="17"/>
      </c>
      <c r="AE32" s="16">
        <f t="shared" si="18"/>
      </c>
      <c r="AF32" s="636"/>
    </row>
    <row r="33" spans="2:32" s="5" customFormat="1" ht="16.5" customHeight="1">
      <c r="B33" s="50"/>
      <c r="C33" s="262"/>
      <c r="D33" s="262"/>
      <c r="E33" s="262"/>
      <c r="F33" s="143"/>
      <c r="G33" s="144"/>
      <c r="H33" s="680"/>
      <c r="I33" s="144"/>
      <c r="J33" s="627">
        <f t="shared" si="0"/>
        <v>20</v>
      </c>
      <c r="K33" s="628">
        <f t="shared" si="1"/>
        <v>58.5894</v>
      </c>
      <c r="L33" s="177"/>
      <c r="M33" s="178"/>
      <c r="N33" s="179">
        <f t="shared" si="2"/>
      </c>
      <c r="O33" s="180">
        <f t="shared" si="3"/>
      </c>
      <c r="P33" s="208"/>
      <c r="Q33" s="718">
        <f t="shared" si="4"/>
      </c>
      <c r="R33" s="209">
        <f t="shared" si="5"/>
      </c>
      <c r="S33" s="209">
        <f t="shared" si="6"/>
      </c>
      <c r="T33" s="733" t="str">
        <f t="shared" si="7"/>
        <v>--</v>
      </c>
      <c r="U33" s="734" t="str">
        <f t="shared" si="8"/>
        <v>--</v>
      </c>
      <c r="V33" s="735" t="str">
        <f t="shared" si="9"/>
        <v>--</v>
      </c>
      <c r="W33" s="736" t="str">
        <f t="shared" si="10"/>
        <v>--</v>
      </c>
      <c r="X33" s="737" t="str">
        <f t="shared" si="11"/>
        <v>--</v>
      </c>
      <c r="Y33" s="731" t="str">
        <f t="shared" si="12"/>
        <v>--</v>
      </c>
      <c r="Z33" s="732" t="str">
        <f t="shared" si="13"/>
        <v>--</v>
      </c>
      <c r="AA33" s="738" t="str">
        <f t="shared" si="14"/>
        <v>--</v>
      </c>
      <c r="AB33" s="739" t="str">
        <f t="shared" si="15"/>
        <v>--</v>
      </c>
      <c r="AC33" s="740" t="str">
        <f t="shared" si="16"/>
        <v>--</v>
      </c>
      <c r="AD33" s="719">
        <f t="shared" si="17"/>
      </c>
      <c r="AE33" s="16">
        <f t="shared" si="18"/>
      </c>
      <c r="AF33" s="636"/>
    </row>
    <row r="34" spans="2:32" s="5" customFormat="1" ht="16.5" customHeight="1">
      <c r="B34" s="50"/>
      <c r="C34" s="149"/>
      <c r="D34" s="149"/>
      <c r="E34" s="149"/>
      <c r="F34" s="143"/>
      <c r="G34" s="144"/>
      <c r="H34" s="680"/>
      <c r="I34" s="144"/>
      <c r="J34" s="627">
        <f t="shared" si="0"/>
        <v>20</v>
      </c>
      <c r="K34" s="628">
        <f t="shared" si="1"/>
        <v>58.5894</v>
      </c>
      <c r="L34" s="177"/>
      <c r="M34" s="178"/>
      <c r="N34" s="179">
        <f t="shared" si="2"/>
      </c>
      <c r="O34" s="180">
        <f t="shared" si="3"/>
      </c>
      <c r="P34" s="208"/>
      <c r="Q34" s="718">
        <f t="shared" si="4"/>
      </c>
      <c r="R34" s="209">
        <f t="shared" si="5"/>
      </c>
      <c r="S34" s="209">
        <f t="shared" si="6"/>
      </c>
      <c r="T34" s="733" t="str">
        <f t="shared" si="7"/>
        <v>--</v>
      </c>
      <c r="U34" s="734" t="str">
        <f t="shared" si="8"/>
        <v>--</v>
      </c>
      <c r="V34" s="735" t="str">
        <f t="shared" si="9"/>
        <v>--</v>
      </c>
      <c r="W34" s="736" t="str">
        <f t="shared" si="10"/>
        <v>--</v>
      </c>
      <c r="X34" s="737" t="str">
        <f t="shared" si="11"/>
        <v>--</v>
      </c>
      <c r="Y34" s="731" t="str">
        <f t="shared" si="12"/>
        <v>--</v>
      </c>
      <c r="Z34" s="732" t="str">
        <f t="shared" si="13"/>
        <v>--</v>
      </c>
      <c r="AA34" s="738" t="str">
        <f t="shared" si="14"/>
        <v>--</v>
      </c>
      <c r="AB34" s="739" t="str">
        <f t="shared" si="15"/>
        <v>--</v>
      </c>
      <c r="AC34" s="740" t="str">
        <f t="shared" si="16"/>
        <v>--</v>
      </c>
      <c r="AD34" s="719">
        <f t="shared" si="17"/>
      </c>
      <c r="AE34" s="16">
        <f t="shared" si="18"/>
      </c>
      <c r="AF34" s="636"/>
    </row>
    <row r="35" spans="2:32" s="5" customFormat="1" ht="16.5" customHeight="1">
      <c r="B35" s="50"/>
      <c r="C35" s="262"/>
      <c r="D35" s="262"/>
      <c r="E35" s="262"/>
      <c r="F35" s="143"/>
      <c r="G35" s="144"/>
      <c r="H35" s="680"/>
      <c r="I35" s="144"/>
      <c r="J35" s="627">
        <f t="shared" si="0"/>
        <v>20</v>
      </c>
      <c r="K35" s="628">
        <f t="shared" si="1"/>
        <v>58.5894</v>
      </c>
      <c r="L35" s="177"/>
      <c r="M35" s="178"/>
      <c r="N35" s="179">
        <f t="shared" si="2"/>
      </c>
      <c r="O35" s="180">
        <f t="shared" si="3"/>
      </c>
      <c r="P35" s="208"/>
      <c r="Q35" s="718">
        <f t="shared" si="4"/>
      </c>
      <c r="R35" s="209">
        <f t="shared" si="5"/>
      </c>
      <c r="S35" s="209">
        <f t="shared" si="6"/>
      </c>
      <c r="T35" s="733" t="str">
        <f t="shared" si="7"/>
        <v>--</v>
      </c>
      <c r="U35" s="734" t="str">
        <f t="shared" si="8"/>
        <v>--</v>
      </c>
      <c r="V35" s="735" t="str">
        <f t="shared" si="9"/>
        <v>--</v>
      </c>
      <c r="W35" s="736" t="str">
        <f t="shared" si="10"/>
        <v>--</v>
      </c>
      <c r="X35" s="737" t="str">
        <f t="shared" si="11"/>
        <v>--</v>
      </c>
      <c r="Y35" s="731" t="str">
        <f t="shared" si="12"/>
        <v>--</v>
      </c>
      <c r="Z35" s="732" t="str">
        <f t="shared" si="13"/>
        <v>--</v>
      </c>
      <c r="AA35" s="738" t="str">
        <f t="shared" si="14"/>
        <v>--</v>
      </c>
      <c r="AB35" s="739" t="str">
        <f t="shared" si="15"/>
        <v>--</v>
      </c>
      <c r="AC35" s="740" t="str">
        <f t="shared" si="16"/>
        <v>--</v>
      </c>
      <c r="AD35" s="719">
        <f t="shared" si="17"/>
      </c>
      <c r="AE35" s="16">
        <f t="shared" si="18"/>
      </c>
      <c r="AF35" s="636"/>
    </row>
    <row r="36" spans="2:32" s="5" customFormat="1" ht="16.5" customHeight="1">
      <c r="B36" s="50"/>
      <c r="C36" s="149"/>
      <c r="D36" s="149"/>
      <c r="E36" s="149"/>
      <c r="F36" s="143"/>
      <c r="G36" s="144"/>
      <c r="H36" s="680"/>
      <c r="I36" s="144"/>
      <c r="J36" s="627">
        <f t="shared" si="0"/>
        <v>20</v>
      </c>
      <c r="K36" s="628">
        <f t="shared" si="1"/>
        <v>58.5894</v>
      </c>
      <c r="L36" s="177"/>
      <c r="M36" s="178"/>
      <c r="N36" s="179">
        <f t="shared" si="2"/>
      </c>
      <c r="O36" s="180">
        <f t="shared" si="3"/>
      </c>
      <c r="P36" s="208"/>
      <c r="Q36" s="718">
        <f t="shared" si="4"/>
      </c>
      <c r="R36" s="209">
        <f t="shared" si="5"/>
      </c>
      <c r="S36" s="209">
        <f t="shared" si="6"/>
      </c>
      <c r="T36" s="733" t="str">
        <f t="shared" si="7"/>
        <v>--</v>
      </c>
      <c r="U36" s="734" t="str">
        <f t="shared" si="8"/>
        <v>--</v>
      </c>
      <c r="V36" s="735" t="str">
        <f t="shared" si="9"/>
        <v>--</v>
      </c>
      <c r="W36" s="736" t="str">
        <f t="shared" si="10"/>
        <v>--</v>
      </c>
      <c r="X36" s="737" t="str">
        <f t="shared" si="11"/>
        <v>--</v>
      </c>
      <c r="Y36" s="731" t="str">
        <f t="shared" si="12"/>
        <v>--</v>
      </c>
      <c r="Z36" s="732" t="str">
        <f t="shared" si="13"/>
        <v>--</v>
      </c>
      <c r="AA36" s="738" t="str">
        <f t="shared" si="14"/>
        <v>--</v>
      </c>
      <c r="AB36" s="739" t="str">
        <f t="shared" si="15"/>
        <v>--</v>
      </c>
      <c r="AC36" s="740" t="str">
        <f t="shared" si="16"/>
        <v>--</v>
      </c>
      <c r="AD36" s="719">
        <f t="shared" si="17"/>
      </c>
      <c r="AE36" s="16">
        <f t="shared" si="18"/>
      </c>
      <c r="AF36" s="636"/>
    </row>
    <row r="37" spans="2:32" s="5" customFormat="1" ht="16.5" customHeight="1">
      <c r="B37" s="50"/>
      <c r="C37" s="262"/>
      <c r="D37" s="262"/>
      <c r="E37" s="262"/>
      <c r="F37" s="143"/>
      <c r="G37" s="144"/>
      <c r="H37" s="680"/>
      <c r="I37" s="144"/>
      <c r="J37" s="627">
        <f t="shared" si="0"/>
        <v>20</v>
      </c>
      <c r="K37" s="628">
        <f t="shared" si="1"/>
        <v>58.5894</v>
      </c>
      <c r="L37" s="177"/>
      <c r="M37" s="178"/>
      <c r="N37" s="179">
        <f t="shared" si="2"/>
      </c>
      <c r="O37" s="180">
        <f t="shared" si="3"/>
      </c>
      <c r="P37" s="208"/>
      <c r="Q37" s="718">
        <f t="shared" si="4"/>
      </c>
      <c r="R37" s="209">
        <f t="shared" si="5"/>
      </c>
      <c r="S37" s="209">
        <f t="shared" si="6"/>
      </c>
      <c r="T37" s="733" t="str">
        <f t="shared" si="7"/>
        <v>--</v>
      </c>
      <c r="U37" s="734" t="str">
        <f t="shared" si="8"/>
        <v>--</v>
      </c>
      <c r="V37" s="735" t="str">
        <f t="shared" si="9"/>
        <v>--</v>
      </c>
      <c r="W37" s="736" t="str">
        <f t="shared" si="10"/>
        <v>--</v>
      </c>
      <c r="X37" s="737" t="str">
        <f t="shared" si="11"/>
        <v>--</v>
      </c>
      <c r="Y37" s="731" t="str">
        <f t="shared" si="12"/>
        <v>--</v>
      </c>
      <c r="Z37" s="732" t="str">
        <f t="shared" si="13"/>
        <v>--</v>
      </c>
      <c r="AA37" s="738" t="str">
        <f t="shared" si="14"/>
        <v>--</v>
      </c>
      <c r="AB37" s="739" t="str">
        <f t="shared" si="15"/>
        <v>--</v>
      </c>
      <c r="AC37" s="740" t="str">
        <f t="shared" si="16"/>
        <v>--</v>
      </c>
      <c r="AD37" s="719">
        <f t="shared" si="17"/>
      </c>
      <c r="AE37" s="16">
        <f t="shared" si="18"/>
      </c>
      <c r="AF37" s="636"/>
    </row>
    <row r="38" spans="2:32" s="5" customFormat="1" ht="16.5" customHeight="1">
      <c r="B38" s="50"/>
      <c r="C38" s="149"/>
      <c r="D38" s="149"/>
      <c r="E38" s="149"/>
      <c r="F38" s="143"/>
      <c r="G38" s="144"/>
      <c r="H38" s="680"/>
      <c r="I38" s="144"/>
      <c r="J38" s="627">
        <f t="shared" si="0"/>
        <v>20</v>
      </c>
      <c r="K38" s="628">
        <f t="shared" si="1"/>
        <v>58.5894</v>
      </c>
      <c r="L38" s="177"/>
      <c r="M38" s="178"/>
      <c r="N38" s="179">
        <f t="shared" si="2"/>
      </c>
      <c r="O38" s="180">
        <f t="shared" si="3"/>
      </c>
      <c r="P38" s="208"/>
      <c r="Q38" s="718">
        <f t="shared" si="4"/>
      </c>
      <c r="R38" s="209">
        <f t="shared" si="5"/>
      </c>
      <c r="S38" s="209">
        <f t="shared" si="6"/>
      </c>
      <c r="T38" s="733" t="str">
        <f t="shared" si="7"/>
        <v>--</v>
      </c>
      <c r="U38" s="734" t="str">
        <f t="shared" si="8"/>
        <v>--</v>
      </c>
      <c r="V38" s="735" t="str">
        <f t="shared" si="9"/>
        <v>--</v>
      </c>
      <c r="W38" s="736" t="str">
        <f t="shared" si="10"/>
        <v>--</v>
      </c>
      <c r="X38" s="737" t="str">
        <f t="shared" si="11"/>
        <v>--</v>
      </c>
      <c r="Y38" s="731" t="str">
        <f t="shared" si="12"/>
        <v>--</v>
      </c>
      <c r="Z38" s="732" t="str">
        <f t="shared" si="13"/>
        <v>--</v>
      </c>
      <c r="AA38" s="738" t="str">
        <f t="shared" si="14"/>
        <v>--</v>
      </c>
      <c r="AB38" s="739" t="str">
        <f t="shared" si="15"/>
        <v>--</v>
      </c>
      <c r="AC38" s="740" t="str">
        <f t="shared" si="16"/>
        <v>--</v>
      </c>
      <c r="AD38" s="719">
        <f t="shared" si="17"/>
      </c>
      <c r="AE38" s="16">
        <f t="shared" si="18"/>
      </c>
      <c r="AF38" s="636"/>
    </row>
    <row r="39" spans="2:32" s="5" customFormat="1" ht="16.5" customHeight="1">
      <c r="B39" s="50"/>
      <c r="C39" s="262"/>
      <c r="D39" s="262"/>
      <c r="E39" s="262"/>
      <c r="F39" s="143"/>
      <c r="G39" s="144"/>
      <c r="H39" s="680"/>
      <c r="I39" s="144"/>
      <c r="J39" s="627">
        <f t="shared" si="0"/>
        <v>20</v>
      </c>
      <c r="K39" s="628">
        <f t="shared" si="1"/>
        <v>58.5894</v>
      </c>
      <c r="L39" s="177"/>
      <c r="M39" s="178"/>
      <c r="N39" s="179">
        <f t="shared" si="2"/>
      </c>
      <c r="O39" s="180">
        <f t="shared" si="3"/>
      </c>
      <c r="P39" s="208"/>
      <c r="Q39" s="718">
        <f t="shared" si="4"/>
      </c>
      <c r="R39" s="209">
        <f t="shared" si="5"/>
      </c>
      <c r="S39" s="209">
        <f t="shared" si="6"/>
      </c>
      <c r="T39" s="733" t="str">
        <f t="shared" si="7"/>
        <v>--</v>
      </c>
      <c r="U39" s="734" t="str">
        <f t="shared" si="8"/>
        <v>--</v>
      </c>
      <c r="V39" s="735" t="str">
        <f t="shared" si="9"/>
        <v>--</v>
      </c>
      <c r="W39" s="736" t="str">
        <f t="shared" si="10"/>
        <v>--</v>
      </c>
      <c r="X39" s="737" t="str">
        <f t="shared" si="11"/>
        <v>--</v>
      </c>
      <c r="Y39" s="731" t="str">
        <f t="shared" si="12"/>
        <v>--</v>
      </c>
      <c r="Z39" s="732" t="str">
        <f t="shared" si="13"/>
        <v>--</v>
      </c>
      <c r="AA39" s="738" t="str">
        <f t="shared" si="14"/>
        <v>--</v>
      </c>
      <c r="AB39" s="739" t="str">
        <f t="shared" si="15"/>
        <v>--</v>
      </c>
      <c r="AC39" s="740" t="str">
        <f t="shared" si="16"/>
        <v>--</v>
      </c>
      <c r="AD39" s="719">
        <f t="shared" si="17"/>
      </c>
      <c r="AE39" s="16">
        <f t="shared" si="18"/>
      </c>
      <c r="AF39" s="636"/>
    </row>
    <row r="40" spans="2:32" s="5" customFormat="1" ht="16.5" customHeight="1" thickBot="1">
      <c r="B40" s="50"/>
      <c r="C40" s="149"/>
      <c r="D40" s="717"/>
      <c r="E40" s="149"/>
      <c r="F40" s="146"/>
      <c r="G40" s="216"/>
      <c r="H40" s="674"/>
      <c r="I40" s="217"/>
      <c r="J40" s="641"/>
      <c r="K40" s="642"/>
      <c r="L40" s="672"/>
      <c r="M40" s="672"/>
      <c r="N40" s="9"/>
      <c r="O40" s="9"/>
      <c r="P40" s="148"/>
      <c r="Q40" s="182"/>
      <c r="R40" s="148"/>
      <c r="S40" s="148"/>
      <c r="T40" s="643"/>
      <c r="U40" s="644"/>
      <c r="V40" s="218"/>
      <c r="W40" s="219"/>
      <c r="X40" s="220"/>
      <c r="Y40" s="645"/>
      <c r="Z40" s="646"/>
      <c r="AA40" s="647"/>
      <c r="AB40" s="221"/>
      <c r="AC40" s="222"/>
      <c r="AD40" s="648"/>
      <c r="AE40" s="223"/>
      <c r="AF40" s="636"/>
    </row>
    <row r="41" spans="2:32" s="5" customFormat="1" ht="16.5" customHeight="1" thickBot="1" thickTop="1">
      <c r="B41" s="50"/>
      <c r="C41" s="125" t="s">
        <v>23</v>
      </c>
      <c r="D41" s="730" t="s">
        <v>258</v>
      </c>
      <c r="E41" s="125"/>
      <c r="F41" s="126"/>
      <c r="G41" s="224"/>
      <c r="H41" s="194"/>
      <c r="I41" s="225"/>
      <c r="J41" s="194"/>
      <c r="K41" s="183"/>
      <c r="L41" s="183"/>
      <c r="M41" s="183"/>
      <c r="N41" s="183"/>
      <c r="O41" s="183"/>
      <c r="P41" s="183"/>
      <c r="Q41" s="226"/>
      <c r="R41" s="183"/>
      <c r="S41" s="183"/>
      <c r="T41" s="649">
        <f aca="true" t="shared" si="19" ref="T41:AC41">SUM(T18:T40)</f>
        <v>160.05016987308002</v>
      </c>
      <c r="U41" s="650">
        <f t="shared" si="19"/>
        <v>0</v>
      </c>
      <c r="V41" s="651">
        <f t="shared" si="19"/>
        <v>0</v>
      </c>
      <c r="W41" s="651">
        <f t="shared" si="19"/>
        <v>0</v>
      </c>
      <c r="X41" s="651">
        <f t="shared" si="19"/>
        <v>0</v>
      </c>
      <c r="Y41" s="652">
        <f t="shared" si="19"/>
        <v>0</v>
      </c>
      <c r="Z41" s="652">
        <f t="shared" si="19"/>
        <v>0</v>
      </c>
      <c r="AA41" s="652">
        <f t="shared" si="19"/>
        <v>0</v>
      </c>
      <c r="AB41" s="227">
        <f t="shared" si="19"/>
        <v>0</v>
      </c>
      <c r="AC41" s="228">
        <f t="shared" si="19"/>
        <v>0</v>
      </c>
      <c r="AD41" s="229"/>
      <c r="AE41" s="230">
        <f>ROUND(SUM(AE18:AE40),2)</f>
        <v>160.05</v>
      </c>
      <c r="AF41" s="636"/>
    </row>
    <row r="42" spans="2:32" s="5" customFormat="1" ht="16.5" customHeight="1" thickBot="1" thickTop="1">
      <c r="B42" s="74"/>
      <c r="C42" s="950" t="s">
        <v>293</v>
      </c>
      <c r="D42" s="75" t="s">
        <v>302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6"/>
    </row>
    <row r="43" spans="2:32" ht="16.5" customHeight="1" thickTop="1">
      <c r="B43" s="1"/>
      <c r="C43" s="1"/>
      <c r="D43" s="1"/>
      <c r="AF4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Y159"/>
  <sheetViews>
    <sheetView zoomScale="70" zoomScaleNormal="70" workbookViewId="0" topLeftCell="A1">
      <selection activeCell="B3" sqref="B3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1"/>
    </row>
    <row r="2" spans="1:23" s="18" customFormat="1" ht="26.25">
      <c r="A2" s="89"/>
      <c r="B2" s="19" t="str">
        <f>'TOT-0709'!B2</f>
        <v>ANEXO II al Memorándum D.T.E.E. N°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54</v>
      </c>
      <c r="N8" s="103"/>
      <c r="O8" s="103"/>
      <c r="P8" s="94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1" t="s">
        <v>118</v>
      </c>
      <c r="G10" s="320"/>
      <c r="H10" s="103"/>
      <c r="I10" s="106"/>
      <c r="K10" s="106"/>
      <c r="L10" s="106"/>
      <c r="M10" s="106"/>
      <c r="N10" s="106"/>
      <c r="O10" s="106"/>
      <c r="P10" s="106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21"/>
      <c r="G11" s="321"/>
      <c r="H11" s="88"/>
      <c r="I11" s="95"/>
      <c r="J11" s="52"/>
      <c r="K11" s="95"/>
      <c r="L11" s="95"/>
      <c r="M11" s="95"/>
      <c r="N11" s="95"/>
      <c r="O11" s="95"/>
      <c r="P11" s="95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1" t="s">
        <v>266</v>
      </c>
      <c r="G12" s="320"/>
      <c r="H12" s="103"/>
      <c r="I12" s="106"/>
      <c r="K12" s="106"/>
      <c r="L12" s="106"/>
      <c r="M12" s="106"/>
      <c r="N12" s="106"/>
      <c r="O12" s="106"/>
      <c r="P12" s="106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21"/>
      <c r="G13" s="321"/>
      <c r="H13" s="88"/>
      <c r="I13" s="95"/>
      <c r="J13" s="52"/>
      <c r="K13" s="95"/>
      <c r="L13" s="95"/>
      <c r="M13" s="95"/>
      <c r="N13" s="95"/>
      <c r="O13" s="95"/>
      <c r="P13" s="95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'[1]TOT-0709'!B14</f>
        <v>Desde el 01 al 31 de julio de 2009</v>
      </c>
      <c r="C14" s="40"/>
      <c r="D14" s="40"/>
      <c r="E14" s="40"/>
      <c r="F14" s="40"/>
      <c r="G14" s="40"/>
      <c r="H14" s="40"/>
      <c r="I14" s="322"/>
      <c r="J14" s="322"/>
      <c r="K14" s="322"/>
      <c r="L14" s="322"/>
      <c r="M14" s="322"/>
      <c r="N14" s="322"/>
      <c r="O14" s="322"/>
      <c r="P14" s="322"/>
      <c r="Q14" s="40"/>
      <c r="R14" s="40"/>
      <c r="S14" s="40"/>
      <c r="T14" s="40"/>
      <c r="U14" s="40"/>
      <c r="V14" s="40"/>
      <c r="W14" s="323"/>
    </row>
    <row r="15" spans="2:23" s="5" customFormat="1" ht="14.25" thickBot="1">
      <c r="B15" s="324"/>
      <c r="C15" s="325"/>
      <c r="D15" s="325"/>
      <c r="E15" s="325"/>
      <c r="F15" s="325"/>
      <c r="G15" s="325"/>
      <c r="H15" s="325"/>
      <c r="I15" s="326"/>
      <c r="J15" s="326"/>
      <c r="K15" s="326"/>
      <c r="L15" s="326"/>
      <c r="M15" s="326"/>
      <c r="N15" s="326"/>
      <c r="O15" s="326"/>
      <c r="P15" s="326"/>
      <c r="Q15" s="325"/>
      <c r="R15" s="325"/>
      <c r="S15" s="325"/>
      <c r="T15" s="325"/>
      <c r="U15" s="325"/>
      <c r="V15" s="325"/>
      <c r="W15" s="327"/>
    </row>
    <row r="16" spans="2:23" s="5" customFormat="1" ht="15" thickBot="1" thickTop="1">
      <c r="B16" s="50"/>
      <c r="C16" s="4"/>
      <c r="D16" s="4"/>
      <c r="E16" s="4"/>
      <c r="F16" s="328"/>
      <c r="G16" s="328"/>
      <c r="H16" s="115" t="s">
        <v>64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29" t="s">
        <v>65</v>
      </c>
      <c r="G17" s="330" t="s">
        <v>130</v>
      </c>
      <c r="H17" s="331">
        <v>200</v>
      </c>
      <c r="V17" s="113"/>
      <c r="W17" s="6"/>
    </row>
    <row r="18" spans="2:23" s="5" customFormat="1" ht="16.5" customHeight="1" thickBot="1" thickTop="1">
      <c r="B18" s="50"/>
      <c r="C18" s="4"/>
      <c r="D18" s="4"/>
      <c r="E18" s="4"/>
      <c r="F18" s="332" t="s">
        <v>66</v>
      </c>
      <c r="G18" s="333" t="s">
        <v>130</v>
      </c>
      <c r="H18" s="331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34" t="s">
        <v>67</v>
      </c>
      <c r="G19" s="333">
        <v>16.5546</v>
      </c>
      <c r="H19" s="331">
        <v>40</v>
      </c>
      <c r="K19" s="192"/>
      <c r="L19" s="193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726">
        <v>3</v>
      </c>
      <c r="D20" s="726">
        <v>4</v>
      </c>
      <c r="E20" s="726">
        <v>5</v>
      </c>
      <c r="F20" s="726">
        <v>6</v>
      </c>
      <c r="G20" s="726">
        <v>7</v>
      </c>
      <c r="H20" s="726">
        <v>8</v>
      </c>
      <c r="I20" s="726">
        <v>9</v>
      </c>
      <c r="J20" s="726">
        <v>10</v>
      </c>
      <c r="K20" s="726">
        <v>11</v>
      </c>
      <c r="L20" s="726">
        <v>12</v>
      </c>
      <c r="M20" s="726">
        <v>13</v>
      </c>
      <c r="N20" s="726">
        <v>14</v>
      </c>
      <c r="O20" s="726">
        <v>15</v>
      </c>
      <c r="P20" s="726">
        <v>16</v>
      </c>
      <c r="Q20" s="726">
        <v>17</v>
      </c>
      <c r="R20" s="726">
        <v>18</v>
      </c>
      <c r="S20" s="726">
        <v>19</v>
      </c>
      <c r="T20" s="726">
        <v>20</v>
      </c>
      <c r="U20" s="726">
        <v>21</v>
      </c>
      <c r="V20" s="726">
        <v>22</v>
      </c>
      <c r="W20" s="6"/>
    </row>
    <row r="21" spans="2:23" s="5" customFormat="1" ht="33.75" customHeight="1" thickBot="1" thickTop="1">
      <c r="B21" s="50"/>
      <c r="C21" s="121" t="s">
        <v>12</v>
      </c>
      <c r="D21" s="84" t="s">
        <v>128</v>
      </c>
      <c r="E21" s="84" t="s">
        <v>129</v>
      </c>
      <c r="F21" s="86" t="s">
        <v>25</v>
      </c>
      <c r="G21" s="335" t="s">
        <v>26</v>
      </c>
      <c r="H21" s="336" t="s">
        <v>13</v>
      </c>
      <c r="I21" s="127" t="s">
        <v>15</v>
      </c>
      <c r="J21" s="85" t="s">
        <v>16</v>
      </c>
      <c r="K21" s="335" t="s">
        <v>17</v>
      </c>
      <c r="L21" s="337" t="s">
        <v>34</v>
      </c>
      <c r="M21" s="337" t="s">
        <v>29</v>
      </c>
      <c r="N21" s="87" t="s">
        <v>18</v>
      </c>
      <c r="O21" s="171" t="s">
        <v>30</v>
      </c>
      <c r="P21" s="133" t="s">
        <v>35</v>
      </c>
      <c r="Q21" s="338" t="s">
        <v>55</v>
      </c>
      <c r="R21" s="172" t="s">
        <v>33</v>
      </c>
      <c r="S21" s="339"/>
      <c r="T21" s="132" t="s">
        <v>21</v>
      </c>
      <c r="U21" s="130" t="s">
        <v>58</v>
      </c>
      <c r="V21" s="119" t="s">
        <v>22</v>
      </c>
      <c r="W21" s="6"/>
    </row>
    <row r="22" spans="2:23" s="5" customFormat="1" ht="16.5" customHeight="1" thickTop="1">
      <c r="B22" s="50"/>
      <c r="C22" s="248"/>
      <c r="D22" s="248"/>
      <c r="E22" s="248"/>
      <c r="F22" s="340"/>
      <c r="G22" s="340"/>
      <c r="H22" s="340"/>
      <c r="I22" s="206"/>
      <c r="J22" s="340"/>
      <c r="K22" s="340"/>
      <c r="L22" s="340"/>
      <c r="M22" s="340"/>
      <c r="N22" s="340"/>
      <c r="O22" s="340"/>
      <c r="P22" s="341"/>
      <c r="Q22" s="342"/>
      <c r="R22" s="343"/>
      <c r="S22" s="344"/>
      <c r="T22" s="345"/>
      <c r="U22" s="340"/>
      <c r="V22" s="346"/>
      <c r="W22" s="6"/>
    </row>
    <row r="23" spans="2:23" s="5" customFormat="1" ht="16.5" customHeight="1">
      <c r="B23" s="50"/>
      <c r="C23" s="262"/>
      <c r="D23" s="262"/>
      <c r="E23" s="262"/>
      <c r="F23" s="347"/>
      <c r="G23" s="347"/>
      <c r="H23" s="347"/>
      <c r="I23" s="348"/>
      <c r="J23" s="347"/>
      <c r="K23" s="347"/>
      <c r="L23" s="347"/>
      <c r="M23" s="347"/>
      <c r="N23" s="347"/>
      <c r="O23" s="347"/>
      <c r="P23" s="349"/>
      <c r="Q23" s="350"/>
      <c r="R23" s="181"/>
      <c r="S23" s="351"/>
      <c r="T23" s="352"/>
      <c r="U23" s="347"/>
      <c r="V23" s="353"/>
      <c r="W23" s="6"/>
    </row>
    <row r="24" spans="2:23" s="5" customFormat="1" ht="16.5" customHeight="1">
      <c r="B24" s="50"/>
      <c r="C24" s="262">
        <v>104</v>
      </c>
      <c r="D24" s="262">
        <v>208932</v>
      </c>
      <c r="E24" s="149">
        <v>4869</v>
      </c>
      <c r="F24" s="354" t="s">
        <v>267</v>
      </c>
      <c r="G24" s="354" t="s">
        <v>268</v>
      </c>
      <c r="H24" s="355">
        <v>132</v>
      </c>
      <c r="I24" s="128">
        <f aca="true" t="shared" si="0" ref="I24:I43">IF(H24=500,$G$17,IF(H24=220,$G$18,$G$19))</f>
        <v>16.5546</v>
      </c>
      <c r="J24" s="356">
        <v>40007.32916666667</v>
      </c>
      <c r="K24" s="147">
        <v>40007.69513888889</v>
      </c>
      <c r="L24" s="357">
        <f aca="true" t="shared" si="1" ref="L24:L43">IF(F24="","",(K24-J24)*24)</f>
        <v>8.783333333325572</v>
      </c>
      <c r="M24" s="358">
        <f aca="true" t="shared" si="2" ref="M24:M43">IF(F24="","",ROUND((K24-J24)*24*60,0))</f>
        <v>527</v>
      </c>
      <c r="N24" s="208" t="s">
        <v>134</v>
      </c>
      <c r="O24" s="209" t="str">
        <f aca="true" t="shared" si="3" ref="O24:O43">IF(F24="","",IF(N24="P","--","NO"))</f>
        <v>--</v>
      </c>
      <c r="P24" s="588">
        <f aca="true" t="shared" si="4" ref="P24:P43">IF(H24=500,$H$17,IF(H24=220,$H$18,$H$19))</f>
        <v>40</v>
      </c>
      <c r="Q24" s="722">
        <f aca="true" t="shared" si="5" ref="Q24:Q43">IF(N24="P",I24*P24*ROUND(M24/60,2)*0.1,"--")</f>
        <v>581.3975519999999</v>
      </c>
      <c r="R24" s="181" t="str">
        <f aca="true" t="shared" si="6" ref="R24:R43">IF(AND(N24="F",O24="NO"),I24*P24,"--")</f>
        <v>--</v>
      </c>
      <c r="S24" s="351" t="str">
        <f aca="true" t="shared" si="7" ref="S24:S43">IF(N24="F",I24*P24*ROUND(M24/60,2),"--")</f>
        <v>--</v>
      </c>
      <c r="T24" s="352" t="str">
        <f aca="true" t="shared" si="8" ref="T24:T43">IF(N24="RF",I24*P24*ROUND(M24/60,2),"--")</f>
        <v>--</v>
      </c>
      <c r="U24" s="209" t="str">
        <f aca="true" t="shared" si="9" ref="U24:U43">IF(F24="","","SI")</f>
        <v>SI</v>
      </c>
      <c r="V24" s="359">
        <f aca="true" t="shared" si="10" ref="V24:V43">IF(F24="","",SUM(Q24:T24)*IF(U24="SI",1,2))</f>
        <v>581.3975519999999</v>
      </c>
      <c r="W24" s="6"/>
    </row>
    <row r="25" spans="2:23" s="5" customFormat="1" ht="16.5" customHeight="1">
      <c r="B25" s="50"/>
      <c r="C25" s="262">
        <v>105</v>
      </c>
      <c r="D25" s="262">
        <v>208933</v>
      </c>
      <c r="E25" s="262">
        <v>4868</v>
      </c>
      <c r="F25" s="354" t="s">
        <v>267</v>
      </c>
      <c r="G25" s="354" t="s">
        <v>269</v>
      </c>
      <c r="H25" s="355">
        <v>132</v>
      </c>
      <c r="I25" s="128">
        <f t="shared" si="0"/>
        <v>16.5546</v>
      </c>
      <c r="J25" s="356">
        <v>40007.32916666667</v>
      </c>
      <c r="K25" s="147">
        <v>40007.69513888889</v>
      </c>
      <c r="L25" s="357">
        <f t="shared" si="1"/>
        <v>8.783333333325572</v>
      </c>
      <c r="M25" s="358">
        <f t="shared" si="2"/>
        <v>527</v>
      </c>
      <c r="N25" s="208" t="s">
        <v>134</v>
      </c>
      <c r="O25" s="209" t="str">
        <f t="shared" si="3"/>
        <v>--</v>
      </c>
      <c r="P25" s="588">
        <f t="shared" si="4"/>
        <v>40</v>
      </c>
      <c r="Q25" s="722">
        <f t="shared" si="5"/>
        <v>581.3975519999999</v>
      </c>
      <c r="R25" s="181" t="str">
        <f t="shared" si="6"/>
        <v>--</v>
      </c>
      <c r="S25" s="351" t="str">
        <f t="shared" si="7"/>
        <v>--</v>
      </c>
      <c r="T25" s="352" t="str">
        <f t="shared" si="8"/>
        <v>--</v>
      </c>
      <c r="U25" s="209" t="str">
        <f t="shared" si="9"/>
        <v>SI</v>
      </c>
      <c r="V25" s="359">
        <f t="shared" si="10"/>
        <v>581.3975519999999</v>
      </c>
      <c r="W25" s="6"/>
    </row>
    <row r="26" spans="2:23" s="5" customFormat="1" ht="16.5" customHeight="1">
      <c r="B26" s="50"/>
      <c r="C26" s="262">
        <v>106</v>
      </c>
      <c r="D26" s="262">
        <v>209092</v>
      </c>
      <c r="E26" s="149">
        <v>4869</v>
      </c>
      <c r="F26" s="354" t="s">
        <v>267</v>
      </c>
      <c r="G26" s="354" t="s">
        <v>268</v>
      </c>
      <c r="H26" s="355">
        <v>132</v>
      </c>
      <c r="I26" s="128">
        <f t="shared" si="0"/>
        <v>16.5546</v>
      </c>
      <c r="J26" s="356">
        <v>40015.361805555556</v>
      </c>
      <c r="K26" s="147">
        <v>40015.70763888889</v>
      </c>
      <c r="L26" s="357">
        <f t="shared" si="1"/>
        <v>8.299999999988358</v>
      </c>
      <c r="M26" s="358">
        <f t="shared" si="2"/>
        <v>498</v>
      </c>
      <c r="N26" s="208" t="s">
        <v>134</v>
      </c>
      <c r="O26" s="209" t="str">
        <f t="shared" si="3"/>
        <v>--</v>
      </c>
      <c r="P26" s="588">
        <f t="shared" si="4"/>
        <v>40</v>
      </c>
      <c r="Q26" s="722">
        <f t="shared" si="5"/>
        <v>549.61272</v>
      </c>
      <c r="R26" s="181" t="str">
        <f t="shared" si="6"/>
        <v>--</v>
      </c>
      <c r="S26" s="351" t="str">
        <f t="shared" si="7"/>
        <v>--</v>
      </c>
      <c r="T26" s="352" t="str">
        <f t="shared" si="8"/>
        <v>--</v>
      </c>
      <c r="U26" s="209" t="str">
        <f t="shared" si="9"/>
        <v>SI</v>
      </c>
      <c r="V26" s="359">
        <f t="shared" si="10"/>
        <v>549.61272</v>
      </c>
      <c r="W26" s="6"/>
    </row>
    <row r="27" spans="2:23" s="5" customFormat="1" ht="16.5" customHeight="1">
      <c r="B27" s="50"/>
      <c r="C27" s="262">
        <v>107</v>
      </c>
      <c r="D27" s="262">
        <v>209091</v>
      </c>
      <c r="E27" s="262">
        <v>4868</v>
      </c>
      <c r="F27" s="354" t="s">
        <v>267</v>
      </c>
      <c r="G27" s="354" t="s">
        <v>269</v>
      </c>
      <c r="H27" s="355">
        <v>132</v>
      </c>
      <c r="I27" s="128">
        <f t="shared" si="0"/>
        <v>16.5546</v>
      </c>
      <c r="J27" s="356">
        <v>40015.361805555556</v>
      </c>
      <c r="K27" s="147">
        <v>40015.70763888889</v>
      </c>
      <c r="L27" s="357">
        <f t="shared" si="1"/>
        <v>8.299999999988358</v>
      </c>
      <c r="M27" s="358">
        <f t="shared" si="2"/>
        <v>498</v>
      </c>
      <c r="N27" s="208" t="s">
        <v>134</v>
      </c>
      <c r="O27" s="209" t="str">
        <f t="shared" si="3"/>
        <v>--</v>
      </c>
      <c r="P27" s="588">
        <f t="shared" si="4"/>
        <v>40</v>
      </c>
      <c r="Q27" s="722">
        <f t="shared" si="5"/>
        <v>549.61272</v>
      </c>
      <c r="R27" s="181" t="str">
        <f t="shared" si="6"/>
        <v>--</v>
      </c>
      <c r="S27" s="351" t="str">
        <f t="shared" si="7"/>
        <v>--</v>
      </c>
      <c r="T27" s="352" t="str">
        <f t="shared" si="8"/>
        <v>--</v>
      </c>
      <c r="U27" s="209" t="str">
        <f t="shared" si="9"/>
        <v>SI</v>
      </c>
      <c r="V27" s="359">
        <f t="shared" si="10"/>
        <v>549.61272</v>
      </c>
      <c r="W27" s="6"/>
    </row>
    <row r="28" spans="2:23" s="5" customFormat="1" ht="16.5" customHeight="1">
      <c r="B28" s="50"/>
      <c r="C28" s="262">
        <v>108</v>
      </c>
      <c r="D28" s="262">
        <v>209373</v>
      </c>
      <c r="E28" s="149">
        <v>4869</v>
      </c>
      <c r="F28" s="354" t="s">
        <v>267</v>
      </c>
      <c r="G28" s="354" t="s">
        <v>268</v>
      </c>
      <c r="H28" s="355">
        <v>132</v>
      </c>
      <c r="I28" s="128">
        <f t="shared" si="0"/>
        <v>16.5546</v>
      </c>
      <c r="J28" s="356">
        <v>40022.31736111111</v>
      </c>
      <c r="K28" s="147">
        <v>40022.72083333333</v>
      </c>
      <c r="L28" s="357">
        <f t="shared" si="1"/>
        <v>9.683333333290648</v>
      </c>
      <c r="M28" s="358">
        <f t="shared" si="2"/>
        <v>581</v>
      </c>
      <c r="N28" s="208" t="s">
        <v>134</v>
      </c>
      <c r="O28" s="209" t="str">
        <f t="shared" si="3"/>
        <v>--</v>
      </c>
      <c r="P28" s="588">
        <f t="shared" si="4"/>
        <v>40</v>
      </c>
      <c r="Q28" s="722">
        <f t="shared" si="5"/>
        <v>640.994112</v>
      </c>
      <c r="R28" s="181" t="str">
        <f t="shared" si="6"/>
        <v>--</v>
      </c>
      <c r="S28" s="351" t="str">
        <f t="shared" si="7"/>
        <v>--</v>
      </c>
      <c r="T28" s="352" t="str">
        <f t="shared" si="8"/>
        <v>--</v>
      </c>
      <c r="U28" s="209" t="str">
        <f t="shared" si="9"/>
        <v>SI</v>
      </c>
      <c r="V28" s="359">
        <f t="shared" si="10"/>
        <v>640.994112</v>
      </c>
      <c r="W28" s="6"/>
    </row>
    <row r="29" spans="2:23" s="5" customFormat="1" ht="16.5" customHeight="1">
      <c r="B29" s="50"/>
      <c r="C29" s="262">
        <v>109</v>
      </c>
      <c r="D29" s="262">
        <v>209374</v>
      </c>
      <c r="E29" s="262">
        <v>4868</v>
      </c>
      <c r="F29" s="354" t="s">
        <v>267</v>
      </c>
      <c r="G29" s="354" t="s">
        <v>269</v>
      </c>
      <c r="H29" s="355">
        <v>132</v>
      </c>
      <c r="I29" s="128">
        <f t="shared" si="0"/>
        <v>16.5546</v>
      </c>
      <c r="J29" s="356">
        <v>40022.31736111111</v>
      </c>
      <c r="K29" s="147">
        <v>40022.72083333333</v>
      </c>
      <c r="L29" s="357">
        <f t="shared" si="1"/>
        <v>9.683333333290648</v>
      </c>
      <c r="M29" s="358">
        <f t="shared" si="2"/>
        <v>581</v>
      </c>
      <c r="N29" s="208" t="s">
        <v>134</v>
      </c>
      <c r="O29" s="209" t="str">
        <f t="shared" si="3"/>
        <v>--</v>
      </c>
      <c r="P29" s="588">
        <f t="shared" si="4"/>
        <v>40</v>
      </c>
      <c r="Q29" s="722">
        <f t="shared" si="5"/>
        <v>640.994112</v>
      </c>
      <c r="R29" s="181" t="str">
        <f t="shared" si="6"/>
        <v>--</v>
      </c>
      <c r="S29" s="351" t="str">
        <f t="shared" si="7"/>
        <v>--</v>
      </c>
      <c r="T29" s="352" t="str">
        <f t="shared" si="8"/>
        <v>--</v>
      </c>
      <c r="U29" s="209" t="str">
        <f t="shared" si="9"/>
        <v>SI</v>
      </c>
      <c r="V29" s="359">
        <f t="shared" si="10"/>
        <v>640.994112</v>
      </c>
      <c r="W29" s="6"/>
    </row>
    <row r="30" spans="2:23" s="5" customFormat="1" ht="16.5" customHeight="1">
      <c r="B30" s="50"/>
      <c r="C30" s="262"/>
      <c r="D30" s="262"/>
      <c r="E30" s="149"/>
      <c r="F30" s="354"/>
      <c r="G30" s="354"/>
      <c r="H30" s="355"/>
      <c r="I30" s="128">
        <f t="shared" si="0"/>
        <v>16.5546</v>
      </c>
      <c r="J30" s="356"/>
      <c r="K30" s="147"/>
      <c r="L30" s="357">
        <f t="shared" si="1"/>
      </c>
      <c r="M30" s="358">
        <f t="shared" si="2"/>
      </c>
      <c r="N30" s="208"/>
      <c r="O30" s="209">
        <f t="shared" si="3"/>
      </c>
      <c r="P30" s="588">
        <f t="shared" si="4"/>
        <v>40</v>
      </c>
      <c r="Q30" s="722" t="str">
        <f t="shared" si="5"/>
        <v>--</v>
      </c>
      <c r="R30" s="181" t="str">
        <f t="shared" si="6"/>
        <v>--</v>
      </c>
      <c r="S30" s="351" t="str">
        <f t="shared" si="7"/>
        <v>--</v>
      </c>
      <c r="T30" s="352" t="str">
        <f t="shared" si="8"/>
        <v>--</v>
      </c>
      <c r="U30" s="209">
        <f t="shared" si="9"/>
      </c>
      <c r="V30" s="359">
        <f t="shared" si="10"/>
      </c>
      <c r="W30" s="6"/>
    </row>
    <row r="31" spans="2:23" s="5" customFormat="1" ht="16.5" customHeight="1">
      <c r="B31" s="50"/>
      <c r="C31" s="262"/>
      <c r="D31" s="262"/>
      <c r="E31" s="262"/>
      <c r="F31" s="354"/>
      <c r="G31" s="354"/>
      <c r="H31" s="355"/>
      <c r="I31" s="128">
        <f t="shared" si="0"/>
        <v>16.5546</v>
      </c>
      <c r="J31" s="356"/>
      <c r="K31" s="147"/>
      <c r="L31" s="357">
        <f t="shared" si="1"/>
      </c>
      <c r="M31" s="358">
        <f t="shared" si="2"/>
      </c>
      <c r="N31" s="208"/>
      <c r="O31" s="209">
        <f t="shared" si="3"/>
      </c>
      <c r="P31" s="588">
        <f t="shared" si="4"/>
        <v>40</v>
      </c>
      <c r="Q31" s="722" t="str">
        <f t="shared" si="5"/>
        <v>--</v>
      </c>
      <c r="R31" s="181" t="str">
        <f t="shared" si="6"/>
        <v>--</v>
      </c>
      <c r="S31" s="351" t="str">
        <f t="shared" si="7"/>
        <v>--</v>
      </c>
      <c r="T31" s="352" t="str">
        <f t="shared" si="8"/>
        <v>--</v>
      </c>
      <c r="U31" s="209">
        <f t="shared" si="9"/>
      </c>
      <c r="V31" s="359">
        <f t="shared" si="10"/>
      </c>
      <c r="W31" s="6"/>
    </row>
    <row r="32" spans="2:23" s="5" customFormat="1" ht="16.5" customHeight="1">
      <c r="B32" s="50"/>
      <c r="C32" s="262"/>
      <c r="D32" s="262"/>
      <c r="E32" s="149"/>
      <c r="F32" s="354"/>
      <c r="G32" s="354"/>
      <c r="H32" s="355"/>
      <c r="I32" s="128">
        <f t="shared" si="0"/>
        <v>16.5546</v>
      </c>
      <c r="J32" s="356"/>
      <c r="K32" s="147"/>
      <c r="L32" s="357">
        <f t="shared" si="1"/>
      </c>
      <c r="M32" s="358">
        <f t="shared" si="2"/>
      </c>
      <c r="N32" s="208"/>
      <c r="O32" s="209">
        <f t="shared" si="3"/>
      </c>
      <c r="P32" s="588">
        <f t="shared" si="4"/>
        <v>40</v>
      </c>
      <c r="Q32" s="722" t="str">
        <f t="shared" si="5"/>
        <v>--</v>
      </c>
      <c r="R32" s="181" t="str">
        <f t="shared" si="6"/>
        <v>--</v>
      </c>
      <c r="S32" s="351" t="str">
        <f t="shared" si="7"/>
        <v>--</v>
      </c>
      <c r="T32" s="352" t="str">
        <f t="shared" si="8"/>
        <v>--</v>
      </c>
      <c r="U32" s="209">
        <f t="shared" si="9"/>
      </c>
      <c r="V32" s="359">
        <f t="shared" si="10"/>
      </c>
      <c r="W32" s="6"/>
    </row>
    <row r="33" spans="2:23" s="5" customFormat="1" ht="16.5" customHeight="1">
      <c r="B33" s="50"/>
      <c r="C33" s="262"/>
      <c r="D33" s="262"/>
      <c r="E33" s="262"/>
      <c r="F33" s="354"/>
      <c r="G33" s="354"/>
      <c r="H33" s="355"/>
      <c r="I33" s="128">
        <f t="shared" si="0"/>
        <v>16.5546</v>
      </c>
      <c r="J33" s="356"/>
      <c r="K33" s="147"/>
      <c r="L33" s="357">
        <f t="shared" si="1"/>
      </c>
      <c r="M33" s="358">
        <f t="shared" si="2"/>
      </c>
      <c r="N33" s="208"/>
      <c r="O33" s="209">
        <f t="shared" si="3"/>
      </c>
      <c r="P33" s="588">
        <f t="shared" si="4"/>
        <v>40</v>
      </c>
      <c r="Q33" s="722" t="str">
        <f t="shared" si="5"/>
        <v>--</v>
      </c>
      <c r="R33" s="181" t="str">
        <f t="shared" si="6"/>
        <v>--</v>
      </c>
      <c r="S33" s="351" t="str">
        <f t="shared" si="7"/>
        <v>--</v>
      </c>
      <c r="T33" s="352" t="str">
        <f t="shared" si="8"/>
        <v>--</v>
      </c>
      <c r="U33" s="209">
        <f t="shared" si="9"/>
      </c>
      <c r="V33" s="359">
        <f t="shared" si="10"/>
      </c>
      <c r="W33" s="6"/>
    </row>
    <row r="34" spans="2:23" s="5" customFormat="1" ht="16.5" customHeight="1">
      <c r="B34" s="50"/>
      <c r="C34" s="262"/>
      <c r="D34" s="262"/>
      <c r="E34" s="149"/>
      <c r="F34" s="354"/>
      <c r="G34" s="354"/>
      <c r="H34" s="355"/>
      <c r="I34" s="128">
        <f t="shared" si="0"/>
        <v>16.5546</v>
      </c>
      <c r="J34" s="356"/>
      <c r="K34" s="147"/>
      <c r="L34" s="357">
        <f t="shared" si="1"/>
      </c>
      <c r="M34" s="358">
        <f t="shared" si="2"/>
      </c>
      <c r="N34" s="208"/>
      <c r="O34" s="209">
        <f t="shared" si="3"/>
      </c>
      <c r="P34" s="588">
        <f t="shared" si="4"/>
        <v>40</v>
      </c>
      <c r="Q34" s="722" t="str">
        <f t="shared" si="5"/>
        <v>--</v>
      </c>
      <c r="R34" s="181" t="str">
        <f t="shared" si="6"/>
        <v>--</v>
      </c>
      <c r="S34" s="351" t="str">
        <f t="shared" si="7"/>
        <v>--</v>
      </c>
      <c r="T34" s="352" t="str">
        <f t="shared" si="8"/>
        <v>--</v>
      </c>
      <c r="U34" s="209">
        <f t="shared" si="9"/>
      </c>
      <c r="V34" s="359">
        <f t="shared" si="10"/>
      </c>
      <c r="W34" s="6"/>
    </row>
    <row r="35" spans="2:23" s="5" customFormat="1" ht="16.5" customHeight="1">
      <c r="B35" s="50"/>
      <c r="C35" s="262"/>
      <c r="D35" s="262"/>
      <c r="E35" s="262"/>
      <c r="F35" s="354"/>
      <c r="G35" s="354"/>
      <c r="H35" s="355"/>
      <c r="I35" s="128">
        <f t="shared" si="0"/>
        <v>16.5546</v>
      </c>
      <c r="J35" s="356"/>
      <c r="K35" s="147"/>
      <c r="L35" s="357">
        <f t="shared" si="1"/>
      </c>
      <c r="M35" s="358">
        <f t="shared" si="2"/>
      </c>
      <c r="N35" s="208"/>
      <c r="O35" s="209">
        <f t="shared" si="3"/>
      </c>
      <c r="P35" s="588">
        <f t="shared" si="4"/>
        <v>40</v>
      </c>
      <c r="Q35" s="722" t="str">
        <f t="shared" si="5"/>
        <v>--</v>
      </c>
      <c r="R35" s="181" t="str">
        <f t="shared" si="6"/>
        <v>--</v>
      </c>
      <c r="S35" s="351" t="str">
        <f t="shared" si="7"/>
        <v>--</v>
      </c>
      <c r="T35" s="352" t="str">
        <f t="shared" si="8"/>
        <v>--</v>
      </c>
      <c r="U35" s="209">
        <f t="shared" si="9"/>
      </c>
      <c r="V35" s="359">
        <f t="shared" si="10"/>
      </c>
      <c r="W35" s="6"/>
    </row>
    <row r="36" spans="2:23" s="5" customFormat="1" ht="16.5" customHeight="1">
      <c r="B36" s="50"/>
      <c r="C36" s="262"/>
      <c r="D36" s="262"/>
      <c r="E36" s="149"/>
      <c r="F36" s="354"/>
      <c r="G36" s="354"/>
      <c r="H36" s="355"/>
      <c r="I36" s="128">
        <f t="shared" si="0"/>
        <v>16.5546</v>
      </c>
      <c r="J36" s="356"/>
      <c r="K36" s="147"/>
      <c r="L36" s="357">
        <f t="shared" si="1"/>
      </c>
      <c r="M36" s="358">
        <f t="shared" si="2"/>
      </c>
      <c r="N36" s="208"/>
      <c r="O36" s="209">
        <f t="shared" si="3"/>
      </c>
      <c r="P36" s="588">
        <f t="shared" si="4"/>
        <v>40</v>
      </c>
      <c r="Q36" s="722" t="str">
        <f t="shared" si="5"/>
        <v>--</v>
      </c>
      <c r="R36" s="181" t="str">
        <f t="shared" si="6"/>
        <v>--</v>
      </c>
      <c r="S36" s="351" t="str">
        <f t="shared" si="7"/>
        <v>--</v>
      </c>
      <c r="T36" s="352" t="str">
        <f t="shared" si="8"/>
        <v>--</v>
      </c>
      <c r="U36" s="209">
        <f t="shared" si="9"/>
      </c>
      <c r="V36" s="359">
        <f t="shared" si="10"/>
      </c>
      <c r="W36" s="6"/>
    </row>
    <row r="37" spans="2:23" s="5" customFormat="1" ht="16.5" customHeight="1">
      <c r="B37" s="50"/>
      <c r="C37" s="262"/>
      <c r="D37" s="262"/>
      <c r="E37" s="262"/>
      <c r="F37" s="354"/>
      <c r="G37" s="354"/>
      <c r="H37" s="355"/>
      <c r="I37" s="128">
        <f t="shared" si="0"/>
        <v>16.5546</v>
      </c>
      <c r="J37" s="356"/>
      <c r="K37" s="147"/>
      <c r="L37" s="357">
        <f t="shared" si="1"/>
      </c>
      <c r="M37" s="358">
        <f t="shared" si="2"/>
      </c>
      <c r="N37" s="208"/>
      <c r="O37" s="209">
        <f t="shared" si="3"/>
      </c>
      <c r="P37" s="588">
        <f t="shared" si="4"/>
        <v>40</v>
      </c>
      <c r="Q37" s="722" t="str">
        <f t="shared" si="5"/>
        <v>--</v>
      </c>
      <c r="R37" s="181" t="str">
        <f t="shared" si="6"/>
        <v>--</v>
      </c>
      <c r="S37" s="351" t="str">
        <f t="shared" si="7"/>
        <v>--</v>
      </c>
      <c r="T37" s="352" t="str">
        <f t="shared" si="8"/>
        <v>--</v>
      </c>
      <c r="U37" s="209">
        <f t="shared" si="9"/>
      </c>
      <c r="V37" s="359">
        <f t="shared" si="10"/>
      </c>
      <c r="W37" s="6"/>
    </row>
    <row r="38" spans="2:23" s="5" customFormat="1" ht="16.5" customHeight="1">
      <c r="B38" s="50"/>
      <c r="C38" s="262"/>
      <c r="D38" s="262"/>
      <c r="E38" s="149"/>
      <c r="F38" s="354"/>
      <c r="G38" s="354"/>
      <c r="H38" s="355"/>
      <c r="I38" s="128">
        <f t="shared" si="0"/>
        <v>16.5546</v>
      </c>
      <c r="J38" s="356"/>
      <c r="K38" s="147"/>
      <c r="L38" s="357">
        <f t="shared" si="1"/>
      </c>
      <c r="M38" s="358">
        <f t="shared" si="2"/>
      </c>
      <c r="N38" s="208"/>
      <c r="O38" s="209">
        <f t="shared" si="3"/>
      </c>
      <c r="P38" s="588">
        <f t="shared" si="4"/>
        <v>40</v>
      </c>
      <c r="Q38" s="722" t="str">
        <f t="shared" si="5"/>
        <v>--</v>
      </c>
      <c r="R38" s="181" t="str">
        <f t="shared" si="6"/>
        <v>--</v>
      </c>
      <c r="S38" s="351" t="str">
        <f t="shared" si="7"/>
        <v>--</v>
      </c>
      <c r="T38" s="352" t="str">
        <f t="shared" si="8"/>
        <v>--</v>
      </c>
      <c r="U38" s="209">
        <f t="shared" si="9"/>
      </c>
      <c r="V38" s="359">
        <f t="shared" si="10"/>
      </c>
      <c r="W38" s="6"/>
    </row>
    <row r="39" spans="2:23" s="5" customFormat="1" ht="16.5" customHeight="1">
      <c r="B39" s="50"/>
      <c r="C39" s="262"/>
      <c r="D39" s="262"/>
      <c r="E39" s="262"/>
      <c r="F39" s="354"/>
      <c r="G39" s="354"/>
      <c r="H39" s="355"/>
      <c r="I39" s="128">
        <f t="shared" si="0"/>
        <v>16.5546</v>
      </c>
      <c r="J39" s="356"/>
      <c r="K39" s="147"/>
      <c r="L39" s="357">
        <f t="shared" si="1"/>
      </c>
      <c r="M39" s="358">
        <f t="shared" si="2"/>
      </c>
      <c r="N39" s="208"/>
      <c r="O39" s="209">
        <f t="shared" si="3"/>
      </c>
      <c r="P39" s="588">
        <f t="shared" si="4"/>
        <v>40</v>
      </c>
      <c r="Q39" s="722" t="str">
        <f t="shared" si="5"/>
        <v>--</v>
      </c>
      <c r="R39" s="181" t="str">
        <f t="shared" si="6"/>
        <v>--</v>
      </c>
      <c r="S39" s="351" t="str">
        <f t="shared" si="7"/>
        <v>--</v>
      </c>
      <c r="T39" s="352" t="str">
        <f t="shared" si="8"/>
        <v>--</v>
      </c>
      <c r="U39" s="209">
        <f t="shared" si="9"/>
      </c>
      <c r="V39" s="359">
        <f t="shared" si="10"/>
      </c>
      <c r="W39" s="6"/>
    </row>
    <row r="40" spans="2:23" s="5" customFormat="1" ht="16.5" customHeight="1">
      <c r="B40" s="50"/>
      <c r="C40" s="262"/>
      <c r="D40" s="262"/>
      <c r="E40" s="149"/>
      <c r="F40" s="354"/>
      <c r="G40" s="354"/>
      <c r="H40" s="355"/>
      <c r="I40" s="128">
        <f t="shared" si="0"/>
        <v>16.5546</v>
      </c>
      <c r="J40" s="356"/>
      <c r="K40" s="147"/>
      <c r="L40" s="357">
        <f t="shared" si="1"/>
      </c>
      <c r="M40" s="358">
        <f t="shared" si="2"/>
      </c>
      <c r="N40" s="208"/>
      <c r="O40" s="209">
        <f t="shared" si="3"/>
      </c>
      <c r="P40" s="588">
        <f t="shared" si="4"/>
        <v>40</v>
      </c>
      <c r="Q40" s="722" t="str">
        <f t="shared" si="5"/>
        <v>--</v>
      </c>
      <c r="R40" s="181" t="str">
        <f t="shared" si="6"/>
        <v>--</v>
      </c>
      <c r="S40" s="351" t="str">
        <f t="shared" si="7"/>
        <v>--</v>
      </c>
      <c r="T40" s="352" t="str">
        <f t="shared" si="8"/>
        <v>--</v>
      </c>
      <c r="U40" s="209">
        <f t="shared" si="9"/>
      </c>
      <c r="V40" s="359">
        <f t="shared" si="10"/>
      </c>
      <c r="W40" s="6"/>
    </row>
    <row r="41" spans="2:23" s="5" customFormat="1" ht="16.5" customHeight="1">
      <c r="B41" s="50"/>
      <c r="C41" s="262"/>
      <c r="D41" s="262"/>
      <c r="E41" s="262"/>
      <c r="F41" s="354"/>
      <c r="G41" s="354"/>
      <c r="H41" s="355"/>
      <c r="I41" s="128">
        <f t="shared" si="0"/>
        <v>16.5546</v>
      </c>
      <c r="J41" s="356"/>
      <c r="K41" s="147"/>
      <c r="L41" s="357">
        <f t="shared" si="1"/>
      </c>
      <c r="M41" s="358">
        <f t="shared" si="2"/>
      </c>
      <c r="N41" s="208"/>
      <c r="O41" s="209">
        <f t="shared" si="3"/>
      </c>
      <c r="P41" s="588">
        <f t="shared" si="4"/>
        <v>40</v>
      </c>
      <c r="Q41" s="722" t="str">
        <f t="shared" si="5"/>
        <v>--</v>
      </c>
      <c r="R41" s="181" t="str">
        <f t="shared" si="6"/>
        <v>--</v>
      </c>
      <c r="S41" s="351" t="str">
        <f t="shared" si="7"/>
        <v>--</v>
      </c>
      <c r="T41" s="352" t="str">
        <f t="shared" si="8"/>
        <v>--</v>
      </c>
      <c r="U41" s="209">
        <f t="shared" si="9"/>
      </c>
      <c r="V41" s="359">
        <f t="shared" si="10"/>
      </c>
      <c r="W41" s="6"/>
    </row>
    <row r="42" spans="2:23" s="5" customFormat="1" ht="16.5" customHeight="1">
      <c r="B42" s="50"/>
      <c r="C42" s="262"/>
      <c r="D42" s="262"/>
      <c r="E42" s="149"/>
      <c r="F42" s="354"/>
      <c r="G42" s="354"/>
      <c r="H42" s="355"/>
      <c r="I42" s="128">
        <f t="shared" si="0"/>
        <v>16.5546</v>
      </c>
      <c r="J42" s="356"/>
      <c r="K42" s="147"/>
      <c r="L42" s="357">
        <f t="shared" si="1"/>
      </c>
      <c r="M42" s="358">
        <f t="shared" si="2"/>
      </c>
      <c r="N42" s="208"/>
      <c r="O42" s="209">
        <f t="shared" si="3"/>
      </c>
      <c r="P42" s="588">
        <f t="shared" si="4"/>
        <v>40</v>
      </c>
      <c r="Q42" s="722" t="str">
        <f t="shared" si="5"/>
        <v>--</v>
      </c>
      <c r="R42" s="181" t="str">
        <f t="shared" si="6"/>
        <v>--</v>
      </c>
      <c r="S42" s="351" t="str">
        <f t="shared" si="7"/>
        <v>--</v>
      </c>
      <c r="T42" s="352" t="str">
        <f t="shared" si="8"/>
        <v>--</v>
      </c>
      <c r="U42" s="209">
        <f t="shared" si="9"/>
      </c>
      <c r="V42" s="359">
        <f t="shared" si="10"/>
      </c>
      <c r="W42" s="6"/>
    </row>
    <row r="43" spans="2:23" s="5" customFormat="1" ht="16.5" customHeight="1">
      <c r="B43" s="50"/>
      <c r="C43" s="262"/>
      <c r="D43" s="262"/>
      <c r="E43" s="262"/>
      <c r="F43" s="354"/>
      <c r="G43" s="354"/>
      <c r="H43" s="355"/>
      <c r="I43" s="128">
        <f t="shared" si="0"/>
        <v>16.5546</v>
      </c>
      <c r="J43" s="356"/>
      <c r="K43" s="147"/>
      <c r="L43" s="357">
        <f t="shared" si="1"/>
      </c>
      <c r="M43" s="358">
        <f t="shared" si="2"/>
      </c>
      <c r="N43" s="208"/>
      <c r="O43" s="209">
        <f t="shared" si="3"/>
      </c>
      <c r="P43" s="588">
        <f t="shared" si="4"/>
        <v>40</v>
      </c>
      <c r="Q43" s="722" t="str">
        <f t="shared" si="5"/>
        <v>--</v>
      </c>
      <c r="R43" s="181" t="str">
        <f t="shared" si="6"/>
        <v>--</v>
      </c>
      <c r="S43" s="351" t="str">
        <f t="shared" si="7"/>
        <v>--</v>
      </c>
      <c r="T43" s="352" t="str">
        <f t="shared" si="8"/>
        <v>--</v>
      </c>
      <c r="U43" s="209">
        <f t="shared" si="9"/>
      </c>
      <c r="V43" s="359">
        <f t="shared" si="10"/>
      </c>
      <c r="W43" s="6"/>
    </row>
    <row r="44" spans="2:23" s="5" customFormat="1" ht="16.5" customHeight="1" thickBot="1">
      <c r="B44" s="50"/>
      <c r="C44" s="216"/>
      <c r="D44" s="216"/>
      <c r="E44" s="216"/>
      <c r="F44" s="216"/>
      <c r="G44" s="216"/>
      <c r="H44" s="216"/>
      <c r="I44" s="129"/>
      <c r="J44" s="360"/>
      <c r="K44" s="360"/>
      <c r="L44" s="361"/>
      <c r="M44" s="361"/>
      <c r="N44" s="360"/>
      <c r="O44" s="148"/>
      <c r="P44" s="362"/>
      <c r="Q44" s="363"/>
      <c r="R44" s="364"/>
      <c r="S44" s="365"/>
      <c r="T44" s="154"/>
      <c r="U44" s="148"/>
      <c r="V44" s="366"/>
      <c r="W44" s="6"/>
    </row>
    <row r="45" spans="2:23" s="5" customFormat="1" ht="16.5" customHeight="1" thickBot="1" thickTop="1">
      <c r="B45" s="50"/>
      <c r="C45" s="125" t="s">
        <v>23</v>
      </c>
      <c r="D45" s="730" t="s">
        <v>258</v>
      </c>
      <c r="E45" s="125"/>
      <c r="F45" s="126"/>
      <c r="G45"/>
      <c r="H45" s="4"/>
      <c r="I45" s="4"/>
      <c r="J45" s="4"/>
      <c r="K45" s="4"/>
      <c r="L45" s="4"/>
      <c r="M45" s="4"/>
      <c r="N45" s="4"/>
      <c r="O45" s="4"/>
      <c r="P45" s="4"/>
      <c r="Q45" s="367">
        <f>SUM(Q22:Q44)</f>
        <v>3544.0087679999997</v>
      </c>
      <c r="R45" s="368">
        <f>SUM(R22:R44)</f>
        <v>0</v>
      </c>
      <c r="S45" s="369">
        <f>SUM(S22:S44)</f>
        <v>0</v>
      </c>
      <c r="T45" s="370">
        <f>SUM(T22:T44)</f>
        <v>0</v>
      </c>
      <c r="U45" s="371"/>
      <c r="V45" s="98">
        <f>ROUND(SUM(V22:V44),2)</f>
        <v>3544.01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68"/>
      <c r="X47" s="168"/>
      <c r="Y47" s="168"/>
    </row>
    <row r="48" spans="23:25" ht="16.5" customHeight="1">
      <c r="W48" s="168"/>
      <c r="X48" s="168"/>
      <c r="Y48" s="168"/>
    </row>
    <row r="49" spans="23:25" ht="16.5" customHeight="1">
      <c r="W49" s="168"/>
      <c r="X49" s="168"/>
      <c r="Y49" s="168"/>
    </row>
    <row r="50" spans="23:25" ht="16.5" customHeight="1">
      <c r="W50" s="168"/>
      <c r="X50" s="168"/>
      <c r="Y50" s="168"/>
    </row>
    <row r="51" spans="23:25" ht="16.5" customHeight="1">
      <c r="W51" s="168"/>
      <c r="X51" s="168"/>
      <c r="Y51" s="168"/>
    </row>
    <row r="52" spans="6:25" ht="16.5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</row>
    <row r="53" spans="6:25" ht="16.5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</row>
    <row r="54" spans="6:25" ht="16.5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</row>
    <row r="55" spans="6:25" ht="16.5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</row>
    <row r="56" spans="6:25" ht="16.5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6:25" ht="16.5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</row>
    <row r="58" spans="6:25" ht="16.5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</row>
    <row r="59" spans="6:25" ht="16.5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6:25" ht="16.5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6:25" ht="16.5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</row>
    <row r="62" spans="6:25" ht="16.5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</row>
    <row r="63" spans="6:25" ht="16.5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</row>
    <row r="64" spans="6:25" ht="16.5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</row>
    <row r="65" spans="6:25" ht="16.5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</row>
    <row r="66" spans="6:25" ht="16.5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</row>
    <row r="67" spans="6:25" ht="16.5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</row>
    <row r="68" spans="6:25" ht="16.5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</row>
    <row r="69" spans="6:25" ht="16.5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</row>
    <row r="70" spans="6:25" ht="16.5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</row>
    <row r="71" spans="6:25" ht="16.5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</row>
    <row r="72" spans="6:25" ht="16.5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</row>
    <row r="73" spans="6:25" ht="16.5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</row>
    <row r="74" spans="6:25" ht="16.5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</row>
    <row r="75" spans="6:25" ht="16.5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</row>
    <row r="76" spans="6:25" ht="16.5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</row>
    <row r="77" spans="6:25" ht="16.5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</row>
    <row r="78" spans="6:25" ht="16.5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</row>
    <row r="79" spans="6:25" ht="16.5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</row>
    <row r="80" spans="6:25" ht="16.5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</row>
    <row r="81" spans="6:25" ht="16.5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</row>
    <row r="82" spans="6:25" ht="16.5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</row>
    <row r="83" spans="6:25" ht="16.5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</row>
    <row r="84" spans="6:25" ht="16.5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</row>
    <row r="85" spans="6:25" ht="16.5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6:25" ht="16.5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</row>
    <row r="87" spans="6:25" ht="16.5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</row>
    <row r="88" spans="6:25" ht="16.5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</row>
    <row r="89" spans="6:25" ht="16.5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</row>
    <row r="90" spans="6:25" ht="16.5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</row>
    <row r="91" spans="6:25" ht="16.5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</row>
    <row r="92" spans="6:25" ht="16.5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</row>
    <row r="93" spans="6:25" ht="16.5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</row>
    <row r="94" spans="6:25" ht="16.5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</row>
    <row r="95" spans="6:25" ht="16.5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</row>
    <row r="96" spans="6:25" ht="16.5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</row>
    <row r="97" spans="6:25" ht="16.5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</row>
    <row r="98" spans="6:25" ht="16.5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</row>
    <row r="99" spans="6:25" ht="16.5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</row>
    <row r="100" spans="6:25" ht="16.5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</row>
    <row r="101" spans="6:25" ht="16.5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</row>
    <row r="102" spans="6:25" ht="16.5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</row>
    <row r="103" spans="6:25" ht="16.5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</row>
    <row r="104" spans="6:25" ht="16.5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</row>
    <row r="105" spans="6:25" ht="16.5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</row>
    <row r="106" spans="6:25" ht="16.5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</row>
    <row r="107" spans="6:25" ht="16.5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</row>
    <row r="108" spans="6:25" ht="16.5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</row>
    <row r="109" spans="6:25" ht="16.5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</row>
    <row r="110" spans="6:25" ht="16.5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</row>
    <row r="111" spans="6:25" ht="16.5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</row>
    <row r="112" spans="6:25" ht="16.5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</row>
    <row r="113" spans="6:25" ht="16.5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</row>
    <row r="114" spans="6:25" ht="16.5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</row>
    <row r="115" spans="6:25" ht="16.5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</row>
    <row r="116" spans="6:25" ht="16.5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</row>
    <row r="117" spans="6:25" ht="16.5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</row>
    <row r="118" spans="6:25" ht="16.5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</row>
    <row r="119" spans="6:25" ht="16.5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</row>
    <row r="120" spans="6:25" ht="16.5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</row>
    <row r="121" spans="6:25" ht="16.5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</row>
    <row r="122" spans="6:25" ht="16.5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</row>
    <row r="123" spans="6:25" ht="16.5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6:25" ht="16.5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6:25" ht="16.5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6:25" ht="16.5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6:25" ht="16.5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6:25" ht="16.5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6:25" ht="16.5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6:25" ht="16.5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6:25" ht="16.5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6:25" ht="16.5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6:25" ht="16.5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6:25" ht="16.5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6:25" ht="16.5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6:25" ht="16.5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6:25" ht="16.5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6:25" ht="16.5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6:25" ht="16.5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6:25" ht="16.5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6:25" ht="16.5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6:25" ht="16.5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6:25" ht="16.5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6:25" ht="16.5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6:25" ht="16.5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6:25" ht="16.5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6:25" ht="16.5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6:25" ht="16.5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6:25" ht="16.5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6:25" ht="16.5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6:25" ht="16.5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6:25" ht="16.5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6:25" ht="16.5" customHeight="1"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6:25" ht="16.5" customHeight="1"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6:25" ht="16.5" customHeight="1"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6:25" ht="16.5" customHeight="1"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6:25" ht="16.5" customHeight="1"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6:25" ht="16.5" customHeight="1"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6:25" ht="16.5" customHeight="1"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1"/>
  <dimension ref="A1:AD69"/>
  <sheetViews>
    <sheetView zoomScale="50" zoomScaleNormal="50" workbookViewId="0" topLeftCell="A4">
      <selection activeCell="U76" sqref="U76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6.57421875" style="0" bestFit="1" customWidth="1"/>
    <col min="4" max="4" width="32.28125" style="0" customWidth="1"/>
    <col min="5" max="5" width="24.140625" style="0" customWidth="1"/>
    <col min="6" max="6" width="16.57421875" style="0" customWidth="1"/>
    <col min="7" max="7" width="14.421875" style="0" customWidth="1"/>
    <col min="8" max="8" width="6.421875" style="0" hidden="1" customWidth="1"/>
    <col min="9" max="9" width="18.7109375" style="0" customWidth="1"/>
    <col min="10" max="10" width="21.57421875" style="0" bestFit="1" customWidth="1"/>
    <col min="11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7109375" style="0" hidden="1" customWidth="1"/>
    <col min="17" max="17" width="13.00390625" style="0" hidden="1" customWidth="1"/>
    <col min="18" max="19" width="4.7109375" style="0" hidden="1" customWidth="1"/>
    <col min="20" max="20" width="11.710937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8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1"/>
      <c r="AD1" s="563"/>
    </row>
    <row r="2" spans="1:23" ht="27" customHeight="1">
      <c r="A2" s="8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38" customFormat="1" ht="30.75">
      <c r="A3" s="435"/>
      <c r="B3" s="19" t="str">
        <f>'TOT-0709'!B2</f>
        <v>ANEXO II al Memorándum D.T.E.E. N° 256 /2011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AB3" s="437"/>
      <c r="AC3" s="437"/>
      <c r="AD3" s="437"/>
    </row>
    <row r="4" spans="1:2" s="25" customFormat="1" ht="11.25">
      <c r="A4" s="558" t="s">
        <v>1</v>
      </c>
      <c r="B4" s="559"/>
    </row>
    <row r="5" spans="1:2" s="25" customFormat="1" ht="12" thickBot="1">
      <c r="A5" s="558" t="s">
        <v>2</v>
      </c>
      <c r="B5" s="558"/>
    </row>
    <row r="6" spans="1:23" ht="16.5" customHeight="1" thickTop="1">
      <c r="A6" s="5"/>
      <c r="B6" s="69"/>
      <c r="C6" s="70"/>
      <c r="D6" s="70"/>
      <c r="E6" s="186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2"/>
    </row>
    <row r="7" spans="1:23" ht="20.25">
      <c r="A7" s="5"/>
      <c r="B7" s="50"/>
      <c r="C7" s="4"/>
      <c r="D7" s="167" t="s">
        <v>73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W7" s="17"/>
    </row>
    <row r="8" spans="1:23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7"/>
    </row>
    <row r="9" spans="2:23" s="36" customFormat="1" ht="20.25">
      <c r="B9" s="44"/>
      <c r="C9" s="43"/>
      <c r="D9" s="167" t="s">
        <v>74</v>
      </c>
      <c r="E9" s="43"/>
      <c r="F9" s="43"/>
      <c r="G9" s="43"/>
      <c r="H9" s="43"/>
      <c r="N9" s="43"/>
      <c r="O9" s="43"/>
      <c r="P9" s="187"/>
      <c r="Q9" s="187"/>
      <c r="R9" s="43"/>
      <c r="S9" s="43"/>
      <c r="T9" s="43"/>
      <c r="U9" s="43"/>
      <c r="V9" s="43"/>
      <c r="W9" s="188"/>
    </row>
    <row r="10" spans="1:23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7"/>
    </row>
    <row r="11" spans="2:23" s="36" customFormat="1" ht="20.25">
      <c r="B11" s="44"/>
      <c r="C11" s="43"/>
      <c r="D11" s="167" t="s">
        <v>121</v>
      </c>
      <c r="E11" s="43"/>
      <c r="F11" s="43"/>
      <c r="G11" s="43"/>
      <c r="H11" s="43"/>
      <c r="N11" s="43"/>
      <c r="O11" s="43"/>
      <c r="P11" s="187"/>
      <c r="Q11" s="187"/>
      <c r="R11" s="43"/>
      <c r="S11" s="43"/>
      <c r="T11" s="43"/>
      <c r="U11" s="43"/>
      <c r="V11" s="43"/>
      <c r="W11" s="188"/>
    </row>
    <row r="12" spans="1:23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W12" s="17"/>
    </row>
    <row r="13" spans="2:23" s="36" customFormat="1" ht="19.5">
      <c r="B13" s="37" t="str">
        <f>'TOT-0709'!B14</f>
        <v>Desde el 01 al 31 de julio de 2009</v>
      </c>
      <c r="C13" s="38"/>
      <c r="D13" s="40"/>
      <c r="E13" s="40"/>
      <c r="F13" s="40"/>
      <c r="G13" s="40"/>
      <c r="H13" s="40"/>
      <c r="I13" s="41"/>
      <c r="J13" s="16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4"/>
      <c r="V13" s="124"/>
      <c r="W13" s="42"/>
    </row>
    <row r="14" spans="1:23" ht="16.5" customHeight="1">
      <c r="A14" s="5"/>
      <c r="B14" s="50"/>
      <c r="C14" s="4"/>
      <c r="D14" s="4"/>
      <c r="E14" s="66"/>
      <c r="F14" s="66"/>
      <c r="G14" s="4"/>
      <c r="H14" s="4"/>
      <c r="I14" s="4"/>
      <c r="J14" s="43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W14" s="17"/>
    </row>
    <row r="15" spans="1:23" ht="16.5" customHeight="1">
      <c r="A15" s="5"/>
      <c r="B15" s="50"/>
      <c r="C15" s="4"/>
      <c r="D15" s="4"/>
      <c r="E15" s="66"/>
      <c r="F15" s="66"/>
      <c r="G15" s="4"/>
      <c r="H15" s="4"/>
      <c r="I15" s="137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W15" s="17"/>
    </row>
    <row r="16" spans="1:23" ht="16.5" customHeight="1">
      <c r="A16" s="5"/>
      <c r="B16" s="50"/>
      <c r="C16" s="4"/>
      <c r="D16" s="4"/>
      <c r="E16" s="66"/>
      <c r="F16" s="66"/>
      <c r="G16" s="4"/>
      <c r="H16" s="4"/>
      <c r="I16" s="137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W16" s="17"/>
    </row>
    <row r="17" spans="1:23" ht="16.5" customHeight="1" thickBot="1">
      <c r="A17" s="5"/>
      <c r="B17" s="50"/>
      <c r="C17" s="156" t="s">
        <v>75</v>
      </c>
      <c r="D17" s="54" t="s">
        <v>76</v>
      </c>
      <c r="E17" s="66"/>
      <c r="F17" s="66"/>
      <c r="G17" s="4"/>
      <c r="H17" s="4"/>
      <c r="I17" s="4"/>
      <c r="J17" s="43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W17" s="17"/>
    </row>
    <row r="18" spans="2:23" s="32" customFormat="1" ht="16.5" customHeight="1" thickBot="1">
      <c r="B18" s="440"/>
      <c r="C18" s="33"/>
      <c r="D18" s="441"/>
      <c r="E18" s="447" t="s">
        <v>125</v>
      </c>
      <c r="F18" s="531">
        <v>500217</v>
      </c>
      <c r="G18" s="533" t="e">
        <f>"(DTE "&amp;#REF!&amp;#REF!&amp;")"</f>
        <v>#REF!</v>
      </c>
      <c r="H18" s="33"/>
      <c r="I18" s="33"/>
      <c r="J18" s="443"/>
      <c r="K18" s="33"/>
      <c r="L18" s="33"/>
      <c r="M18" s="33"/>
      <c r="N18" s="564" t="s">
        <v>35</v>
      </c>
      <c r="P18" s="33"/>
      <c r="Q18" s="33"/>
      <c r="R18" s="33"/>
      <c r="S18" s="33"/>
      <c r="T18" s="33"/>
      <c r="U18" s="33"/>
      <c r="V18" s="33"/>
      <c r="W18" s="444"/>
    </row>
    <row r="19" spans="2:23" s="32" customFormat="1" ht="16.5" customHeight="1">
      <c r="B19" s="440"/>
      <c r="C19" s="33"/>
      <c r="D19" s="716"/>
      <c r="E19" s="447" t="s">
        <v>38</v>
      </c>
      <c r="F19" s="448">
        <v>0.025</v>
      </c>
      <c r="G19" s="445"/>
      <c r="H19" s="33"/>
      <c r="I19" s="192"/>
      <c r="J19" s="193"/>
      <c r="K19" s="565" t="s">
        <v>90</v>
      </c>
      <c r="L19" s="566"/>
      <c r="M19" s="567">
        <v>63.904</v>
      </c>
      <c r="N19" s="568">
        <v>200</v>
      </c>
      <c r="R19" s="33"/>
      <c r="S19" s="33"/>
      <c r="T19" s="33"/>
      <c r="U19" s="33"/>
      <c r="V19" s="33"/>
      <c r="W19" s="444"/>
    </row>
    <row r="20" spans="2:23" s="32" customFormat="1" ht="16.5" customHeight="1">
      <c r="B20" s="440"/>
      <c r="C20" s="33"/>
      <c r="D20" s="716"/>
      <c r="E20" s="441" t="s">
        <v>36</v>
      </c>
      <c r="F20" s="33">
        <f>MID(B13,16,2)*24</f>
        <v>744</v>
      </c>
      <c r="G20" s="33" t="s">
        <v>37</v>
      </c>
      <c r="H20" s="33"/>
      <c r="I20" s="33"/>
      <c r="J20" s="33"/>
      <c r="K20" s="569" t="s">
        <v>66</v>
      </c>
      <c r="L20" s="570"/>
      <c r="M20" s="571">
        <v>57.511</v>
      </c>
      <c r="N20" s="572">
        <v>100</v>
      </c>
      <c r="O20" s="33"/>
      <c r="P20" s="560"/>
      <c r="Q20" s="33"/>
      <c r="R20" s="33"/>
      <c r="S20" s="33"/>
      <c r="T20" s="33"/>
      <c r="U20" s="33"/>
      <c r="V20" s="33"/>
      <c r="W20" s="444"/>
    </row>
    <row r="21" spans="2:23" s="32" customFormat="1" ht="16.5" customHeight="1" thickBot="1">
      <c r="B21" s="440"/>
      <c r="C21" s="33"/>
      <c r="D21" s="716"/>
      <c r="E21" s="441" t="s">
        <v>39</v>
      </c>
      <c r="F21" s="33">
        <v>0.319</v>
      </c>
      <c r="G21" s="32" t="s">
        <v>86</v>
      </c>
      <c r="H21" s="33"/>
      <c r="I21" s="33"/>
      <c r="J21" s="33"/>
      <c r="K21" s="573" t="s">
        <v>91</v>
      </c>
      <c r="L21" s="574"/>
      <c r="M21" s="575">
        <v>51.126</v>
      </c>
      <c r="N21" s="576">
        <v>40</v>
      </c>
      <c r="O21" s="33"/>
      <c r="P21" s="560"/>
      <c r="Q21" s="33"/>
      <c r="R21" s="33"/>
      <c r="S21" s="33"/>
      <c r="T21" s="33"/>
      <c r="U21" s="33"/>
      <c r="V21" s="33"/>
      <c r="W21" s="444"/>
    </row>
    <row r="22" spans="2:23" s="32" customFormat="1" ht="16.5" customHeight="1">
      <c r="B22" s="440"/>
      <c r="C22" s="33"/>
      <c r="D22" s="33"/>
      <c r="E22" s="449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444"/>
    </row>
    <row r="23" spans="1:23" ht="16.5" customHeight="1">
      <c r="A23" s="5"/>
      <c r="B23" s="50"/>
      <c r="C23" s="156" t="s">
        <v>77</v>
      </c>
      <c r="D23" s="3" t="s">
        <v>101</v>
      </c>
      <c r="I23" s="4"/>
      <c r="J23" s="32"/>
      <c r="O23" s="4"/>
      <c r="P23" s="4"/>
      <c r="Q23" s="4"/>
      <c r="R23" s="4"/>
      <c r="S23" s="4"/>
      <c r="T23" s="4"/>
      <c r="V23" s="4"/>
      <c r="W23" s="17"/>
    </row>
    <row r="24" spans="1:23" ht="10.5" customHeight="1" thickBot="1">
      <c r="A24" s="5"/>
      <c r="B24" s="50"/>
      <c r="C24" s="66"/>
      <c r="D24" s="3"/>
      <c r="I24" s="4"/>
      <c r="J24" s="32"/>
      <c r="O24" s="4"/>
      <c r="P24" s="4"/>
      <c r="Q24" s="4"/>
      <c r="R24" s="4"/>
      <c r="S24" s="4"/>
      <c r="T24" s="4"/>
      <c r="V24" s="4"/>
      <c r="W24" s="17"/>
    </row>
    <row r="25" spans="2:23" s="32" customFormat="1" ht="16.5" customHeight="1" thickBot="1" thickTop="1">
      <c r="B25" s="440"/>
      <c r="C25" s="442"/>
      <c r="D25"/>
      <c r="E25"/>
      <c r="F25"/>
      <c r="G25"/>
      <c r="H25"/>
      <c r="I25" s="450" t="s">
        <v>43</v>
      </c>
      <c r="J25" s="577">
        <f>+F18*F19</f>
        <v>12505.425000000001</v>
      </c>
      <c r="L25"/>
      <c r="S25"/>
      <c r="T25"/>
      <c r="U25"/>
      <c r="W25" s="444"/>
    </row>
    <row r="26" spans="2:23" s="32" customFormat="1" ht="11.25" customHeight="1" thickTop="1">
      <c r="B26" s="440"/>
      <c r="C26" s="442"/>
      <c r="D26" s="33"/>
      <c r="E26" s="449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/>
      <c r="W26" s="444"/>
    </row>
    <row r="27" spans="1:23" ht="16.5" customHeight="1">
      <c r="A27" s="5"/>
      <c r="B27" s="50"/>
      <c r="C27" s="156" t="s">
        <v>78</v>
      </c>
      <c r="D27" s="3" t="s">
        <v>102</v>
      </c>
      <c r="E27" s="19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17"/>
    </row>
    <row r="28" spans="1:23" ht="13.5" customHeight="1" thickBot="1">
      <c r="A28" s="32"/>
      <c r="B28" s="50"/>
      <c r="C28" s="442"/>
      <c r="D28" s="442"/>
      <c r="E28" s="453"/>
      <c r="F28" s="449"/>
      <c r="G28" s="454"/>
      <c r="H28" s="454"/>
      <c r="I28" s="455"/>
      <c r="J28" s="455"/>
      <c r="K28" s="455"/>
      <c r="L28" s="455"/>
      <c r="M28" s="455"/>
      <c r="N28" s="455"/>
      <c r="O28" s="456"/>
      <c r="P28" s="455"/>
      <c r="Q28" s="455"/>
      <c r="R28" s="578"/>
      <c r="S28" s="579"/>
      <c r="T28" s="580"/>
      <c r="U28" s="580"/>
      <c r="V28" s="580"/>
      <c r="W28" s="215"/>
    </row>
    <row r="29" spans="1:26" s="5" customFormat="1" ht="33.75" customHeight="1" thickBot="1" thickTop="1">
      <c r="A29" s="88"/>
      <c r="B29" s="93"/>
      <c r="C29" s="121" t="s">
        <v>12</v>
      </c>
      <c r="D29" s="117" t="s">
        <v>25</v>
      </c>
      <c r="E29" s="116" t="s">
        <v>26</v>
      </c>
      <c r="F29" s="118" t="s">
        <v>27</v>
      </c>
      <c r="G29" s="119" t="s">
        <v>13</v>
      </c>
      <c r="H29" s="127" t="s">
        <v>15</v>
      </c>
      <c r="I29" s="116" t="s">
        <v>16</v>
      </c>
      <c r="J29" s="116" t="s">
        <v>17</v>
      </c>
      <c r="K29" s="117" t="s">
        <v>28</v>
      </c>
      <c r="L29" s="117" t="s">
        <v>29</v>
      </c>
      <c r="M29" s="87" t="s">
        <v>79</v>
      </c>
      <c r="N29" s="116" t="s">
        <v>30</v>
      </c>
      <c r="O29" s="459" t="s">
        <v>31</v>
      </c>
      <c r="P29" s="127" t="s">
        <v>32</v>
      </c>
      <c r="Q29" s="460" t="s">
        <v>19</v>
      </c>
      <c r="R29" s="461" t="s">
        <v>80</v>
      </c>
      <c r="S29" s="462"/>
      <c r="T29" s="463" t="s">
        <v>21</v>
      </c>
      <c r="U29" s="130" t="s">
        <v>58</v>
      </c>
      <c r="V29" s="119" t="s">
        <v>22</v>
      </c>
      <c r="W29" s="17"/>
      <c r="Y29"/>
      <c r="Z29"/>
    </row>
    <row r="30" spans="1:23" ht="16.5" customHeight="1" thickTop="1">
      <c r="A30" s="5"/>
      <c r="B30" s="50"/>
      <c r="C30" s="10"/>
      <c r="D30" s="10"/>
      <c r="E30" s="10"/>
      <c r="F30" s="10"/>
      <c r="G30" s="464"/>
      <c r="H30" s="465"/>
      <c r="I30" s="10"/>
      <c r="J30" s="10"/>
      <c r="K30" s="10"/>
      <c r="L30" s="10"/>
      <c r="M30" s="10"/>
      <c r="N30" s="466"/>
      <c r="O30" s="581"/>
      <c r="P30" s="131"/>
      <c r="Q30" s="467"/>
      <c r="R30" s="468"/>
      <c r="S30" s="469"/>
      <c r="T30" s="470"/>
      <c r="U30" s="466"/>
      <c r="V30" s="471"/>
      <c r="W30" s="17"/>
    </row>
    <row r="31" spans="1:23" ht="16.5" customHeight="1">
      <c r="A31" s="5"/>
      <c r="B31" s="50"/>
      <c r="C31" s="681" t="s">
        <v>108</v>
      </c>
      <c r="D31" s="472"/>
      <c r="E31" s="473"/>
      <c r="F31" s="474"/>
      <c r="G31" s="475"/>
      <c r="H31" s="476">
        <f>F31*$F$21</f>
        <v>0</v>
      </c>
      <c r="I31" s="477"/>
      <c r="J31" s="477"/>
      <c r="K31" s="280">
        <f>IF(D31="","",(J31-I31)*24)</f>
      </c>
      <c r="L31" s="14">
        <f>IF(D31="","",(J31-I31)*24*60)</f>
      </c>
      <c r="M31" s="13"/>
      <c r="N31" s="8">
        <f>IF(D31="","",IF(OR(M31="P",M31="RP"),"--","NO"))</f>
      </c>
      <c r="O31" s="582">
        <f>IF(D31="","","NO")</f>
      </c>
      <c r="P31" s="478">
        <f>200*IF(O31="SI",1,0.1)*IF(M31="P",0.1,1)</f>
        <v>20</v>
      </c>
      <c r="Q31" s="479" t="str">
        <f>IF(M31="P",H31*P31*ROUND(L31/60,2),"--")</f>
        <v>--</v>
      </c>
      <c r="R31" s="480" t="str">
        <f>IF(AND(M31="F",N31="NO"),H31*P31,"--")</f>
        <v>--</v>
      </c>
      <c r="S31" s="481" t="str">
        <f>IF(M31="F",H31*P31*ROUND(L31/60,2),"--")</f>
        <v>--</v>
      </c>
      <c r="T31" s="352" t="str">
        <f>IF(M31="RF",H31*P31*ROUND(L31/60,2),"--")</f>
        <v>--</v>
      </c>
      <c r="U31" s="290">
        <f>IF(D31="","","SI")</f>
      </c>
      <c r="V31" s="291">
        <f>IF(D31="","",SUM(Q31:T31)*IF(U31="SI",1,2))</f>
      </c>
      <c r="W31" s="215"/>
    </row>
    <row r="32" spans="1:23" ht="16.5" customHeight="1">
      <c r="A32" s="5"/>
      <c r="B32" s="50"/>
      <c r="C32" s="681" t="s">
        <v>109</v>
      </c>
      <c r="D32" s="472"/>
      <c r="E32" s="473"/>
      <c r="F32" s="474"/>
      <c r="G32" s="475"/>
      <c r="H32" s="476">
        <f>F32*$F$21</f>
        <v>0</v>
      </c>
      <c r="I32" s="477"/>
      <c r="J32" s="477"/>
      <c r="K32" s="280">
        <f>IF(D32="","",(J32-I32)*24)</f>
      </c>
      <c r="L32" s="14">
        <f>IF(D32="","",(J32-I32)*24*60)</f>
      </c>
      <c r="M32" s="13"/>
      <c r="N32" s="8">
        <f>IF(D32="","",IF(OR(M32="P",M32="RP"),"--","NO"))</f>
      </c>
      <c r="O32" s="582">
        <f>IF(D32="","","NO")</f>
      </c>
      <c r="P32" s="478">
        <f>200*IF(O32="SI",1,0.1)*IF(M32="P",0.1,1)</f>
        <v>20</v>
      </c>
      <c r="Q32" s="479" t="str">
        <f>IF(M32="P",H32*P32*ROUND(L32/60,2),"--")</f>
        <v>--</v>
      </c>
      <c r="R32" s="480" t="str">
        <f>IF(AND(M32="F",N32="NO"),H32*P32,"--")</f>
        <v>--</v>
      </c>
      <c r="S32" s="481" t="str">
        <f>IF(M32="F",H32*P32*ROUND(L32/60,2),"--")</f>
        <v>--</v>
      </c>
      <c r="T32" s="352" t="str">
        <f>IF(M32="RF",H32*P32*ROUND(L32/60,2),"--")</f>
        <v>--</v>
      </c>
      <c r="U32" s="290">
        <f>IF(D32="","","SI")</f>
      </c>
      <c r="V32" s="291">
        <f>IF(D32="","",SUM(Q32:T32)*IF(U32="SI",1,2))</f>
      </c>
      <c r="W32" s="215"/>
    </row>
    <row r="33" spans="1:23" ht="16.5" customHeight="1" thickBot="1">
      <c r="A33" s="32"/>
      <c r="B33" s="50"/>
      <c r="C33" s="482"/>
      <c r="D33" s="483"/>
      <c r="E33" s="484"/>
      <c r="F33" s="485"/>
      <c r="G33" s="486"/>
      <c r="H33" s="487"/>
      <c r="I33" s="488"/>
      <c r="J33" s="489"/>
      <c r="K33" s="490"/>
      <c r="L33" s="491"/>
      <c r="M33" s="492"/>
      <c r="N33" s="9"/>
      <c r="O33" s="583"/>
      <c r="P33" s="493"/>
      <c r="Q33" s="494"/>
      <c r="R33" s="495"/>
      <c r="S33" s="496"/>
      <c r="T33" s="497"/>
      <c r="U33" s="498"/>
      <c r="V33" s="499"/>
      <c r="W33" s="215"/>
    </row>
    <row r="34" spans="1:23" ht="16.5" customHeight="1" thickBot="1" thickTop="1">
      <c r="A34" s="32"/>
      <c r="B34" s="50"/>
      <c r="C34" s="96"/>
      <c r="D34" s="194"/>
      <c r="E34" s="194"/>
      <c r="F34" s="383"/>
      <c r="G34" s="500"/>
      <c r="H34" s="501"/>
      <c r="I34" s="502"/>
      <c r="J34" s="503"/>
      <c r="K34" s="504"/>
      <c r="L34" s="505"/>
      <c r="M34" s="501"/>
      <c r="N34" s="506"/>
      <c r="O34" s="183"/>
      <c r="P34" s="507"/>
      <c r="Q34" s="508"/>
      <c r="R34" s="509"/>
      <c r="S34" s="509"/>
      <c r="T34" s="509"/>
      <c r="U34" s="184"/>
      <c r="V34" s="510">
        <f>SUM(V30:V33)</f>
        <v>0</v>
      </c>
      <c r="W34" s="215"/>
    </row>
    <row r="35" spans="1:23" ht="16.5" customHeight="1" thickBot="1" thickTop="1">
      <c r="A35" s="32"/>
      <c r="B35" s="50"/>
      <c r="C35" s="96"/>
      <c r="D35" s="194"/>
      <c r="E35" s="194"/>
      <c r="F35" s="383"/>
      <c r="G35" s="500"/>
      <c r="H35" s="501"/>
      <c r="I35" s="502"/>
      <c r="L35" s="505"/>
      <c r="M35" s="501"/>
      <c r="N35" s="511"/>
      <c r="O35" s="512"/>
      <c r="P35" s="507"/>
      <c r="Q35" s="508"/>
      <c r="R35" s="509"/>
      <c r="S35" s="509"/>
      <c r="T35" s="509"/>
      <c r="U35" s="184"/>
      <c r="V35" s="184"/>
      <c r="W35" s="215"/>
    </row>
    <row r="36" spans="2:23" s="5" customFormat="1" ht="33.75" customHeight="1" thickBot="1" thickTop="1">
      <c r="B36" s="50"/>
      <c r="C36" s="84" t="s">
        <v>12</v>
      </c>
      <c r="D36" s="86" t="s">
        <v>25</v>
      </c>
      <c r="E36" s="960" t="s">
        <v>26</v>
      </c>
      <c r="F36" s="962"/>
      <c r="G36" s="130" t="s">
        <v>13</v>
      </c>
      <c r="H36" s="127" t="s">
        <v>15</v>
      </c>
      <c r="I36" s="85" t="s">
        <v>16</v>
      </c>
      <c r="J36" s="335" t="s">
        <v>17</v>
      </c>
      <c r="K36" s="337" t="s">
        <v>34</v>
      </c>
      <c r="L36" s="337" t="s">
        <v>29</v>
      </c>
      <c r="M36" s="87" t="s">
        <v>18</v>
      </c>
      <c r="N36" s="960" t="s">
        <v>30</v>
      </c>
      <c r="O36" s="961"/>
      <c r="P36" s="133" t="s">
        <v>35</v>
      </c>
      <c r="Q36" s="338" t="s">
        <v>55</v>
      </c>
      <c r="R36" s="172" t="s">
        <v>33</v>
      </c>
      <c r="S36" s="339"/>
      <c r="T36" s="132" t="s">
        <v>21</v>
      </c>
      <c r="U36" s="130" t="s">
        <v>58</v>
      </c>
      <c r="V36" s="119" t="s">
        <v>22</v>
      </c>
      <c r="W36" s="6"/>
    </row>
    <row r="37" spans="2:23" s="5" customFormat="1" ht="16.5" customHeight="1" thickTop="1">
      <c r="B37" s="50"/>
      <c r="C37" s="7"/>
      <c r="D37" s="347"/>
      <c r="E37" s="963"/>
      <c r="F37" s="964"/>
      <c r="G37" s="347"/>
      <c r="H37" s="348"/>
      <c r="I37" s="347"/>
      <c r="J37" s="347"/>
      <c r="K37" s="347"/>
      <c r="L37" s="347"/>
      <c r="M37" s="347"/>
      <c r="N37" s="347"/>
      <c r="O37" s="584"/>
      <c r="P37" s="349"/>
      <c r="Q37" s="350"/>
      <c r="R37" s="181"/>
      <c r="S37" s="351"/>
      <c r="T37" s="352"/>
      <c r="U37" s="347"/>
      <c r="V37" s="353"/>
      <c r="W37" s="6"/>
    </row>
    <row r="38" spans="2:23" s="5" customFormat="1" ht="16.5" customHeight="1">
      <c r="B38" s="50"/>
      <c r="C38" s="681" t="s">
        <v>108</v>
      </c>
      <c r="D38" s="347" t="s">
        <v>199</v>
      </c>
      <c r="E38" s="963" t="s">
        <v>200</v>
      </c>
      <c r="F38" s="964"/>
      <c r="G38" s="585">
        <v>132</v>
      </c>
      <c r="H38" s="128">
        <f>IF(G38=500,$M$19,IF(G38=220,$M$20,$M$21))</f>
        <v>51.126</v>
      </c>
      <c r="I38" s="586">
        <v>39995.413194444445</v>
      </c>
      <c r="J38" s="587">
        <v>39995.6625</v>
      </c>
      <c r="K38" s="357">
        <f>IF(D38="","",(J38-I38)*24)</f>
        <v>5.983333333279006</v>
      </c>
      <c r="L38" s="358">
        <f>IF(D38="","",ROUND((J38-I38)*24*60,0))</f>
        <v>359</v>
      </c>
      <c r="M38" s="451" t="s">
        <v>134</v>
      </c>
      <c r="N38" s="431" t="str">
        <f>IF(D38="","",IF(OR(M38="P",M38="RP"),"--","NO"))</f>
        <v>--</v>
      </c>
      <c r="O38" s="408"/>
      <c r="P38" s="588">
        <f>IF(G38=500,$N$19,IF(G38=220,$N$20,$N$21))</f>
        <v>40</v>
      </c>
      <c r="Q38" s="589">
        <f>IF(M38="P",H38*P38*ROUND(L38/60,2)*0.1,"--")</f>
        <v>1222.9339200000002</v>
      </c>
      <c r="R38" s="181" t="str">
        <f>IF(AND(M38="F",N38="NO"),H38*P38,"--")</f>
        <v>--</v>
      </c>
      <c r="S38" s="351" t="str">
        <f>IF(M38="F",H38*P38*ROUND(L38/60,2),"--")</f>
        <v>--</v>
      </c>
      <c r="T38" s="352" t="str">
        <f>IF(M38="RF",H38*P38*ROUND(L38/60,2),"--")</f>
        <v>--</v>
      </c>
      <c r="U38" s="590" t="str">
        <f>IF(D38="","","SI")</f>
        <v>SI</v>
      </c>
      <c r="V38" s="359">
        <f>IF(D38="","",SUM(Q38:T38)*IF(U38="SI",1,2))</f>
        <v>1222.9339200000002</v>
      </c>
      <c r="W38" s="6"/>
    </row>
    <row r="39" spans="2:23" s="5" customFormat="1" ht="16.5" customHeight="1">
      <c r="B39" s="50"/>
      <c r="C39" s="681" t="s">
        <v>109</v>
      </c>
      <c r="D39" s="347" t="s">
        <v>199</v>
      </c>
      <c r="E39" s="963" t="s">
        <v>200</v>
      </c>
      <c r="F39" s="964"/>
      <c r="G39" s="585">
        <v>132</v>
      </c>
      <c r="H39" s="128">
        <f aca="true" t="shared" si="0" ref="H39:H46">IF(G39=500,$M$19,IF(G39=220,$M$20,$M$21))</f>
        <v>51.126</v>
      </c>
      <c r="I39" s="586">
        <v>39996.41111111111</v>
      </c>
      <c r="J39" s="587">
        <v>39996.52916666667</v>
      </c>
      <c r="K39" s="357">
        <f aca="true" t="shared" si="1" ref="K39:K46">IF(D39="","",(J39-I39)*24)</f>
        <v>2.833333333313931</v>
      </c>
      <c r="L39" s="358">
        <f aca="true" t="shared" si="2" ref="L39:L46">IF(D39="","",ROUND((J39-I39)*24*60,0))</f>
        <v>170</v>
      </c>
      <c r="M39" s="451" t="s">
        <v>134</v>
      </c>
      <c r="N39" s="431" t="str">
        <f aca="true" t="shared" si="3" ref="N39:N46">IF(D39="","",IF(OR(M39="P",M39="RP"),"--","NO"))</f>
        <v>--</v>
      </c>
      <c r="O39" s="408"/>
      <c r="P39" s="588">
        <f aca="true" t="shared" si="4" ref="P39:P46">IF(G39=500,$N$19,IF(G39=220,$N$20,$N$21))</f>
        <v>40</v>
      </c>
      <c r="Q39" s="589">
        <f aca="true" t="shared" si="5" ref="Q39:Q46">IF(M39="P",H39*P39*ROUND(L39/60,2)*0.1,"--")</f>
        <v>578.7463200000001</v>
      </c>
      <c r="R39" s="181" t="str">
        <f aca="true" t="shared" si="6" ref="R39:R46">IF(AND(M39="F",N39="NO"),H39*P39,"--")</f>
        <v>--</v>
      </c>
      <c r="S39" s="351" t="str">
        <f aca="true" t="shared" si="7" ref="S39:S46">IF(M39="F",H39*P39*ROUND(L39/60,2),"--")</f>
        <v>--</v>
      </c>
      <c r="T39" s="352" t="str">
        <f aca="true" t="shared" si="8" ref="T39:T46">IF(M39="RF",H39*P39*ROUND(L39/60,2),"--")</f>
        <v>--</v>
      </c>
      <c r="U39" s="590" t="str">
        <f aca="true" t="shared" si="9" ref="U39:U46">IF(D39="","","SI")</f>
        <v>SI</v>
      </c>
      <c r="V39" s="359">
        <f aca="true" t="shared" si="10" ref="V39:V46">IF(D39="","",SUM(Q39:T39)*IF(U39="SI",1,2))</f>
        <v>578.7463200000001</v>
      </c>
      <c r="W39" s="6"/>
    </row>
    <row r="40" spans="2:23" s="5" customFormat="1" ht="16.5" customHeight="1">
      <c r="B40" s="50"/>
      <c r="C40" s="681" t="s">
        <v>110</v>
      </c>
      <c r="D40" s="347" t="s">
        <v>201</v>
      </c>
      <c r="E40" s="963" t="s">
        <v>202</v>
      </c>
      <c r="F40" s="964"/>
      <c r="G40" s="585">
        <v>132</v>
      </c>
      <c r="H40" s="128">
        <f t="shared" si="0"/>
        <v>51.126</v>
      </c>
      <c r="I40" s="586">
        <v>40002.34305555555</v>
      </c>
      <c r="J40" s="587">
        <v>40002.586805555555</v>
      </c>
      <c r="K40" s="357">
        <f t="shared" si="1"/>
        <v>5.850000000034925</v>
      </c>
      <c r="L40" s="358">
        <f t="shared" si="2"/>
        <v>351</v>
      </c>
      <c r="M40" s="451" t="s">
        <v>134</v>
      </c>
      <c r="N40" s="431" t="str">
        <f t="shared" si="3"/>
        <v>--</v>
      </c>
      <c r="O40" s="408"/>
      <c r="P40" s="588">
        <f t="shared" si="4"/>
        <v>40</v>
      </c>
      <c r="Q40" s="589">
        <f t="shared" si="5"/>
        <v>1196.3483999999999</v>
      </c>
      <c r="R40" s="181" t="str">
        <f t="shared" si="6"/>
        <v>--</v>
      </c>
      <c r="S40" s="351" t="str">
        <f t="shared" si="7"/>
        <v>--</v>
      </c>
      <c r="T40" s="352" t="str">
        <f t="shared" si="8"/>
        <v>--</v>
      </c>
      <c r="U40" s="590" t="str">
        <f t="shared" si="9"/>
        <v>SI</v>
      </c>
      <c r="V40" s="359">
        <f t="shared" si="10"/>
        <v>1196.3483999999999</v>
      </c>
      <c r="W40" s="6"/>
    </row>
    <row r="41" spans="2:23" s="5" customFormat="1" ht="16.5" customHeight="1">
      <c r="B41" s="50"/>
      <c r="C41" s="681" t="s">
        <v>111</v>
      </c>
      <c r="D41" s="347" t="s">
        <v>199</v>
      </c>
      <c r="E41" s="963" t="s">
        <v>203</v>
      </c>
      <c r="F41" s="964"/>
      <c r="G41" s="585">
        <v>500</v>
      </c>
      <c r="H41" s="128">
        <f t="shared" si="0"/>
        <v>63.904</v>
      </c>
      <c r="I41" s="586">
        <v>40004.32361111111</v>
      </c>
      <c r="J41" s="587">
        <v>40004.760416666664</v>
      </c>
      <c r="K41" s="357">
        <f t="shared" si="1"/>
        <v>10.483333333279006</v>
      </c>
      <c r="L41" s="358">
        <f t="shared" si="2"/>
        <v>629</v>
      </c>
      <c r="M41" s="451" t="s">
        <v>134</v>
      </c>
      <c r="N41" s="431" t="str">
        <f t="shared" si="3"/>
        <v>--</v>
      </c>
      <c r="O41" s="408"/>
      <c r="P41" s="588">
        <f t="shared" si="4"/>
        <v>200</v>
      </c>
      <c r="Q41" s="589">
        <f t="shared" si="5"/>
        <v>13394.278400000003</v>
      </c>
      <c r="R41" s="181" t="str">
        <f t="shared" si="6"/>
        <v>--</v>
      </c>
      <c r="S41" s="351" t="str">
        <f t="shared" si="7"/>
        <v>--</v>
      </c>
      <c r="T41" s="352" t="str">
        <f t="shared" si="8"/>
        <v>--</v>
      </c>
      <c r="U41" s="590" t="str">
        <f t="shared" si="9"/>
        <v>SI</v>
      </c>
      <c r="V41" s="359">
        <f t="shared" si="10"/>
        <v>13394.278400000003</v>
      </c>
      <c r="W41" s="6"/>
    </row>
    <row r="42" spans="2:23" s="5" customFormat="1" ht="16.5" customHeight="1">
      <c r="B42" s="50"/>
      <c r="C42" s="681" t="s">
        <v>112</v>
      </c>
      <c r="D42" s="347" t="s">
        <v>204</v>
      </c>
      <c r="E42" s="963" t="s">
        <v>205</v>
      </c>
      <c r="F42" s="964"/>
      <c r="G42" s="585">
        <v>132</v>
      </c>
      <c r="H42" s="128">
        <f t="shared" si="0"/>
        <v>51.126</v>
      </c>
      <c r="I42" s="586">
        <v>40010.56180555555</v>
      </c>
      <c r="J42" s="587">
        <v>40010.70763888889</v>
      </c>
      <c r="K42" s="357">
        <f t="shared" si="1"/>
        <v>3.5000000000582077</v>
      </c>
      <c r="L42" s="358">
        <f t="shared" si="2"/>
        <v>210</v>
      </c>
      <c r="M42" s="451" t="s">
        <v>134</v>
      </c>
      <c r="N42" s="431" t="str">
        <f t="shared" si="3"/>
        <v>--</v>
      </c>
      <c r="O42" s="408"/>
      <c r="P42" s="588">
        <f t="shared" si="4"/>
        <v>40</v>
      </c>
      <c r="Q42" s="589">
        <f t="shared" si="5"/>
        <v>715.764</v>
      </c>
      <c r="R42" s="181" t="str">
        <f t="shared" si="6"/>
        <v>--</v>
      </c>
      <c r="S42" s="351" t="str">
        <f t="shared" si="7"/>
        <v>--</v>
      </c>
      <c r="T42" s="352" t="str">
        <f t="shared" si="8"/>
        <v>--</v>
      </c>
      <c r="U42" s="590" t="str">
        <f t="shared" si="9"/>
        <v>SI</v>
      </c>
      <c r="V42" s="359">
        <f t="shared" si="10"/>
        <v>715.764</v>
      </c>
      <c r="W42" s="6"/>
    </row>
    <row r="43" spans="2:23" s="5" customFormat="1" ht="16.5" customHeight="1">
      <c r="B43" s="50"/>
      <c r="C43" s="681" t="s">
        <v>113</v>
      </c>
      <c r="D43" s="347" t="s">
        <v>204</v>
      </c>
      <c r="E43" s="963" t="s">
        <v>206</v>
      </c>
      <c r="F43" s="964"/>
      <c r="G43" s="585">
        <v>132</v>
      </c>
      <c r="H43" s="128">
        <f t="shared" si="0"/>
        <v>51.126</v>
      </c>
      <c r="I43" s="586">
        <v>40013.38125</v>
      </c>
      <c r="J43" s="587">
        <v>40013.67152777778</v>
      </c>
      <c r="K43" s="357">
        <f t="shared" si="1"/>
        <v>6.966666666674428</v>
      </c>
      <c r="L43" s="358">
        <f t="shared" si="2"/>
        <v>418</v>
      </c>
      <c r="M43" s="451" t="s">
        <v>134</v>
      </c>
      <c r="N43" s="431" t="str">
        <f t="shared" si="3"/>
        <v>--</v>
      </c>
      <c r="O43" s="408"/>
      <c r="P43" s="588">
        <f t="shared" si="4"/>
        <v>40</v>
      </c>
      <c r="Q43" s="589">
        <f t="shared" si="5"/>
        <v>1425.39288</v>
      </c>
      <c r="R43" s="181" t="str">
        <f t="shared" si="6"/>
        <v>--</v>
      </c>
      <c r="S43" s="351" t="str">
        <f t="shared" si="7"/>
        <v>--</v>
      </c>
      <c r="T43" s="352" t="str">
        <f t="shared" si="8"/>
        <v>--</v>
      </c>
      <c r="U43" s="590" t="str">
        <f t="shared" si="9"/>
        <v>SI</v>
      </c>
      <c r="V43" s="359">
        <f t="shared" si="10"/>
        <v>1425.39288</v>
      </c>
      <c r="W43" s="6"/>
    </row>
    <row r="44" spans="2:23" s="5" customFormat="1" ht="16.5" customHeight="1">
      <c r="B44" s="50"/>
      <c r="C44" s="681" t="s">
        <v>114</v>
      </c>
      <c r="D44" s="347" t="s">
        <v>204</v>
      </c>
      <c r="E44" s="963" t="s">
        <v>206</v>
      </c>
      <c r="F44" s="964"/>
      <c r="G44" s="585">
        <v>132</v>
      </c>
      <c r="H44" s="128">
        <f t="shared" si="0"/>
        <v>51.126</v>
      </c>
      <c r="I44" s="586">
        <v>40022.381944444445</v>
      </c>
      <c r="J44" s="587">
        <v>40022.72361111111</v>
      </c>
      <c r="K44" s="357">
        <f t="shared" si="1"/>
        <v>8.200000000011642</v>
      </c>
      <c r="L44" s="358">
        <f t="shared" si="2"/>
        <v>492</v>
      </c>
      <c r="M44" s="451" t="s">
        <v>134</v>
      </c>
      <c r="N44" s="431" t="str">
        <f t="shared" si="3"/>
        <v>--</v>
      </c>
      <c r="O44" s="408"/>
      <c r="P44" s="588">
        <f t="shared" si="4"/>
        <v>40</v>
      </c>
      <c r="Q44" s="589">
        <f t="shared" si="5"/>
        <v>1676.9327999999998</v>
      </c>
      <c r="R44" s="181" t="str">
        <f t="shared" si="6"/>
        <v>--</v>
      </c>
      <c r="S44" s="351" t="str">
        <f t="shared" si="7"/>
        <v>--</v>
      </c>
      <c r="T44" s="352" t="str">
        <f t="shared" si="8"/>
        <v>--</v>
      </c>
      <c r="U44" s="590" t="str">
        <f t="shared" si="9"/>
        <v>SI</v>
      </c>
      <c r="V44" s="359">
        <f t="shared" si="10"/>
        <v>1676.9327999999998</v>
      </c>
      <c r="W44" s="6"/>
    </row>
    <row r="45" spans="2:23" s="5" customFormat="1" ht="16.5" customHeight="1">
      <c r="B45" s="50"/>
      <c r="C45" s="681" t="s">
        <v>115</v>
      </c>
      <c r="D45" s="347"/>
      <c r="E45" s="963"/>
      <c r="F45" s="964"/>
      <c r="G45" s="585"/>
      <c r="H45" s="128">
        <f t="shared" si="0"/>
        <v>51.126</v>
      </c>
      <c r="I45" s="586"/>
      <c r="J45" s="587"/>
      <c r="K45" s="357">
        <f t="shared" si="1"/>
      </c>
      <c r="L45" s="358">
        <f t="shared" si="2"/>
      </c>
      <c r="M45" s="451"/>
      <c r="N45" s="431">
        <f t="shared" si="3"/>
      </c>
      <c r="O45" s="408"/>
      <c r="P45" s="588">
        <f t="shared" si="4"/>
        <v>40</v>
      </c>
      <c r="Q45" s="589" t="str">
        <f t="shared" si="5"/>
        <v>--</v>
      </c>
      <c r="R45" s="181" t="str">
        <f t="shared" si="6"/>
        <v>--</v>
      </c>
      <c r="S45" s="351" t="str">
        <f t="shared" si="7"/>
        <v>--</v>
      </c>
      <c r="T45" s="352" t="str">
        <f t="shared" si="8"/>
        <v>--</v>
      </c>
      <c r="U45" s="590">
        <f t="shared" si="9"/>
      </c>
      <c r="V45" s="359">
        <f t="shared" si="10"/>
      </c>
      <c r="W45" s="6"/>
    </row>
    <row r="46" spans="2:23" s="5" customFormat="1" ht="16.5" customHeight="1">
      <c r="B46" s="50"/>
      <c r="C46" s="681" t="s">
        <v>116</v>
      </c>
      <c r="D46" s="347"/>
      <c r="E46" s="963"/>
      <c r="F46" s="964"/>
      <c r="G46" s="585"/>
      <c r="H46" s="128">
        <f t="shared" si="0"/>
        <v>51.126</v>
      </c>
      <c r="I46" s="586"/>
      <c r="J46" s="587"/>
      <c r="K46" s="357">
        <f t="shared" si="1"/>
      </c>
      <c r="L46" s="358">
        <f t="shared" si="2"/>
      </c>
      <c r="M46" s="451"/>
      <c r="N46" s="431">
        <f t="shared" si="3"/>
      </c>
      <c r="O46" s="408"/>
      <c r="P46" s="588">
        <f t="shared" si="4"/>
        <v>40</v>
      </c>
      <c r="Q46" s="589" t="str">
        <f t="shared" si="5"/>
        <v>--</v>
      </c>
      <c r="R46" s="181" t="str">
        <f t="shared" si="6"/>
        <v>--</v>
      </c>
      <c r="S46" s="351" t="str">
        <f t="shared" si="7"/>
        <v>--</v>
      </c>
      <c r="T46" s="352" t="str">
        <f t="shared" si="8"/>
        <v>--</v>
      </c>
      <c r="U46" s="590">
        <f t="shared" si="9"/>
      </c>
      <c r="V46" s="359">
        <f t="shared" si="10"/>
      </c>
      <c r="W46" s="6"/>
    </row>
    <row r="47" spans="2:28" s="5" customFormat="1" ht="16.5" customHeight="1" thickBot="1">
      <c r="B47" s="50"/>
      <c r="C47" s="482"/>
      <c r="D47" s="591"/>
      <c r="E47" s="958"/>
      <c r="F47" s="959"/>
      <c r="G47" s="592"/>
      <c r="H47" s="593"/>
      <c r="I47" s="594"/>
      <c r="J47" s="595"/>
      <c r="K47" s="596"/>
      <c r="L47" s="597"/>
      <c r="M47" s="598"/>
      <c r="N47" s="599"/>
      <c r="O47" s="598"/>
      <c r="P47" s="600"/>
      <c r="Q47" s="601"/>
      <c r="R47" s="602"/>
      <c r="S47" s="603"/>
      <c r="T47" s="604"/>
      <c r="U47" s="605"/>
      <c r="V47" s="606"/>
      <c r="W47" s="6"/>
      <c r="X47"/>
      <c r="Y47"/>
      <c r="Z47"/>
      <c r="AA47"/>
      <c r="AB47"/>
    </row>
    <row r="48" spans="1:23" ht="17.25" thickBot="1" thickTop="1">
      <c r="A48" s="32"/>
      <c r="B48" s="440"/>
      <c r="C48" s="442"/>
      <c r="D48" s="513"/>
      <c r="E48" s="514"/>
      <c r="F48" s="515"/>
      <c r="G48" s="516"/>
      <c r="H48" s="516"/>
      <c r="I48" s="514"/>
      <c r="J48" s="432"/>
      <c r="K48" s="432"/>
      <c r="L48" s="514"/>
      <c r="M48" s="514"/>
      <c r="N48" s="514"/>
      <c r="O48" s="517"/>
      <c r="P48" s="514"/>
      <c r="Q48" s="514"/>
      <c r="R48" s="518"/>
      <c r="S48" s="519"/>
      <c r="T48" s="519"/>
      <c r="U48" s="520"/>
      <c r="V48" s="510">
        <f>SUM(V38:V47)</f>
        <v>20210.39672</v>
      </c>
      <c r="W48" s="521"/>
    </row>
    <row r="49" spans="1:23" ht="17.25" thickBot="1" thickTop="1">
      <c r="A49" s="32"/>
      <c r="B49" s="440"/>
      <c r="C49" s="442"/>
      <c r="D49" s="513"/>
      <c r="E49" s="514"/>
      <c r="F49" s="515"/>
      <c r="G49" s="516"/>
      <c r="H49" s="516"/>
      <c r="I49" s="450" t="s">
        <v>40</v>
      </c>
      <c r="J49" s="577">
        <f>+V48+V34</f>
        <v>20210.39672</v>
      </c>
      <c r="L49" s="514"/>
      <c r="M49" s="514"/>
      <c r="N49" s="514"/>
      <c r="O49" s="517"/>
      <c r="P49" s="514"/>
      <c r="Q49" s="514"/>
      <c r="R49" s="518"/>
      <c r="S49" s="519"/>
      <c r="T49" s="519"/>
      <c r="U49" s="520"/>
      <c r="W49" s="521"/>
    </row>
    <row r="50" spans="1:23" ht="13.5" customHeight="1" thickTop="1">
      <c r="A50" s="32"/>
      <c r="B50" s="440"/>
      <c r="C50" s="442"/>
      <c r="D50" s="513"/>
      <c r="E50" s="514"/>
      <c r="F50" s="515"/>
      <c r="G50" s="516"/>
      <c r="H50" s="516"/>
      <c r="I50" s="514"/>
      <c r="J50" s="432"/>
      <c r="K50" s="432"/>
      <c r="L50" s="514"/>
      <c r="M50" s="514"/>
      <c r="N50" s="514"/>
      <c r="O50" s="517"/>
      <c r="P50" s="514"/>
      <c r="Q50" s="514"/>
      <c r="R50" s="518"/>
      <c r="S50" s="519"/>
      <c r="T50" s="519"/>
      <c r="U50" s="520"/>
      <c r="W50" s="521"/>
    </row>
    <row r="51" spans="1:23" ht="16.5" customHeight="1">
      <c r="A51" s="32"/>
      <c r="B51" s="440"/>
      <c r="C51" s="522" t="s">
        <v>81</v>
      </c>
      <c r="D51" s="523" t="s">
        <v>103</v>
      </c>
      <c r="E51" s="514"/>
      <c r="F51" s="515"/>
      <c r="G51" s="516"/>
      <c r="H51" s="516"/>
      <c r="I51" s="514"/>
      <c r="J51" s="432"/>
      <c r="K51" s="432"/>
      <c r="L51" s="514"/>
      <c r="M51" s="514"/>
      <c r="N51" s="514"/>
      <c r="O51" s="517"/>
      <c r="P51" s="514"/>
      <c r="Q51" s="514"/>
      <c r="R51" s="518"/>
      <c r="S51" s="519"/>
      <c r="T51" s="519"/>
      <c r="U51" s="520"/>
      <c r="W51" s="521"/>
    </row>
    <row r="52" spans="1:23" ht="16.5" customHeight="1">
      <c r="A52" s="32"/>
      <c r="B52" s="440"/>
      <c r="C52" s="522"/>
      <c r="D52" s="513"/>
      <c r="E52" s="514"/>
      <c r="F52" s="515"/>
      <c r="G52" s="516"/>
      <c r="H52" s="516"/>
      <c r="I52" s="514"/>
      <c r="J52" s="432"/>
      <c r="K52" s="432"/>
      <c r="L52" s="514"/>
      <c r="M52" s="514"/>
      <c r="N52" s="514"/>
      <c r="O52" s="517"/>
      <c r="P52" s="514"/>
      <c r="Q52" s="514"/>
      <c r="R52" s="514"/>
      <c r="S52" s="518"/>
      <c r="T52" s="519"/>
      <c r="W52" s="521"/>
    </row>
    <row r="53" spans="2:23" s="32" customFormat="1" ht="16.5" customHeight="1">
      <c r="B53" s="440"/>
      <c r="C53" s="442"/>
      <c r="D53" s="524" t="s">
        <v>87</v>
      </c>
      <c r="E53" s="455" t="s">
        <v>88</v>
      </c>
      <c r="F53" s="455" t="s">
        <v>41</v>
      </c>
      <c r="G53" s="525" t="s">
        <v>104</v>
      </c>
      <c r="H53"/>
      <c r="I53" s="136"/>
      <c r="J53" s="534" t="s">
        <v>47</v>
      </c>
      <c r="K53" s="534"/>
      <c r="L53" s="455" t="s">
        <v>41</v>
      </c>
      <c r="M53" t="s">
        <v>92</v>
      </c>
      <c r="O53" s="525" t="s">
        <v>105</v>
      </c>
      <c r="P53"/>
      <c r="Q53" s="529"/>
      <c r="R53" s="529"/>
      <c r="S53" s="33"/>
      <c r="T53"/>
      <c r="U53"/>
      <c r="V53"/>
      <c r="W53" s="521"/>
    </row>
    <row r="54" spans="2:23" s="32" customFormat="1" ht="16.5" customHeight="1">
      <c r="B54" s="440"/>
      <c r="C54" s="442"/>
      <c r="D54" s="140" t="s">
        <v>93</v>
      </c>
      <c r="E54" s="140">
        <v>300</v>
      </c>
      <c r="F54" s="607">
        <v>500</v>
      </c>
      <c r="G54" s="957">
        <f>+E54*$F$20*$F$21</f>
        <v>71200.8</v>
      </c>
      <c r="H54" s="957"/>
      <c r="I54" s="957"/>
      <c r="J54" s="608" t="s">
        <v>94</v>
      </c>
      <c r="K54" s="608"/>
      <c r="L54" s="140">
        <v>500</v>
      </c>
      <c r="M54" s="140">
        <v>2</v>
      </c>
      <c r="O54" s="957">
        <f>+M54*$F$20*$M$19</f>
        <v>95089.152</v>
      </c>
      <c r="P54" s="957"/>
      <c r="Q54" s="957"/>
      <c r="R54" s="957"/>
      <c r="S54" s="957"/>
      <c r="T54" s="957"/>
      <c r="U54" s="957"/>
      <c r="V54"/>
      <c r="W54" s="521"/>
    </row>
    <row r="55" spans="2:23" s="32" customFormat="1" ht="16.5" customHeight="1">
      <c r="B55" s="440"/>
      <c r="C55" s="442"/>
      <c r="D55" s="140" t="s">
        <v>95</v>
      </c>
      <c r="E55" s="139">
        <v>300</v>
      </c>
      <c r="F55" s="607">
        <v>500</v>
      </c>
      <c r="G55" s="957">
        <f>+E55*$F$20*$F$21</f>
        <v>71200.8</v>
      </c>
      <c r="H55" s="957"/>
      <c r="I55" s="957"/>
      <c r="J55" s="608" t="s">
        <v>94</v>
      </c>
      <c r="K55" s="608"/>
      <c r="L55" s="140">
        <v>132</v>
      </c>
      <c r="M55" s="140">
        <v>9</v>
      </c>
      <c r="O55" s="957">
        <f>+M55*$F$20*$M$21</f>
        <v>342339.696</v>
      </c>
      <c r="P55" s="957"/>
      <c r="Q55" s="957"/>
      <c r="R55" s="957"/>
      <c r="S55" s="957"/>
      <c r="T55" s="957"/>
      <c r="U55" s="957"/>
      <c r="V55"/>
      <c r="W55" s="521"/>
    </row>
    <row r="56" spans="2:23" s="32" customFormat="1" ht="16.5" customHeight="1">
      <c r="B56" s="440"/>
      <c r="C56" s="442"/>
      <c r="D56" s="138" t="s">
        <v>96</v>
      </c>
      <c r="E56" s="139">
        <v>300</v>
      </c>
      <c r="F56" s="607">
        <v>500</v>
      </c>
      <c r="G56" s="957">
        <f>+E56*$F$20*$F$21</f>
        <v>71200.8</v>
      </c>
      <c r="H56" s="957"/>
      <c r="I56" s="957"/>
      <c r="J56" s="608" t="s">
        <v>97</v>
      </c>
      <c r="K56" s="608"/>
      <c r="L56" s="140">
        <v>132</v>
      </c>
      <c r="M56" s="140">
        <v>8</v>
      </c>
      <c r="O56" s="957">
        <f>+M56*$F$20*$M$21</f>
        <v>304301.952</v>
      </c>
      <c r="P56" s="957"/>
      <c r="Q56" s="957"/>
      <c r="R56" s="957"/>
      <c r="S56" s="957"/>
      <c r="T56" s="957"/>
      <c r="U56" s="957"/>
      <c r="V56"/>
      <c r="W56" s="521"/>
    </row>
    <row r="57" spans="1:23" ht="16.5" customHeight="1">
      <c r="A57" s="32"/>
      <c r="B57" s="440"/>
      <c r="C57" s="442"/>
      <c r="D57" s="138" t="s">
        <v>98</v>
      </c>
      <c r="E57" s="139">
        <v>300</v>
      </c>
      <c r="F57" s="607">
        <v>500</v>
      </c>
      <c r="G57" s="957">
        <f>+E57*$F$20*$F$21</f>
        <v>71200.8</v>
      </c>
      <c r="H57" s="957"/>
      <c r="I57" s="957"/>
      <c r="J57" s="608" t="s">
        <v>99</v>
      </c>
      <c r="K57" s="608"/>
      <c r="L57" s="140">
        <v>132</v>
      </c>
      <c r="M57" s="140">
        <v>5</v>
      </c>
      <c r="O57" s="965">
        <f>+M57*$F$20*$M$21</f>
        <v>190188.72</v>
      </c>
      <c r="P57" s="965"/>
      <c r="Q57" s="965"/>
      <c r="R57" s="965"/>
      <c r="S57" s="965"/>
      <c r="T57" s="965"/>
      <c r="U57" s="965"/>
      <c r="W57" s="521"/>
    </row>
    <row r="58" spans="1:23" ht="16.5" customHeight="1">
      <c r="A58" s="32"/>
      <c r="B58" s="440"/>
      <c r="C58" s="442"/>
      <c r="D58" s="138" t="s">
        <v>126</v>
      </c>
      <c r="E58" s="139">
        <v>600</v>
      </c>
      <c r="F58" s="607">
        <v>500</v>
      </c>
      <c r="G58" s="965">
        <f>+E58*$F$20*$F$21</f>
        <v>142401.6</v>
      </c>
      <c r="H58" s="965"/>
      <c r="I58" s="965"/>
      <c r="M58" s="140"/>
      <c r="O58" s="957">
        <f>SUM(O54:P57)</f>
        <v>931919.52</v>
      </c>
      <c r="P58" s="957"/>
      <c r="Q58" s="957"/>
      <c r="R58" s="957"/>
      <c r="S58" s="957"/>
      <c r="T58" s="957"/>
      <c r="U58" s="957"/>
      <c r="W58" s="521"/>
    </row>
    <row r="59" spans="1:23" ht="16.5" customHeight="1">
      <c r="A59" s="32"/>
      <c r="B59" s="440"/>
      <c r="C59" s="442"/>
      <c r="D59" s="138"/>
      <c r="E59" s="139"/>
      <c r="F59" s="607"/>
      <c r="G59" s="966">
        <f>SUM(G54:G58)</f>
        <v>427204.80000000005</v>
      </c>
      <c r="H59" s="966"/>
      <c r="I59" s="966"/>
      <c r="M59" s="140"/>
      <c r="N59" s="136"/>
      <c r="O59" s="136"/>
      <c r="P59" s="561"/>
      <c r="Q59" s="561"/>
      <c r="R59" s="561"/>
      <c r="S59" s="561"/>
      <c r="W59" s="521"/>
    </row>
    <row r="60" spans="1:23" ht="16.5" customHeight="1">
      <c r="A60" s="32"/>
      <c r="B60" s="440"/>
      <c r="C60" s="442"/>
      <c r="D60" s="524"/>
      <c r="E60" s="535"/>
      <c r="F60" s="535"/>
      <c r="G60" s="455"/>
      <c r="I60" s="527"/>
      <c r="J60" s="525"/>
      <c r="L60" s="526"/>
      <c r="M60" s="527"/>
      <c r="N60" s="528"/>
      <c r="O60" s="529"/>
      <c r="P60" s="529"/>
      <c r="Q60" s="529"/>
      <c r="R60" s="529"/>
      <c r="S60" s="529"/>
      <c r="W60" s="521"/>
    </row>
    <row r="61" spans="1:23" ht="16.5" customHeight="1">
      <c r="A61" s="32"/>
      <c r="B61" s="440"/>
      <c r="C61" s="442"/>
      <c r="D61" s="946" t="s">
        <v>297</v>
      </c>
      <c r="E61" s="139" t="s">
        <v>298</v>
      </c>
      <c r="F61" s="947">
        <v>5176</v>
      </c>
      <c r="G61" s="945" t="s">
        <v>293</v>
      </c>
      <c r="I61" s="527"/>
      <c r="J61" s="525"/>
      <c r="L61" s="526"/>
      <c r="M61" s="527"/>
      <c r="N61" s="528"/>
      <c r="O61" s="529"/>
      <c r="P61" s="529"/>
      <c r="Q61" s="529"/>
      <c r="R61" s="529"/>
      <c r="S61" s="529"/>
      <c r="W61" s="521"/>
    </row>
    <row r="62" spans="1:23" ht="16.5" customHeight="1" thickBot="1">
      <c r="A62" s="32"/>
      <c r="B62" s="440"/>
      <c r="C62" s="442"/>
      <c r="D62" s="524"/>
      <c r="E62" s="535"/>
      <c r="F62" s="535"/>
      <c r="G62" s="455"/>
      <c r="I62" s="527"/>
      <c r="J62" s="525"/>
      <c r="L62" s="526"/>
      <c r="M62" s="527"/>
      <c r="N62" s="528"/>
      <c r="O62" s="529"/>
      <c r="P62" s="529"/>
      <c r="Q62" s="529"/>
      <c r="R62" s="529"/>
      <c r="S62" s="529"/>
      <c r="W62" s="521"/>
    </row>
    <row r="63" spans="1:23" ht="16.5" customHeight="1" thickBot="1" thickTop="1">
      <c r="A63" s="32"/>
      <c r="B63" s="440"/>
      <c r="C63" s="441" t="s">
        <v>299</v>
      </c>
      <c r="D63" s="948" t="s">
        <v>300</v>
      </c>
      <c r="E63" s="535"/>
      <c r="F63" s="535"/>
      <c r="G63" s="455"/>
      <c r="I63" s="450" t="s">
        <v>42</v>
      </c>
      <c r="J63" s="577">
        <f>+G59+O58+F61</f>
        <v>1364300.32</v>
      </c>
      <c r="L63" s="526"/>
      <c r="M63" s="527"/>
      <c r="N63" s="528"/>
      <c r="O63" s="529"/>
      <c r="P63" s="529"/>
      <c r="Q63" s="529"/>
      <c r="R63" s="529"/>
      <c r="S63" s="529"/>
      <c r="W63" s="521"/>
    </row>
    <row r="64" spans="1:23" ht="16.5" customHeight="1" thickTop="1">
      <c r="A64" s="32"/>
      <c r="B64" s="440"/>
      <c r="C64" s="442"/>
      <c r="D64" s="455"/>
      <c r="E64" s="562"/>
      <c r="F64" s="562"/>
      <c r="G64" s="530"/>
      <c r="H64" s="165"/>
      <c r="L64" s="532"/>
      <c r="M64" s="165"/>
      <c r="N64" s="533"/>
      <c r="O64" s="561"/>
      <c r="P64" s="561"/>
      <c r="Q64" s="561"/>
      <c r="R64" s="561"/>
      <c r="S64" s="561"/>
      <c r="W64" s="521"/>
    </row>
    <row r="65" spans="2:23" ht="16.5" customHeight="1">
      <c r="B65" s="440"/>
      <c r="C65" s="522" t="s">
        <v>82</v>
      </c>
      <c r="D65" s="537" t="s">
        <v>83</v>
      </c>
      <c r="E65" s="455"/>
      <c r="F65" s="538"/>
      <c r="G65" s="454"/>
      <c r="H65" s="432"/>
      <c r="I65" s="432"/>
      <c r="J65" s="432"/>
      <c r="K65" s="455"/>
      <c r="L65" s="455"/>
      <c r="M65" s="432"/>
      <c r="N65" s="455"/>
      <c r="O65" s="432"/>
      <c r="P65" s="432"/>
      <c r="Q65" s="432"/>
      <c r="R65" s="432"/>
      <c r="S65" s="432"/>
      <c r="T65" s="432"/>
      <c r="U65" s="432"/>
      <c r="W65" s="521"/>
    </row>
    <row r="66" spans="2:23" s="32" customFormat="1" ht="16.5" customHeight="1">
      <c r="B66" s="440"/>
      <c r="C66" s="442"/>
      <c r="D66" s="524" t="s">
        <v>84</v>
      </c>
      <c r="E66" s="539">
        <f>10*J49*J25/J63</f>
        <v>1852.5217409771335</v>
      </c>
      <c r="G66" s="454"/>
      <c r="L66" s="455"/>
      <c r="N66" s="455"/>
      <c r="O66" s="456"/>
      <c r="V66"/>
      <c r="W66" s="521"/>
    </row>
    <row r="67" spans="2:23" s="32" customFormat="1" ht="12.75" customHeight="1" thickBot="1">
      <c r="B67" s="440"/>
      <c r="C67" s="442"/>
      <c r="E67" s="540"/>
      <c r="F67" s="449"/>
      <c r="G67" s="454"/>
      <c r="J67" s="454"/>
      <c r="K67" s="458"/>
      <c r="L67" s="455"/>
      <c r="M67" s="455"/>
      <c r="N67" s="455"/>
      <c r="O67" s="456"/>
      <c r="P67" s="455"/>
      <c r="Q67" s="455"/>
      <c r="R67" s="457"/>
      <c r="S67" s="457"/>
      <c r="T67" s="457"/>
      <c r="U67" s="541"/>
      <c r="V67"/>
      <c r="W67" s="521"/>
    </row>
    <row r="68" spans="2:23" ht="16.5" customHeight="1" thickBot="1" thickTop="1">
      <c r="B68" s="440"/>
      <c r="C68" s="442"/>
      <c r="D68" s="542" t="s">
        <v>100</v>
      </c>
      <c r="E68" s="543"/>
      <c r="F68" s="449"/>
      <c r="G68" s="454"/>
      <c r="H68" s="432"/>
      <c r="I68" s="551" t="s">
        <v>85</v>
      </c>
      <c r="J68" s="552">
        <f>IF(E66&gt;3*J25,J25*3,E66)</f>
        <v>1852.5217409771335</v>
      </c>
      <c r="N68" s="455"/>
      <c r="O68" s="456"/>
      <c r="P68" s="455"/>
      <c r="Q68" s="455"/>
      <c r="R68" s="527"/>
      <c r="S68" s="527"/>
      <c r="T68" s="527"/>
      <c r="U68" s="528"/>
      <c r="W68" s="521"/>
    </row>
    <row r="69" spans="2:23" ht="16.5" customHeight="1" thickBot="1" thickTop="1">
      <c r="B69" s="5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185"/>
      <c r="W69" s="557"/>
    </row>
    <row r="70" ht="13.5" thickTop="1"/>
  </sheetData>
  <sheetProtection password="CC12"/>
  <mergeCells count="24">
    <mergeCell ref="G59:I59"/>
    <mergeCell ref="E43:F43"/>
    <mergeCell ref="E44:F44"/>
    <mergeCell ref="E45:F45"/>
    <mergeCell ref="E46:F46"/>
    <mergeCell ref="G58:I58"/>
    <mergeCell ref="G54:I54"/>
    <mergeCell ref="G55:I55"/>
    <mergeCell ref="G56:I56"/>
    <mergeCell ref="G57:I57"/>
    <mergeCell ref="O57:U57"/>
    <mergeCell ref="O58:U58"/>
    <mergeCell ref="O55:U55"/>
    <mergeCell ref="O56:U56"/>
    <mergeCell ref="O54:U54"/>
    <mergeCell ref="E47:F47"/>
    <mergeCell ref="N36:O36"/>
    <mergeCell ref="E36:F36"/>
    <mergeCell ref="E37:F37"/>
    <mergeCell ref="E38:F38"/>
    <mergeCell ref="E39:F39"/>
    <mergeCell ref="E40:F40"/>
    <mergeCell ref="E41:F41"/>
    <mergeCell ref="E42:F42"/>
  </mergeCells>
  <printOptions horizontalCentered="1"/>
  <pageMargins left="0.3" right="0.1968503937007874" top="0.51" bottom="0.76" header="0.35" footer="0.46"/>
  <pageSetup orientation="landscape" paperSize="9" scale="42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AG67"/>
  <sheetViews>
    <sheetView zoomScale="50" zoomScaleNormal="50" workbookViewId="0" topLeftCell="A11">
      <selection activeCell="M65" sqref="M65:O65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8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1"/>
    </row>
    <row r="2" spans="1:23" ht="27" customHeight="1">
      <c r="A2" s="8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38" customFormat="1" ht="30.75">
      <c r="A3" s="435"/>
      <c r="B3" s="436" t="str">
        <f>'TOT-0709'!B2</f>
        <v>ANEXO II al Memorándum D.T.E.E. N° 256 /2011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AB3" s="437"/>
      <c r="AC3" s="437"/>
      <c r="AD3" s="437"/>
    </row>
    <row r="4" spans="1:2" s="25" customFormat="1" ht="11.25">
      <c r="A4" s="558" t="s">
        <v>1</v>
      </c>
      <c r="B4" s="559"/>
    </row>
    <row r="5" spans="1:2" s="25" customFormat="1" ht="12" thickBot="1">
      <c r="A5" s="558" t="s">
        <v>2</v>
      </c>
      <c r="B5" s="558"/>
    </row>
    <row r="6" spans="1:30" ht="16.5" customHeight="1" thickTop="1">
      <c r="A6" s="5"/>
      <c r="B6" s="69"/>
      <c r="C6" s="70"/>
      <c r="D6" s="70"/>
      <c r="E6" s="186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49"/>
      <c r="X6" s="749"/>
      <c r="Y6" s="749"/>
      <c r="Z6" s="749"/>
      <c r="AA6" s="749"/>
      <c r="AB6" s="749"/>
      <c r="AC6" s="749"/>
      <c r="AD6" s="92"/>
    </row>
    <row r="7" spans="1:30" ht="20.25">
      <c r="A7" s="5"/>
      <c r="B7" s="50"/>
      <c r="C7" s="4"/>
      <c r="D7" s="167" t="s">
        <v>73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67" t="s">
        <v>74</v>
      </c>
      <c r="E9" s="43"/>
      <c r="F9" s="43"/>
      <c r="G9" s="43"/>
      <c r="H9" s="43"/>
      <c r="N9" s="43"/>
      <c r="O9" s="43"/>
      <c r="P9" s="187"/>
      <c r="Q9" s="187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88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67" t="s">
        <v>225</v>
      </c>
      <c r="E11" s="43"/>
      <c r="F11" s="43"/>
      <c r="G11" s="43"/>
      <c r="H11" s="43"/>
      <c r="N11" s="43"/>
      <c r="O11" s="43"/>
      <c r="P11" s="187"/>
      <c r="Q11" s="187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88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'TOT-0709'!B14</f>
        <v>Desde el 01 al 31 de julio de 2009</v>
      </c>
      <c r="C13" s="38"/>
      <c r="D13" s="40"/>
      <c r="E13" s="40"/>
      <c r="F13" s="40"/>
      <c r="G13" s="40"/>
      <c r="H13" s="40"/>
      <c r="I13" s="41"/>
      <c r="J13" s="16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4"/>
      <c r="V13" s="124"/>
      <c r="W13"/>
      <c r="X13" s="750"/>
      <c r="Y13" s="750"/>
      <c r="Z13" s="750"/>
      <c r="AA13" s="750"/>
      <c r="AB13" s="124"/>
      <c r="AC13" s="165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43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37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37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56" t="s">
        <v>75</v>
      </c>
      <c r="D17" s="54" t="s">
        <v>76</v>
      </c>
      <c r="E17" s="66"/>
      <c r="F17" s="66"/>
      <c r="G17" s="4"/>
      <c r="H17" s="4"/>
      <c r="I17" s="4"/>
      <c r="J17" s="43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440"/>
      <c r="C18" s="33"/>
      <c r="D18" s="441"/>
      <c r="E18" s="747"/>
      <c r="F18" s="442"/>
      <c r="G18" s="33"/>
      <c r="H18" s="33"/>
      <c r="I18" s="33"/>
      <c r="J18" s="443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44"/>
    </row>
    <row r="19" spans="2:30" s="32" customFormat="1" ht="16.5" customHeight="1">
      <c r="B19" s="440"/>
      <c r="C19" s="33"/>
      <c r="D19" s="751" t="s">
        <v>226</v>
      </c>
      <c r="F19" s="445">
        <v>117.179</v>
      </c>
      <c r="G19" s="751" t="s">
        <v>227</v>
      </c>
      <c r="H19" s="33"/>
      <c r="I19" s="33"/>
      <c r="J19" s="446"/>
      <c r="K19" s="447" t="s">
        <v>38</v>
      </c>
      <c r="L19" s="448">
        <v>0.04</v>
      </c>
      <c r="R19" s="33"/>
      <c r="S19" s="33"/>
      <c r="T19" s="33"/>
      <c r="U19" s="33"/>
      <c r="V19" s="33"/>
      <c r="W19"/>
      <c r="AD19" s="444"/>
    </row>
    <row r="20" spans="2:30" s="32" customFormat="1" ht="16.5" customHeight="1">
      <c r="B20" s="440"/>
      <c r="C20" s="33"/>
      <c r="D20" s="751" t="s">
        <v>228</v>
      </c>
      <c r="F20" s="445">
        <v>0.319</v>
      </c>
      <c r="G20" s="751" t="s">
        <v>86</v>
      </c>
      <c r="H20" s="33"/>
      <c r="I20" s="33"/>
      <c r="J20" s="33"/>
      <c r="K20" s="441" t="s">
        <v>36</v>
      </c>
      <c r="L20" s="33">
        <f>MID(B13,16,2)*24</f>
        <v>744</v>
      </c>
      <c r="M20" s="33" t="s">
        <v>37</v>
      </c>
      <c r="N20" s="33"/>
      <c r="O20" s="33"/>
      <c r="P20" s="560"/>
      <c r="Q20" s="33"/>
      <c r="R20" s="33"/>
      <c r="S20" s="33"/>
      <c r="T20" s="33"/>
      <c r="U20" s="33"/>
      <c r="V20" s="33"/>
      <c r="W20"/>
      <c r="AD20" s="444"/>
    </row>
    <row r="21" spans="2:30" s="32" customFormat="1" ht="16.5" customHeight="1">
      <c r="B21" s="440"/>
      <c r="C21" s="33"/>
      <c r="D21" s="751"/>
      <c r="F21" s="445"/>
      <c r="G21" s="751"/>
      <c r="H21" s="33"/>
      <c r="I21" s="33"/>
      <c r="J21" s="33"/>
      <c r="K21" s="192"/>
      <c r="L21" s="193"/>
      <c r="M21" s="33"/>
      <c r="N21" s="33"/>
      <c r="O21" s="33"/>
      <c r="P21" s="560"/>
      <c r="Q21" s="33"/>
      <c r="R21" s="33"/>
      <c r="S21" s="33"/>
      <c r="T21" s="33"/>
      <c r="U21" s="33"/>
      <c r="V21" s="33"/>
      <c r="W21"/>
      <c r="AD21" s="444"/>
    </row>
    <row r="22" spans="2:30" s="32" customFormat="1" ht="16.5" customHeight="1">
      <c r="B22" s="440"/>
      <c r="C22" s="33"/>
      <c r="D22" s="751"/>
      <c r="F22" s="445"/>
      <c r="G22" s="751"/>
      <c r="H22" s="33"/>
      <c r="I22" s="33"/>
      <c r="J22" s="33"/>
      <c r="K22" s="192"/>
      <c r="L22" s="193"/>
      <c r="M22" s="33"/>
      <c r="N22" s="33"/>
      <c r="O22" s="33"/>
      <c r="P22" s="560"/>
      <c r="Q22" s="33"/>
      <c r="R22" s="33"/>
      <c r="S22" s="33"/>
      <c r="T22" s="33"/>
      <c r="U22" s="33"/>
      <c r="V22" s="33"/>
      <c r="W22"/>
      <c r="AD22" s="444"/>
    </row>
    <row r="23" spans="2:30" s="32" customFormat="1" ht="8.25" customHeight="1">
      <c r="B23" s="440"/>
      <c r="C23" s="33"/>
      <c r="D23" s="33"/>
      <c r="E23" s="449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/>
      <c r="AD23" s="444"/>
    </row>
    <row r="24" spans="1:30" ht="16.5" customHeight="1">
      <c r="A24" s="5"/>
      <c r="B24" s="50"/>
      <c r="C24" s="156" t="s">
        <v>77</v>
      </c>
      <c r="D24" s="3" t="s">
        <v>101</v>
      </c>
      <c r="I24" s="4"/>
      <c r="J24" s="32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7"/>
    </row>
    <row r="25" spans="1:30" ht="10.5" customHeight="1" thickBot="1">
      <c r="A25" s="5"/>
      <c r="B25" s="50"/>
      <c r="C25" s="66"/>
      <c r="D25" s="3"/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2:30" s="32" customFormat="1" ht="16.5" customHeight="1" thickBot="1" thickTop="1">
      <c r="B26" s="440"/>
      <c r="C26" s="442"/>
      <c r="D26"/>
      <c r="E26"/>
      <c r="F26"/>
      <c r="G26"/>
      <c r="H26"/>
      <c r="I26"/>
      <c r="J26" s="450" t="s">
        <v>43</v>
      </c>
      <c r="K26" s="752">
        <f>L19*AC59</f>
        <v>20917.5425216</v>
      </c>
      <c r="L26"/>
      <c r="S26"/>
      <c r="T26"/>
      <c r="U26"/>
      <c r="W26"/>
      <c r="AD26" s="444"/>
    </row>
    <row r="27" spans="2:30" s="32" customFormat="1" ht="11.25" customHeight="1" thickTop="1">
      <c r="B27" s="440"/>
      <c r="C27" s="442"/>
      <c r="D27" s="33"/>
      <c r="E27" s="449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/>
      <c r="W27"/>
      <c r="AD27" s="444"/>
    </row>
    <row r="28" spans="1:30" ht="16.5" customHeight="1">
      <c r="A28" s="5"/>
      <c r="B28" s="50"/>
      <c r="C28" s="156" t="s">
        <v>78</v>
      </c>
      <c r="D28" s="3" t="s">
        <v>102</v>
      </c>
      <c r="E28" s="19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7"/>
    </row>
    <row r="29" spans="1:30" ht="21.75" customHeight="1" thickBot="1">
      <c r="A29" s="5"/>
      <c r="B29" s="50"/>
      <c r="C29" s="4"/>
      <c r="D29" s="4"/>
      <c r="E29" s="19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2:31" s="5" customFormat="1" ht="33.75" customHeight="1" thickBot="1" thickTop="1">
      <c r="B30" s="50"/>
      <c r="C30" s="84" t="s">
        <v>12</v>
      </c>
      <c r="D30" s="753" t="s">
        <v>0</v>
      </c>
      <c r="E30" s="170" t="s">
        <v>13</v>
      </c>
      <c r="F30" s="754" t="s">
        <v>14</v>
      </c>
      <c r="G30" s="195" t="s">
        <v>56</v>
      </c>
      <c r="H30" s="755" t="s">
        <v>35</v>
      </c>
      <c r="I30" s="133" t="s">
        <v>15</v>
      </c>
      <c r="J30" s="85" t="s">
        <v>16</v>
      </c>
      <c r="K30" s="171" t="s">
        <v>17</v>
      </c>
      <c r="L30" s="87" t="s">
        <v>34</v>
      </c>
      <c r="M30" s="86" t="s">
        <v>29</v>
      </c>
      <c r="N30" s="87" t="s">
        <v>229</v>
      </c>
      <c r="O30" s="87" t="s">
        <v>44</v>
      </c>
      <c r="P30" s="171" t="s">
        <v>45</v>
      </c>
      <c r="Q30" s="85" t="s">
        <v>30</v>
      </c>
      <c r="R30" s="756" t="s">
        <v>19</v>
      </c>
      <c r="S30" s="757" t="s">
        <v>20</v>
      </c>
      <c r="T30" s="758" t="s">
        <v>230</v>
      </c>
      <c r="U30" s="759"/>
      <c r="V30" s="760"/>
      <c r="W30" s="761" t="s">
        <v>231</v>
      </c>
      <c r="X30" s="762"/>
      <c r="Y30" s="763"/>
      <c r="Z30" s="764" t="s">
        <v>21</v>
      </c>
      <c r="AA30" s="765" t="s">
        <v>232</v>
      </c>
      <c r="AB30" s="766" t="s">
        <v>58</v>
      </c>
      <c r="AC30" s="119" t="s">
        <v>22</v>
      </c>
      <c r="AD30" s="201"/>
      <c r="AE30"/>
    </row>
    <row r="31" spans="1:30" ht="16.5" customHeight="1" thickTop="1">
      <c r="A31" s="5"/>
      <c r="B31" s="50"/>
      <c r="C31" s="7"/>
      <c r="D31" s="767"/>
      <c r="E31" s="768"/>
      <c r="F31" s="769"/>
      <c r="G31" s="770"/>
      <c r="H31" s="771"/>
      <c r="I31" s="772"/>
      <c r="J31" s="773"/>
      <c r="K31" s="774"/>
      <c r="L31" s="7"/>
      <c r="M31" s="7"/>
      <c r="N31" s="775"/>
      <c r="O31" s="775"/>
      <c r="P31" s="7"/>
      <c r="Q31" s="748"/>
      <c r="R31" s="776"/>
      <c r="S31" s="777"/>
      <c r="T31" s="778"/>
      <c r="U31" s="779"/>
      <c r="V31" s="780"/>
      <c r="W31" s="781"/>
      <c r="X31" s="782"/>
      <c r="Y31" s="783"/>
      <c r="Z31" s="784"/>
      <c r="AA31" s="785"/>
      <c r="AB31" s="786"/>
      <c r="AC31" s="787"/>
      <c r="AD31" s="17"/>
    </row>
    <row r="32" spans="1:30" ht="16.5" customHeight="1">
      <c r="A32" s="5"/>
      <c r="B32" s="50"/>
      <c r="C32" s="681" t="s">
        <v>108</v>
      </c>
      <c r="D32" s="637" t="s">
        <v>257</v>
      </c>
      <c r="E32" s="638">
        <v>500</v>
      </c>
      <c r="F32" s="679">
        <v>202.17</v>
      </c>
      <c r="G32" s="638" t="s">
        <v>133</v>
      </c>
      <c r="H32" s="789">
        <f>IF(G32="A",200,IF(G32="B",60,20))</f>
        <v>20</v>
      </c>
      <c r="I32" s="790">
        <f>IF(F32&gt;100,F32,100)*$F$19/100</f>
        <v>236.90078429999997</v>
      </c>
      <c r="J32" s="629">
        <v>40013.37777777778</v>
      </c>
      <c r="K32" s="630">
        <v>40013.6125</v>
      </c>
      <c r="L32" s="792">
        <f>IF(D32="","",(K32-J32)*24)</f>
        <v>5.633333333360497</v>
      </c>
      <c r="M32" s="358">
        <f>IF(D32="","",ROUND((K32-J32)*24*60,0))</f>
        <v>338</v>
      </c>
      <c r="N32" s="451" t="s">
        <v>134</v>
      </c>
      <c r="O32" s="452" t="str">
        <f>IF(D32="","","--")</f>
        <v>--</v>
      </c>
      <c r="P32" s="209" t="str">
        <f>IF(D32="","","NO")</f>
        <v>NO</v>
      </c>
      <c r="Q32" s="209" t="str">
        <f>IF(D32="","",IF(OR(N32="P",N32="RP"),"--","NO"))</f>
        <v>--</v>
      </c>
      <c r="R32" s="793">
        <f>IF(N32="P",+I32*H32*ROUND(M32/60,2)/100,"--")</f>
        <v>266.7502831218</v>
      </c>
      <c r="S32" s="794" t="str">
        <f>IF(N32="RP",I32*H32*ROUND(M32/60,2)*0.01*O32/100,"--")</f>
        <v>--</v>
      </c>
      <c r="T32" s="795" t="str">
        <f>IF(AND(N32="F",Q32="NO"),IF(P32="SI",1.2,1)*I32*H32,"--")</f>
        <v>--</v>
      </c>
      <c r="U32" s="796" t="str">
        <f>IF(AND(M32&gt;10,N32="F"),IF(M32&lt;=300,ROUND(M32/60,2),5)*I32*H32*IF(P32="SI",1.2,1),"--")</f>
        <v>--</v>
      </c>
      <c r="V32" s="797" t="str">
        <f>IF(AND(N32="F",M32&gt;300),IF(P32="SI",1.2,1)*(ROUND(M32/60,2)-5)*I32*H32*0.1,"--")</f>
        <v>--</v>
      </c>
      <c r="W32" s="798" t="str">
        <f>IF(AND(N32="R",Q32="NO"),IF(P32="SI",1.2,1)*I32*H32*O32/100,"--")</f>
        <v>--</v>
      </c>
      <c r="X32" s="799" t="str">
        <f>IF(AND(M32&gt;10,N32="R"),IF(M32&lt;=300,ROUND(M32/60,2),5)*I32*H32*O32/100*IF(P32="SI",1.2,1),"--")</f>
        <v>--</v>
      </c>
      <c r="Y32" s="800" t="str">
        <f>IF(AND(N32="R",M32&gt;300),IF(P32="SI",1.2,1)*(ROUND(M32/60,2)-5)*I32*H32*O32/100*0.1,"--")</f>
        <v>--</v>
      </c>
      <c r="Z32" s="801" t="str">
        <f>IF(N32="RF",IF(P32="SI",1.2,1)*ROUND(M32/60,2)*I32*H32*0.1,"--")</f>
        <v>--</v>
      </c>
      <c r="AA32" s="802" t="str">
        <f>IF(N32="RR",IF(P32="SI",1.2,1)*ROUND(M32/60,2)*I32*H32*O32/100*0.1,"--")</f>
        <v>--</v>
      </c>
      <c r="AB32" s="803" t="str">
        <f>IF(D32="","","SI")</f>
        <v>SI</v>
      </c>
      <c r="AC32" s="16">
        <f>IF(D32="","",SUM(R32:AA32)*IF(AB32="SI",1,2))</f>
        <v>266.7502831218</v>
      </c>
      <c r="AD32" s="17"/>
    </row>
    <row r="33" spans="1:30" ht="16.5" customHeight="1">
      <c r="A33" s="5"/>
      <c r="B33" s="50"/>
      <c r="C33" s="681" t="s">
        <v>109</v>
      </c>
      <c r="D33" s="7"/>
      <c r="E33" s="433"/>
      <c r="F33" s="804"/>
      <c r="G33" s="788"/>
      <c r="H33" s="789">
        <f>IF(G33="A",200,IF(G33="B",60,20))</f>
        <v>20</v>
      </c>
      <c r="I33" s="790">
        <f>IF(F33&gt;100,F33,100)*$F$19/100</f>
        <v>117.179</v>
      </c>
      <c r="J33" s="791"/>
      <c r="K33" s="434"/>
      <c r="L33" s="792">
        <f>IF(D33="","",(K33-J33)*24)</f>
      </c>
      <c r="M33" s="358">
        <f>IF(D33="","",ROUND((K33-J33)*24*60,0))</f>
      </c>
      <c r="N33" s="451"/>
      <c r="O33" s="452">
        <f>IF(D33="","","--")</f>
      </c>
      <c r="P33" s="209">
        <f>IF(D33="","","NO")</f>
      </c>
      <c r="Q33" s="209">
        <f>IF(D33="","",IF(OR(N33="P",N33="RP"),"--","NO"))</f>
      </c>
      <c r="R33" s="793" t="str">
        <f>IF(N33="P",+I33*H33*ROUND(M33/60,2)/100,"--")</f>
        <v>--</v>
      </c>
      <c r="S33" s="794" t="str">
        <f>IF(N33="RP",I33*H33*ROUND(M33/60,2)*0.01*O33/100,"--")</f>
        <v>--</v>
      </c>
      <c r="T33" s="795" t="str">
        <f>IF(AND(N33="F",Q33="NO"),IF(P33="SI",1.2,1)*I33*H33,"--")</f>
        <v>--</v>
      </c>
      <c r="U33" s="796" t="str">
        <f>IF(AND(M33&gt;10,N33="F"),IF(M33&lt;=300,ROUND(M33/60,2),5)*I33*H33*IF(P33="SI",1.2,1),"--")</f>
        <v>--</v>
      </c>
      <c r="V33" s="797" t="str">
        <f>IF(AND(N33="F",M33&gt;300),IF(P33="SI",1.2,1)*(ROUND(M33/60,2)-5)*I33*H33*0.1,"--")</f>
        <v>--</v>
      </c>
      <c r="W33" s="798" t="str">
        <f>IF(AND(N33="R",Q33="NO"),IF(P33="SI",1.2,1)*I33*H33*O33/100,"--")</f>
        <v>--</v>
      </c>
      <c r="X33" s="799" t="str">
        <f>IF(AND(M33&gt;10,N33="R"),IF(M33&lt;=300,ROUND(M33/60,2),5)*I33*H33*O33/100*IF(P33="SI",1.2,1),"--")</f>
        <v>--</v>
      </c>
      <c r="Y33" s="800" t="str">
        <f>IF(AND(N33="R",M33&gt;300),IF(P33="SI",1.2,1)*(ROUND(M33/60,2)-5)*I33*H33*O33/100*0.1,"--")</f>
        <v>--</v>
      </c>
      <c r="Z33" s="801" t="str">
        <f>IF(N33="RF",IF(P33="SI",1.2,1)*ROUND(M33/60,2)*I33*H33*0.1,"--")</f>
        <v>--</v>
      </c>
      <c r="AA33" s="802" t="str">
        <f>IF(N33="RR",IF(P33="SI",1.2,1)*ROUND(M33/60,2)*I33*H33*O33/100*0.1,"--")</f>
        <v>--</v>
      </c>
      <c r="AB33" s="803">
        <f>IF(D33="","","SI")</f>
      </c>
      <c r="AC33" s="16">
        <f>IF(D33="","",SUM(R33:AA33)*IF(AB33="SI",1,2))</f>
      </c>
      <c r="AD33" s="17"/>
    </row>
    <row r="34" spans="1:30" ht="16.5" customHeight="1">
      <c r="A34" s="5"/>
      <c r="B34" s="50"/>
      <c r="C34" s="681" t="s">
        <v>110</v>
      </c>
      <c r="D34" s="7"/>
      <c r="E34" s="433"/>
      <c r="F34" s="804"/>
      <c r="G34" s="788"/>
      <c r="H34" s="789">
        <f>IF(G34="A",200,IF(G34="B",60,20))</f>
        <v>20</v>
      </c>
      <c r="I34" s="790">
        <f>IF(F34&gt;100,F34,100)*$F$19/100</f>
        <v>117.179</v>
      </c>
      <c r="J34" s="791"/>
      <c r="K34" s="434"/>
      <c r="L34" s="792">
        <f>IF(D34="","",(K34-J34)*24)</f>
      </c>
      <c r="M34" s="358">
        <f>IF(D34="","",ROUND((K34-J34)*24*60,0))</f>
      </c>
      <c r="N34" s="451"/>
      <c r="O34" s="452">
        <f>IF(D34="","","--")</f>
      </c>
      <c r="P34" s="209">
        <f>IF(D34="","","NO")</f>
      </c>
      <c r="Q34" s="209">
        <f>IF(D34="","",IF(OR(N34="P",N34="RP"),"--","NO"))</f>
      </c>
      <c r="R34" s="793" t="str">
        <f>IF(N34="P",+I34*H34*ROUND(M34/60,2)/100,"--")</f>
        <v>--</v>
      </c>
      <c r="S34" s="794" t="str">
        <f>IF(N34="RP",I34*H34*ROUND(M34/60,2)*0.01*O34/100,"--")</f>
        <v>--</v>
      </c>
      <c r="T34" s="795" t="str">
        <f>IF(AND(N34="F",Q34="NO"),IF(P34="SI",1.2,1)*I34*H34,"--")</f>
        <v>--</v>
      </c>
      <c r="U34" s="796" t="str">
        <f>IF(AND(M34&gt;10,N34="F"),IF(M34&lt;=300,ROUND(M34/60,2),5)*I34*H34*IF(P34="SI",1.2,1),"--")</f>
        <v>--</v>
      </c>
      <c r="V34" s="797" t="str">
        <f>IF(AND(N34="F",M34&gt;300),IF(P34="SI",1.2,1)*(ROUND(M34/60,2)-5)*I34*H34*0.1,"--")</f>
        <v>--</v>
      </c>
      <c r="W34" s="798" t="str">
        <f>IF(AND(N34="R",Q34="NO"),IF(P34="SI",1.2,1)*I34*H34*O34/100,"--")</f>
        <v>--</v>
      </c>
      <c r="X34" s="799" t="str">
        <f>IF(AND(M34&gt;10,N34="R"),IF(M34&lt;=300,ROUND(M34/60,2),5)*I34*H34*O34/100*IF(P34="SI",1.2,1),"--")</f>
        <v>--</v>
      </c>
      <c r="Y34" s="800" t="str">
        <f>IF(AND(N34="R",M34&gt;300),IF(P34="SI",1.2,1)*(ROUND(M34/60,2)-5)*I34*H34*O34/100*0.1,"--")</f>
        <v>--</v>
      </c>
      <c r="Z34" s="801" t="str">
        <f>IF(N34="RF",IF(P34="SI",1.2,1)*ROUND(M34/60,2)*I34*H34*0.1,"--")</f>
        <v>--</v>
      </c>
      <c r="AA34" s="802" t="str">
        <f>IF(N34="RR",IF(P34="SI",1.2,1)*ROUND(M34/60,2)*I34*H34*O34/100*0.1,"--")</f>
        <v>--</v>
      </c>
      <c r="AB34" s="803">
        <f>IF(D34="","","SI")</f>
      </c>
      <c r="AC34" s="16">
        <f>IF(D34="","",SUM(R34:AA34)*IF(AB34="SI",1,2))</f>
      </c>
      <c r="AD34" s="17"/>
    </row>
    <row r="35" spans="1:30" ht="16.5" customHeight="1" thickBot="1">
      <c r="A35" s="32"/>
      <c r="B35" s="50"/>
      <c r="C35" s="482"/>
      <c r="D35" s="805"/>
      <c r="E35" s="806"/>
      <c r="F35" s="807"/>
      <c r="G35" s="808"/>
      <c r="H35" s="809"/>
      <c r="I35" s="810"/>
      <c r="J35" s="811"/>
      <c r="K35" s="811"/>
      <c r="L35" s="9"/>
      <c r="M35" s="9"/>
      <c r="N35" s="9"/>
      <c r="O35" s="812"/>
      <c r="P35" s="9"/>
      <c r="Q35" s="9"/>
      <c r="R35" s="813"/>
      <c r="S35" s="814"/>
      <c r="T35" s="815"/>
      <c r="U35" s="816"/>
      <c r="V35" s="817"/>
      <c r="W35" s="818"/>
      <c r="X35" s="819"/>
      <c r="Y35" s="820"/>
      <c r="Z35" s="821"/>
      <c r="AA35" s="822"/>
      <c r="AB35" s="823"/>
      <c r="AC35" s="824"/>
      <c r="AD35" s="215"/>
    </row>
    <row r="36" spans="1:30" ht="16.5" customHeight="1" thickBot="1" thickTop="1">
      <c r="A36" s="32"/>
      <c r="B36" s="50"/>
      <c r="C36" s="442"/>
      <c r="D36" s="442"/>
      <c r="E36" s="453"/>
      <c r="F36" s="449"/>
      <c r="G36" s="454"/>
      <c r="H36" s="454"/>
      <c r="I36" s="455"/>
      <c r="J36" s="455"/>
      <c r="K36" s="455"/>
      <c r="L36" s="455"/>
      <c r="M36" s="455"/>
      <c r="N36" s="455"/>
      <c r="O36" s="456"/>
      <c r="P36" s="455"/>
      <c r="Q36" s="455"/>
      <c r="R36" s="825">
        <f aca="true" t="shared" si="0" ref="R36:AA36">SUM(R31:R35)</f>
        <v>266.7502831218</v>
      </c>
      <c r="S36" s="826">
        <f t="shared" si="0"/>
        <v>0</v>
      </c>
      <c r="T36" s="827">
        <f t="shared" si="0"/>
        <v>0</v>
      </c>
      <c r="U36" s="827">
        <f t="shared" si="0"/>
        <v>0</v>
      </c>
      <c r="V36" s="827">
        <f t="shared" si="0"/>
        <v>0</v>
      </c>
      <c r="W36" s="828">
        <f t="shared" si="0"/>
        <v>0</v>
      </c>
      <c r="X36" s="828">
        <f t="shared" si="0"/>
        <v>0</v>
      </c>
      <c r="Y36" s="828">
        <f t="shared" si="0"/>
        <v>0</v>
      </c>
      <c r="Z36" s="829">
        <f t="shared" si="0"/>
        <v>0</v>
      </c>
      <c r="AA36" s="830">
        <f t="shared" si="0"/>
        <v>0</v>
      </c>
      <c r="AB36" s="831"/>
      <c r="AC36" s="832">
        <f>SUM(AC31:AC35)</f>
        <v>266.7502831218</v>
      </c>
      <c r="AD36" s="215"/>
    </row>
    <row r="37" spans="1:30" ht="13.5" customHeight="1" thickBot="1" thickTop="1">
      <c r="A37" s="32"/>
      <c r="B37" s="50"/>
      <c r="C37" s="442"/>
      <c r="D37" s="442"/>
      <c r="E37" s="453"/>
      <c r="F37" s="449"/>
      <c r="G37" s="454"/>
      <c r="H37" s="454"/>
      <c r="I37" s="455"/>
      <c r="J37" s="455"/>
      <c r="K37" s="455"/>
      <c r="L37" s="455"/>
      <c r="M37" s="455"/>
      <c r="N37" s="455"/>
      <c r="O37" s="456"/>
      <c r="P37" s="455"/>
      <c r="Q37" s="455"/>
      <c r="R37" s="833"/>
      <c r="S37" s="834"/>
      <c r="T37" s="835"/>
      <c r="U37" s="835"/>
      <c r="V37" s="835"/>
      <c r="W37" s="833"/>
      <c r="X37" s="833"/>
      <c r="Y37" s="833"/>
      <c r="Z37" s="833"/>
      <c r="AA37" s="833"/>
      <c r="AB37" s="457"/>
      <c r="AC37" s="458"/>
      <c r="AD37" s="215"/>
    </row>
    <row r="38" spans="1:33" s="5" customFormat="1" ht="33.75" customHeight="1" thickBot="1" thickTop="1">
      <c r="A38" s="88"/>
      <c r="B38" s="93"/>
      <c r="C38" s="121" t="s">
        <v>12</v>
      </c>
      <c r="D38" s="117" t="s">
        <v>25</v>
      </c>
      <c r="E38" s="116" t="s">
        <v>26</v>
      </c>
      <c r="F38" s="118" t="s">
        <v>27</v>
      </c>
      <c r="G38" s="119" t="s">
        <v>13</v>
      </c>
      <c r="H38" s="127" t="s">
        <v>15</v>
      </c>
      <c r="I38" s="836"/>
      <c r="J38" s="116" t="s">
        <v>16</v>
      </c>
      <c r="K38" s="116" t="s">
        <v>17</v>
      </c>
      <c r="L38" s="117" t="s">
        <v>28</v>
      </c>
      <c r="M38" s="117" t="s">
        <v>29</v>
      </c>
      <c r="N38" s="87" t="s">
        <v>79</v>
      </c>
      <c r="O38" s="116" t="s">
        <v>30</v>
      </c>
      <c r="P38" s="459" t="s">
        <v>31</v>
      </c>
      <c r="Q38" s="837"/>
      <c r="R38" s="127" t="s">
        <v>32</v>
      </c>
      <c r="S38" s="460" t="s">
        <v>19</v>
      </c>
      <c r="T38" s="461" t="s">
        <v>80</v>
      </c>
      <c r="U38" s="462"/>
      <c r="V38" s="463" t="s">
        <v>21</v>
      </c>
      <c r="W38" s="838"/>
      <c r="X38" s="839"/>
      <c r="Y38" s="839"/>
      <c r="Z38" s="839"/>
      <c r="AA38" s="840"/>
      <c r="AB38" s="130" t="s">
        <v>58</v>
      </c>
      <c r="AC38" s="119" t="s">
        <v>22</v>
      </c>
      <c r="AD38" s="17"/>
      <c r="AF38"/>
      <c r="AG38"/>
    </row>
    <row r="39" spans="1:30" ht="16.5" customHeight="1" thickTop="1">
      <c r="A39" s="5"/>
      <c r="B39" s="50"/>
      <c r="C39" s="7"/>
      <c r="D39" s="10"/>
      <c r="E39" s="10"/>
      <c r="F39" s="10"/>
      <c r="G39" s="464"/>
      <c r="H39" s="465"/>
      <c r="I39" s="841"/>
      <c r="J39" s="10"/>
      <c r="K39" s="10"/>
      <c r="L39" s="10"/>
      <c r="M39" s="10"/>
      <c r="N39" s="10"/>
      <c r="O39" s="466"/>
      <c r="P39" s="842"/>
      <c r="Q39" s="843"/>
      <c r="R39" s="131"/>
      <c r="S39" s="467"/>
      <c r="T39" s="468"/>
      <c r="U39" s="469"/>
      <c r="V39" s="470"/>
      <c r="W39" s="844"/>
      <c r="X39" s="845"/>
      <c r="Y39" s="845"/>
      <c r="Z39" s="845"/>
      <c r="AA39" s="846"/>
      <c r="AB39" s="466"/>
      <c r="AC39" s="471"/>
      <c r="AD39" s="17"/>
    </row>
    <row r="40" spans="1:30" ht="16.5" customHeight="1">
      <c r="A40" s="5"/>
      <c r="B40" s="50"/>
      <c r="C40" s="681" t="s">
        <v>108</v>
      </c>
      <c r="D40" s="262"/>
      <c r="E40" s="262"/>
      <c r="F40" s="262"/>
      <c r="G40" s="263"/>
      <c r="H40" s="476">
        <f>F40*$F$20</f>
        <v>0</v>
      </c>
      <c r="I40" s="847"/>
      <c r="J40" s="477"/>
      <c r="K40" s="477"/>
      <c r="L40" s="280">
        <f>IF(D40="","",(K40-J40)*24)</f>
      </c>
      <c r="M40" s="14">
        <f>IF(D40="","",(K40-J40)*24*60)</f>
      </c>
      <c r="N40" s="13"/>
      <c r="O40" s="8">
        <f>IF(D40="","",IF(OR(N40="P",N40="RP"),"--","NO"))</f>
      </c>
      <c r="P40" s="848">
        <f>IF(D40="","","NO")</f>
      </c>
      <c r="Q40" s="849"/>
      <c r="R40" s="478">
        <f>200*IF(P40="SI",1,0.1)*IF(N40="P",0.1,1)</f>
        <v>20</v>
      </c>
      <c r="S40" s="479" t="str">
        <f>IF(N40="P",H40*R40*ROUND(M40/60,2),"--")</f>
        <v>--</v>
      </c>
      <c r="T40" s="480" t="str">
        <f>IF(AND(N40="F",O40="NO"),H40*R40,"--")</f>
        <v>--</v>
      </c>
      <c r="U40" s="481" t="str">
        <f>IF(N40="F",H40*R40*ROUND(M40/60,2),"--")</f>
        <v>--</v>
      </c>
      <c r="V40" s="352" t="str">
        <f>IF(N40="RF",H40*R40*ROUND(M40/60,2),"--")</f>
        <v>--</v>
      </c>
      <c r="W40" s="850"/>
      <c r="X40" s="851"/>
      <c r="Y40" s="851"/>
      <c r="Z40" s="851"/>
      <c r="AA40" s="852"/>
      <c r="AB40" s="290">
        <f>IF(D40="","","SI")</f>
      </c>
      <c r="AC40" s="291">
        <f>IF(D40="","",SUM(S40:V40)*IF(AB40="SI",1,2))</f>
      </c>
      <c r="AD40" s="17"/>
    </row>
    <row r="41" spans="1:30" ht="16.5" customHeight="1">
      <c r="A41" s="5"/>
      <c r="B41" s="50"/>
      <c r="C41" s="681" t="s">
        <v>109</v>
      </c>
      <c r="D41" s="472"/>
      <c r="E41" s="473"/>
      <c r="F41" s="474"/>
      <c r="G41" s="475"/>
      <c r="H41" s="476">
        <f>F41*$F$20</f>
        <v>0</v>
      </c>
      <c r="I41" s="847"/>
      <c r="J41" s="477"/>
      <c r="K41" s="477"/>
      <c r="L41" s="280">
        <f>IF(D41="","",(K41-J41)*24)</f>
      </c>
      <c r="M41" s="14">
        <f>IF(D41="","",(K41-J41)*24*60)</f>
      </c>
      <c r="N41" s="13"/>
      <c r="O41" s="8">
        <f>IF(D41="","",IF(OR(N41="P",N41="RP"),"--","NO"))</f>
      </c>
      <c r="P41" s="848">
        <f>IF(D41="","","NO")</f>
      </c>
      <c r="Q41" s="849"/>
      <c r="R41" s="478">
        <f>200*IF(P41="SI",1,0.1)*IF(N41="P",0.1,1)</f>
        <v>20</v>
      </c>
      <c r="S41" s="479" t="str">
        <f>IF(N41="P",H41*R41*ROUND(M41/60,2),"--")</f>
        <v>--</v>
      </c>
      <c r="T41" s="480" t="str">
        <f>IF(AND(N41="F",O41="NO"),H41*R41,"--")</f>
        <v>--</v>
      </c>
      <c r="U41" s="481" t="str">
        <f>IF(N41="F",H41*R41*ROUND(M41/60,2),"--")</f>
        <v>--</v>
      </c>
      <c r="V41" s="352" t="str">
        <f>IF(N41="RF",H41*R41*ROUND(M41/60,2),"--")</f>
        <v>--</v>
      </c>
      <c r="W41" s="850"/>
      <c r="X41" s="851"/>
      <c r="Y41" s="851"/>
      <c r="Z41" s="851"/>
      <c r="AA41" s="852"/>
      <c r="AB41" s="290">
        <f>IF(D41="","","SI")</f>
      </c>
      <c r="AC41" s="291">
        <f>IF(D41="","",SUM(S41:V41)*IF(AB41="SI",1,2))</f>
      </c>
      <c r="AD41" s="17"/>
    </row>
    <row r="42" spans="1:30" ht="16.5" customHeight="1" thickBot="1">
      <c r="A42" s="32"/>
      <c r="B42" s="50"/>
      <c r="C42" s="482"/>
      <c r="D42" s="483"/>
      <c r="E42" s="484"/>
      <c r="F42" s="485"/>
      <c r="G42" s="486"/>
      <c r="H42" s="487"/>
      <c r="I42" s="853"/>
      <c r="J42" s="488"/>
      <c r="K42" s="489"/>
      <c r="L42" s="490"/>
      <c r="M42" s="491"/>
      <c r="N42" s="492"/>
      <c r="O42" s="9"/>
      <c r="P42" s="854"/>
      <c r="Q42" s="855"/>
      <c r="R42" s="493"/>
      <c r="S42" s="494"/>
      <c r="T42" s="495"/>
      <c r="U42" s="496"/>
      <c r="V42" s="497"/>
      <c r="W42" s="856"/>
      <c r="X42" s="857"/>
      <c r="Y42" s="857"/>
      <c r="Z42" s="857"/>
      <c r="AA42" s="858"/>
      <c r="AB42" s="498"/>
      <c r="AC42" s="499"/>
      <c r="AD42" s="215"/>
    </row>
    <row r="43" spans="1:30" ht="16.5" customHeight="1" thickBot="1" thickTop="1">
      <c r="A43" s="32"/>
      <c r="B43" s="50"/>
      <c r="C43" s="96"/>
      <c r="D43" s="194"/>
      <c r="E43" s="194"/>
      <c r="F43" s="383"/>
      <c r="G43" s="500"/>
      <c r="H43" s="501"/>
      <c r="I43" s="502"/>
      <c r="J43" s="503"/>
      <c r="K43" s="504"/>
      <c r="L43" s="505"/>
      <c r="M43" s="501"/>
      <c r="N43" s="506"/>
      <c r="O43" s="183"/>
      <c r="P43" s="507"/>
      <c r="Q43" s="508"/>
      <c r="R43" s="509"/>
      <c r="S43" s="509"/>
      <c r="T43" s="509"/>
      <c r="U43" s="184"/>
      <c r="V43" s="184"/>
      <c r="W43" s="184"/>
      <c r="X43" s="184"/>
      <c r="Y43" s="184"/>
      <c r="Z43" s="184"/>
      <c r="AA43" s="184"/>
      <c r="AB43" s="184"/>
      <c r="AC43" s="510">
        <f>SUM(AC39:AC42)</f>
        <v>0</v>
      </c>
      <c r="AD43" s="215"/>
    </row>
    <row r="44" spans="1:30" ht="16.5" customHeight="1" thickBot="1" thickTop="1">
      <c r="A44" s="32"/>
      <c r="B44" s="50"/>
      <c r="C44" s="96"/>
      <c r="D44" s="194"/>
      <c r="E44" s="194"/>
      <c r="F44" s="383"/>
      <c r="G44" s="500"/>
      <c r="H44" s="501"/>
      <c r="I44" s="502"/>
      <c r="J44" s="450" t="s">
        <v>40</v>
      </c>
      <c r="K44" s="752">
        <f>+AC43+AC36</f>
        <v>266.7502831218</v>
      </c>
      <c r="L44" s="505"/>
      <c r="M44" s="501"/>
      <c r="N44" s="511"/>
      <c r="O44" s="512"/>
      <c r="P44" s="507"/>
      <c r="Q44" s="508"/>
      <c r="R44" s="509"/>
      <c r="S44" s="509"/>
      <c r="T44" s="509"/>
      <c r="U44" s="184"/>
      <c r="V44" s="184"/>
      <c r="W44" s="184"/>
      <c r="X44" s="184"/>
      <c r="Y44" s="184"/>
      <c r="Z44" s="184"/>
      <c r="AA44" s="184"/>
      <c r="AB44" s="184"/>
      <c r="AC44" s="859"/>
      <c r="AD44" s="215"/>
    </row>
    <row r="45" spans="1:30" ht="13.5" customHeight="1" thickTop="1">
      <c r="A45" s="32"/>
      <c r="B45" s="440"/>
      <c r="C45" s="442"/>
      <c r="D45" s="513"/>
      <c r="E45" s="514"/>
      <c r="F45" s="515"/>
      <c r="G45" s="516"/>
      <c r="H45" s="516"/>
      <c r="I45" s="514"/>
      <c r="J45" s="432"/>
      <c r="K45" s="432"/>
      <c r="L45" s="514"/>
      <c r="M45" s="514"/>
      <c r="N45" s="514"/>
      <c r="O45" s="517"/>
      <c r="P45" s="514"/>
      <c r="Q45" s="514"/>
      <c r="R45" s="518"/>
      <c r="S45" s="519"/>
      <c r="T45" s="519"/>
      <c r="U45" s="520"/>
      <c r="AC45" s="520"/>
      <c r="AD45" s="521"/>
    </row>
    <row r="46" spans="1:30" ht="16.5" customHeight="1">
      <c r="A46" s="32"/>
      <c r="B46" s="440"/>
      <c r="C46" s="522" t="s">
        <v>81</v>
      </c>
      <c r="D46" s="523" t="s">
        <v>103</v>
      </c>
      <c r="E46" s="514"/>
      <c r="F46" s="515"/>
      <c r="G46" s="516"/>
      <c r="H46" s="516"/>
      <c r="I46" s="514"/>
      <c r="J46" s="432"/>
      <c r="K46" s="432"/>
      <c r="L46" s="514"/>
      <c r="M46" s="514"/>
      <c r="N46" s="514"/>
      <c r="O46" s="517"/>
      <c r="P46" s="514"/>
      <c r="Q46" s="514"/>
      <c r="R46" s="518"/>
      <c r="S46" s="519"/>
      <c r="T46" s="519"/>
      <c r="U46" s="520"/>
      <c r="AC46" s="520"/>
      <c r="AD46" s="521"/>
    </row>
    <row r="47" spans="1:30" ht="16.5" customHeight="1">
      <c r="A47" s="32"/>
      <c r="B47" s="440"/>
      <c r="C47" s="522"/>
      <c r="D47" s="513"/>
      <c r="E47" s="514"/>
      <c r="F47" s="515"/>
      <c r="G47" s="516"/>
      <c r="H47" s="516"/>
      <c r="I47" s="514"/>
      <c r="J47" s="432"/>
      <c r="K47" s="432"/>
      <c r="L47" s="514"/>
      <c r="M47" s="514"/>
      <c r="N47" s="514"/>
      <c r="O47" s="517"/>
      <c r="P47" s="514"/>
      <c r="Q47" s="514"/>
      <c r="R47" s="514"/>
      <c r="S47" s="518"/>
      <c r="T47" s="519"/>
      <c r="AD47" s="521"/>
    </row>
    <row r="48" spans="2:30" s="32" customFormat="1" ht="16.5" customHeight="1">
      <c r="B48" s="440"/>
      <c r="C48" s="442"/>
      <c r="D48" s="524" t="s">
        <v>0</v>
      </c>
      <c r="E48" s="455" t="s">
        <v>233</v>
      </c>
      <c r="F48" s="455" t="s">
        <v>41</v>
      </c>
      <c r="G48" s="525" t="s">
        <v>234</v>
      </c>
      <c r="H48" s="456"/>
      <c r="I48" s="455"/>
      <c r="J48"/>
      <c r="K48"/>
      <c r="L48" s="526" t="s">
        <v>235</v>
      </c>
      <c r="M48"/>
      <c r="N48"/>
      <c r="O48"/>
      <c r="P48"/>
      <c r="Q48" s="529"/>
      <c r="R48" s="529"/>
      <c r="S48" s="33"/>
      <c r="T48"/>
      <c r="U48"/>
      <c r="V48"/>
      <c r="W48"/>
      <c r="X48" s="33"/>
      <c r="Y48" s="33"/>
      <c r="Z48" s="33"/>
      <c r="AA48" s="33"/>
      <c r="AB48" s="33"/>
      <c r="AC48" s="860" t="s">
        <v>236</v>
      </c>
      <c r="AD48" s="521"/>
    </row>
    <row r="49" spans="2:30" s="32" customFormat="1" ht="16.5" customHeight="1">
      <c r="B49" s="440"/>
      <c r="C49" s="442"/>
      <c r="D49" s="455" t="s">
        <v>237</v>
      </c>
      <c r="E49" s="530">
        <v>354</v>
      </c>
      <c r="F49" s="530">
        <v>500</v>
      </c>
      <c r="G49" s="531">
        <f>E49*$F$19*$L$20/100</f>
        <v>308621.36304</v>
      </c>
      <c r="H49" s="531"/>
      <c r="I49" s="531"/>
      <c r="J49" s="165"/>
      <c r="K49"/>
      <c r="L49" s="532">
        <v>107516</v>
      </c>
      <c r="M49" s="165"/>
      <c r="N49" s="533" t="str">
        <f>"(DTE "&amp;'[1]DATO'!$G$14&amp;'[1]DATO'!$H$14&amp;")"</f>
        <v>(DTE 0709)</v>
      </c>
      <c r="O49"/>
      <c r="P49"/>
      <c r="Q49" s="529"/>
      <c r="R49" s="529"/>
      <c r="S49" s="33"/>
      <c r="T49"/>
      <c r="U49"/>
      <c r="V49"/>
      <c r="W49"/>
      <c r="X49" s="33"/>
      <c r="Y49" s="33"/>
      <c r="Z49" s="33"/>
      <c r="AA49" s="33"/>
      <c r="AB49" s="861"/>
      <c r="AC49" s="862">
        <f>L49+G49</f>
        <v>416137.36304</v>
      </c>
      <c r="AD49" s="521"/>
    </row>
    <row r="50" spans="2:30" s="32" customFormat="1" ht="16.5" customHeight="1">
      <c r="B50" s="440"/>
      <c r="C50" s="442"/>
      <c r="D50" s="534"/>
      <c r="E50" s="530"/>
      <c r="F50" s="530"/>
      <c r="G50" s="531"/>
      <c r="H50" s="534"/>
      <c r="I50" s="535"/>
      <c r="J50" s="165"/>
      <c r="K50"/>
      <c r="L50" s="531"/>
      <c r="M50" s="165"/>
      <c r="N50" s="533"/>
      <c r="O50" s="863"/>
      <c r="P50"/>
      <c r="Q50" s="529"/>
      <c r="R50" s="529"/>
      <c r="S50" s="33"/>
      <c r="T50"/>
      <c r="U50"/>
      <c r="V50"/>
      <c r="W50"/>
      <c r="X50" s="33"/>
      <c r="Y50" s="33"/>
      <c r="Z50" s="33"/>
      <c r="AA50" s="33"/>
      <c r="AB50" s="33"/>
      <c r="AC50" s="862"/>
      <c r="AD50" s="521"/>
    </row>
    <row r="51" spans="2:30" s="32" customFormat="1" ht="16.5" customHeight="1">
      <c r="B51" s="440"/>
      <c r="C51" s="442"/>
      <c r="E51" s="446"/>
      <c r="F51" s="455"/>
      <c r="G51" s="456"/>
      <c r="H51"/>
      <c r="I51" s="455"/>
      <c r="J51" s="455"/>
      <c r="K51"/>
      <c r="L51" s="862"/>
      <c r="M51" s="528"/>
      <c r="N51" s="528"/>
      <c r="O51" s="529"/>
      <c r="P51" s="529"/>
      <c r="Q51" s="529"/>
      <c r="R51" s="529"/>
      <c r="S51" s="33"/>
      <c r="T51"/>
      <c r="U51"/>
      <c r="V51"/>
      <c r="W51"/>
      <c r="X51" s="33"/>
      <c r="Y51" s="33"/>
      <c r="Z51" s="33"/>
      <c r="AA51" s="33"/>
      <c r="AB51" s="33"/>
      <c r="AC51" s="862"/>
      <c r="AD51" s="521"/>
    </row>
    <row r="52" spans="1:30" ht="16.5" customHeight="1">
      <c r="A52" s="32"/>
      <c r="B52" s="440"/>
      <c r="C52" s="442"/>
      <c r="D52" s="524" t="s">
        <v>87</v>
      </c>
      <c r="E52" s="455" t="s">
        <v>88</v>
      </c>
      <c r="F52" s="455" t="s">
        <v>41</v>
      </c>
      <c r="G52" s="525" t="s">
        <v>104</v>
      </c>
      <c r="I52" s="527"/>
      <c r="J52" s="455"/>
      <c r="L52" s="526" t="s">
        <v>238</v>
      </c>
      <c r="M52" s="527"/>
      <c r="N52" s="528"/>
      <c r="O52" s="529"/>
      <c r="P52" s="529"/>
      <c r="Q52" s="529"/>
      <c r="R52" s="529"/>
      <c r="S52" s="529"/>
      <c r="AC52" s="862"/>
      <c r="AD52" s="521"/>
    </row>
    <row r="53" spans="1:30" ht="16.5" customHeight="1">
      <c r="A53" s="32"/>
      <c r="B53" s="440"/>
      <c r="C53" s="442"/>
      <c r="D53" s="455" t="s">
        <v>239</v>
      </c>
      <c r="E53" s="530">
        <v>450</v>
      </c>
      <c r="F53" s="530" t="s">
        <v>240</v>
      </c>
      <c r="G53" s="531">
        <f>E53*F20*L20</f>
        <v>106801.20000000001</v>
      </c>
      <c r="H53" s="165"/>
      <c r="I53" s="165"/>
      <c r="J53" s="532"/>
      <c r="L53" s="531">
        <v>0</v>
      </c>
      <c r="M53" s="165"/>
      <c r="N53" s="533" t="str">
        <f>"(DTE "&amp;'[1]DATO'!$G$14&amp;'[1]DATO'!$H$14&amp;")"</f>
        <v>(DTE 0709)</v>
      </c>
      <c r="O53" s="561"/>
      <c r="P53" s="561"/>
      <c r="Q53" s="561"/>
      <c r="R53" s="561"/>
      <c r="S53" s="561"/>
      <c r="AC53" s="864">
        <f>G53</f>
        <v>106801.20000000001</v>
      </c>
      <c r="AD53" s="521"/>
    </row>
    <row r="54" spans="1:30" ht="16.5" customHeight="1">
      <c r="A54" s="32"/>
      <c r="B54" s="440"/>
      <c r="C54" s="442"/>
      <c r="D54" s="455"/>
      <c r="E54" s="530"/>
      <c r="F54" s="530"/>
      <c r="G54" s="531"/>
      <c r="H54" s="165"/>
      <c r="I54" s="165"/>
      <c r="J54" s="532"/>
      <c r="L54" s="532"/>
      <c r="M54" s="165"/>
      <c r="N54" s="533"/>
      <c r="O54" s="561"/>
      <c r="P54" s="561"/>
      <c r="Q54" s="561"/>
      <c r="R54" s="561"/>
      <c r="S54" s="561"/>
      <c r="AC54" s="864"/>
      <c r="AD54" s="521"/>
    </row>
    <row r="55" spans="1:30" ht="16.5" customHeight="1">
      <c r="A55" s="32"/>
      <c r="B55" s="440"/>
      <c r="C55" s="442"/>
      <c r="D55" s="455"/>
      <c r="E55" s="530"/>
      <c r="F55" s="530"/>
      <c r="G55" s="531"/>
      <c r="H55" s="165"/>
      <c r="I55" s="165"/>
      <c r="J55" s="532"/>
      <c r="L55" s="532"/>
      <c r="M55" s="165"/>
      <c r="N55" s="533"/>
      <c r="O55" s="561"/>
      <c r="P55" s="561"/>
      <c r="Q55" s="561"/>
      <c r="R55" s="561"/>
      <c r="S55" s="561"/>
      <c r="AC55" s="864"/>
      <c r="AD55" s="521"/>
    </row>
    <row r="56" spans="1:30" ht="16.5" customHeight="1">
      <c r="A56" s="32"/>
      <c r="B56" s="440"/>
      <c r="C56" s="442"/>
      <c r="D56" s="524"/>
      <c r="E56" s="535"/>
      <c r="F56" s="535"/>
      <c r="G56" s="455"/>
      <c r="I56" s="527"/>
      <c r="J56" s="525"/>
      <c r="L56" s="526"/>
      <c r="M56" s="527"/>
      <c r="N56" s="528"/>
      <c r="O56" s="529"/>
      <c r="P56" s="529"/>
      <c r="Q56" s="529"/>
      <c r="R56" s="529"/>
      <c r="S56" s="529"/>
      <c r="AC56" s="862"/>
      <c r="AD56" s="521"/>
    </row>
    <row r="57" spans="1:30" ht="16.5" customHeight="1">
      <c r="A57" s="32"/>
      <c r="B57" s="440"/>
      <c r="C57" s="442"/>
      <c r="D57" s="455"/>
      <c r="E57" s="865"/>
      <c r="F57" s="562"/>
      <c r="G57" s="530"/>
      <c r="H57" s="165"/>
      <c r="I57" s="165"/>
      <c r="J57" s="531"/>
      <c r="L57" s="532"/>
      <c r="M57" s="165"/>
      <c r="N57" s="533"/>
      <c r="O57" s="561"/>
      <c r="P57" s="561"/>
      <c r="Q57" s="561"/>
      <c r="R57" s="561"/>
      <c r="S57" s="561"/>
      <c r="AC57" s="864">
        <f>J57</f>
        <v>0</v>
      </c>
      <c r="AD57" s="521"/>
    </row>
    <row r="58" spans="1:30" ht="16.5" customHeight="1">
      <c r="A58" s="32"/>
      <c r="B58" s="440"/>
      <c r="C58" s="442"/>
      <c r="D58" s="455"/>
      <c r="E58" s="865"/>
      <c r="F58" s="562"/>
      <c r="G58" s="530"/>
      <c r="H58" s="165"/>
      <c r="I58" s="165"/>
      <c r="J58" s="531"/>
      <c r="L58" s="532"/>
      <c r="M58" s="165"/>
      <c r="N58" s="533"/>
      <c r="O58" s="561"/>
      <c r="P58" s="561"/>
      <c r="Q58" s="561"/>
      <c r="R58" s="561"/>
      <c r="S58" s="561"/>
      <c r="AC58" s="866">
        <f>J58</f>
        <v>0</v>
      </c>
      <c r="AD58" s="521"/>
    </row>
    <row r="59" spans="1:30" ht="16.5" customHeight="1">
      <c r="A59" s="32"/>
      <c r="B59" s="440"/>
      <c r="C59" s="442"/>
      <c r="D59" s="432"/>
      <c r="E59" s="446"/>
      <c r="F59" s="455"/>
      <c r="G59" s="455"/>
      <c r="H59" s="456"/>
      <c r="J59" s="455"/>
      <c r="L59" s="536"/>
      <c r="M59" s="528"/>
      <c r="N59" s="528"/>
      <c r="O59" s="529"/>
      <c r="P59" s="529"/>
      <c r="Q59" s="529"/>
      <c r="R59" s="529"/>
      <c r="S59" s="529"/>
      <c r="AC59" s="747">
        <f>SUM(AC49:AC57)</f>
        <v>522938.56304000004</v>
      </c>
      <c r="AD59" s="521"/>
    </row>
    <row r="60" spans="2:30" ht="16.5" customHeight="1">
      <c r="B60" s="440"/>
      <c r="C60" s="522" t="s">
        <v>82</v>
      </c>
      <c r="D60" s="537" t="s">
        <v>83</v>
      </c>
      <c r="E60" s="455"/>
      <c r="F60" s="538"/>
      <c r="G60" s="454"/>
      <c r="H60" s="432"/>
      <c r="I60" s="432"/>
      <c r="J60" s="432"/>
      <c r="K60" s="455"/>
      <c r="L60" s="455"/>
      <c r="M60" s="432"/>
      <c r="N60" s="455"/>
      <c r="O60" s="432"/>
      <c r="P60" s="432"/>
      <c r="Q60" s="432"/>
      <c r="R60" s="432"/>
      <c r="S60" s="432"/>
      <c r="T60" s="432"/>
      <c r="U60" s="432"/>
      <c r="AC60" s="432"/>
      <c r="AD60" s="521"/>
    </row>
    <row r="61" spans="2:30" s="32" customFormat="1" ht="16.5" customHeight="1">
      <c r="B61" s="440"/>
      <c r="C61" s="442"/>
      <c r="D61" s="524" t="s">
        <v>84</v>
      </c>
      <c r="E61" s="539">
        <f>10*K44*K26/AC59</f>
        <v>106.70011324872</v>
      </c>
      <c r="G61" s="454"/>
      <c r="L61" s="455"/>
      <c r="N61" s="455"/>
      <c r="O61" s="456"/>
      <c r="V61"/>
      <c r="W61"/>
      <c r="AD61" s="521"/>
    </row>
    <row r="62" spans="2:30" s="32" customFormat="1" ht="16.5" customHeight="1">
      <c r="B62" s="440"/>
      <c r="C62" s="442"/>
      <c r="E62" s="540"/>
      <c r="F62" s="449"/>
      <c r="G62" s="454"/>
      <c r="J62" s="454"/>
      <c r="K62" s="458"/>
      <c r="L62" s="455"/>
      <c r="M62" s="455"/>
      <c r="N62" s="455"/>
      <c r="O62" s="456"/>
      <c r="P62" s="455"/>
      <c r="Q62" s="455"/>
      <c r="R62" s="457"/>
      <c r="S62" s="457"/>
      <c r="T62" s="457"/>
      <c r="U62" s="541"/>
      <c r="V62"/>
      <c r="W62"/>
      <c r="AC62" s="541"/>
      <c r="AD62" s="521"/>
    </row>
    <row r="63" spans="2:30" ht="16.5" customHeight="1">
      <c r="B63" s="440"/>
      <c r="C63" s="442"/>
      <c r="D63" s="542" t="s">
        <v>241</v>
      </c>
      <c r="E63" s="543"/>
      <c r="F63" s="449"/>
      <c r="G63" s="454"/>
      <c r="H63" s="432"/>
      <c r="I63" s="432"/>
      <c r="N63" s="455"/>
      <c r="O63" s="456"/>
      <c r="P63" s="455"/>
      <c r="Q63" s="455"/>
      <c r="R63" s="527"/>
      <c r="S63" s="527"/>
      <c r="T63" s="527"/>
      <c r="U63" s="528"/>
      <c r="AC63" s="528"/>
      <c r="AD63" s="521"/>
    </row>
    <row r="64" spans="2:30" ht="16.5" customHeight="1" thickBot="1">
      <c r="B64" s="440"/>
      <c r="C64" s="442"/>
      <c r="D64" s="542"/>
      <c r="E64" s="543"/>
      <c r="F64" s="449"/>
      <c r="G64" s="454"/>
      <c r="H64" s="432"/>
      <c r="I64" s="432"/>
      <c r="N64" s="455"/>
      <c r="O64" s="456"/>
      <c r="P64" s="455"/>
      <c r="Q64" s="455"/>
      <c r="R64" s="527"/>
      <c r="S64" s="527"/>
      <c r="T64" s="527"/>
      <c r="U64" s="528"/>
      <c r="AC64" s="528"/>
      <c r="AD64" s="521"/>
    </row>
    <row r="65" spans="2:30" s="544" customFormat="1" ht="24" thickBot="1" thickTop="1">
      <c r="B65" s="545"/>
      <c r="C65" s="546"/>
      <c r="D65" s="547"/>
      <c r="E65" s="548"/>
      <c r="F65" s="549"/>
      <c r="G65" s="550"/>
      <c r="I65"/>
      <c r="J65" s="551" t="s">
        <v>85</v>
      </c>
      <c r="K65" s="552">
        <f>IF(E61&gt;3*K26,K26*3,E61)</f>
        <v>106.70011324872</v>
      </c>
      <c r="L65" s="867"/>
      <c r="M65" s="967"/>
      <c r="N65" s="967"/>
      <c r="O65" s="967"/>
      <c r="P65" s="553"/>
      <c r="Q65" s="553"/>
      <c r="R65" s="554"/>
      <c r="S65" s="554"/>
      <c r="T65" s="554"/>
      <c r="U65" s="555"/>
      <c r="V65"/>
      <c r="W65"/>
      <c r="AC65" s="555"/>
      <c r="AD65" s="556"/>
    </row>
    <row r="66" spans="2:30" ht="16.5" customHeight="1" thickBot="1" thickTop="1">
      <c r="B66" s="57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185"/>
      <c r="W66" s="185"/>
      <c r="X66" s="185"/>
      <c r="Y66" s="185"/>
      <c r="Z66" s="185"/>
      <c r="AA66" s="185"/>
      <c r="AB66" s="185"/>
      <c r="AC66" s="59"/>
      <c r="AD66" s="557"/>
    </row>
    <row r="67" spans="2:23" ht="16.5" customHeight="1" thickTop="1">
      <c r="B67" s="1"/>
      <c r="C67" s="73"/>
      <c r="W67" s="1"/>
    </row>
  </sheetData>
  <sheetProtection password="CC12"/>
  <mergeCells count="1">
    <mergeCell ref="M65:O65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AG78"/>
  <sheetViews>
    <sheetView zoomScale="50" zoomScaleNormal="50" workbookViewId="0" topLeftCell="A34">
      <selection activeCell="O68" sqref="O68"/>
    </sheetView>
  </sheetViews>
  <sheetFormatPr defaultColWidth="11.421875" defaultRowHeight="12.75"/>
  <cols>
    <col min="1" max="1" width="29.57421875" style="0" customWidth="1"/>
    <col min="2" max="2" width="10.14062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0.140625" style="0" hidden="1" customWidth="1"/>
    <col min="9" max="9" width="9.57421875" style="0" hidden="1" customWidth="1"/>
    <col min="10" max="10" width="18.7109375" style="0" customWidth="1"/>
    <col min="11" max="11" width="32.7109375" style="0" bestFit="1" customWidth="1"/>
    <col min="12" max="12" width="44.140625" style="0" bestFit="1" customWidth="1"/>
    <col min="13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5.8515625" style="0" customWidth="1"/>
    <col min="18" max="18" width="12.140625" style="0" hidden="1" customWidth="1"/>
    <col min="19" max="19" width="13.00390625" style="0" hidden="1" customWidth="1"/>
    <col min="20" max="21" width="8.421875" style="0" hidden="1" customWidth="1"/>
    <col min="22" max="22" width="11.7109375" style="0" hidden="1" customWidth="1"/>
    <col min="23" max="27" width="8.421875" style="0" hidden="1" customWidth="1"/>
    <col min="28" max="28" width="9.7109375" style="0" customWidth="1"/>
    <col min="29" max="29" width="17.28125" style="0" customWidth="1"/>
    <col min="30" max="30" width="12.851562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8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1"/>
    </row>
    <row r="2" spans="1:23" ht="27" customHeight="1">
      <c r="A2" s="8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438" customFormat="1" ht="30.75">
      <c r="A3" s="435"/>
      <c r="B3" s="436" t="str">
        <f>'TOT-0709'!B2</f>
        <v>ANEXO II al Memorándum D.T.E.E. N° 256 /2011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AB3" s="437"/>
      <c r="AC3" s="437"/>
      <c r="AD3" s="437"/>
    </row>
    <row r="4" spans="1:2" s="25" customFormat="1" ht="11.25">
      <c r="A4" s="558" t="s">
        <v>1</v>
      </c>
      <c r="B4" s="559"/>
    </row>
    <row r="5" spans="1:2" s="25" customFormat="1" ht="12" thickBot="1">
      <c r="A5" s="558" t="s">
        <v>2</v>
      </c>
      <c r="B5" s="558"/>
    </row>
    <row r="6" spans="1:30" ht="16.5" customHeight="1" thickTop="1">
      <c r="A6" s="5"/>
      <c r="B6" s="69"/>
      <c r="C6" s="70"/>
      <c r="D6" s="70"/>
      <c r="E6" s="186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49"/>
      <c r="X6" s="749"/>
      <c r="Y6" s="749"/>
      <c r="Z6" s="749"/>
      <c r="AA6" s="749"/>
      <c r="AB6" s="749"/>
      <c r="AC6" s="749"/>
      <c r="AD6" s="92"/>
    </row>
    <row r="7" spans="1:30" ht="20.25">
      <c r="A7" s="5"/>
      <c r="B7" s="50"/>
      <c r="C7" s="4"/>
      <c r="D7" s="167" t="s">
        <v>73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7"/>
      <c r="Q7" s="77"/>
      <c r="R7" s="4"/>
      <c r="S7" s="4"/>
      <c r="T7" s="4"/>
      <c r="U7" s="4"/>
      <c r="V7" s="4"/>
      <c r="AD7" s="17"/>
    </row>
    <row r="8" spans="1:30" ht="16.5" customHeight="1">
      <c r="A8" s="5"/>
      <c r="B8" s="5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D8" s="17"/>
    </row>
    <row r="9" spans="2:30" s="36" customFormat="1" ht="20.25">
      <c r="B9" s="44"/>
      <c r="C9" s="43"/>
      <c r="D9" s="167" t="s">
        <v>74</v>
      </c>
      <c r="E9" s="43"/>
      <c r="F9" s="43"/>
      <c r="G9" s="43"/>
      <c r="H9" s="43"/>
      <c r="N9" s="43"/>
      <c r="O9" s="43"/>
      <c r="P9" s="187"/>
      <c r="Q9" s="187"/>
      <c r="R9" s="43"/>
      <c r="S9" s="43"/>
      <c r="T9" s="43"/>
      <c r="U9" s="43"/>
      <c r="V9" s="43"/>
      <c r="W9"/>
      <c r="X9" s="43"/>
      <c r="Y9" s="43"/>
      <c r="Z9" s="43"/>
      <c r="AA9" s="43"/>
      <c r="AB9" s="43"/>
      <c r="AC9"/>
      <c r="AD9" s="188"/>
    </row>
    <row r="10" spans="1:30" ht="16.5" customHeight="1">
      <c r="A10" s="5"/>
      <c r="B10" s="5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AD10" s="17"/>
    </row>
    <row r="11" spans="2:30" s="36" customFormat="1" ht="20.25">
      <c r="B11" s="44"/>
      <c r="C11" s="43"/>
      <c r="D11" s="167" t="s">
        <v>285</v>
      </c>
      <c r="E11" s="43"/>
      <c r="F11" s="43"/>
      <c r="G11" s="43"/>
      <c r="H11" s="43"/>
      <c r="N11" s="43"/>
      <c r="O11" s="43"/>
      <c r="P11" s="187"/>
      <c r="Q11" s="187"/>
      <c r="R11" s="43"/>
      <c r="S11" s="43"/>
      <c r="T11" s="43"/>
      <c r="U11" s="43"/>
      <c r="V11" s="43"/>
      <c r="W11"/>
      <c r="X11" s="43"/>
      <c r="Y11" s="43"/>
      <c r="Z11" s="43"/>
      <c r="AA11" s="43"/>
      <c r="AB11" s="43"/>
      <c r="AC11"/>
      <c r="AD11" s="188"/>
    </row>
    <row r="12" spans="1:30" ht="16.5" customHeight="1">
      <c r="A12" s="5"/>
      <c r="B12" s="50"/>
      <c r="C12" s="4"/>
      <c r="D12" s="4"/>
      <c r="E12" s="5"/>
      <c r="F12" s="5"/>
      <c r="G12" s="5"/>
      <c r="H12" s="5"/>
      <c r="I12" s="72"/>
      <c r="J12" s="72"/>
      <c r="K12" s="72"/>
      <c r="L12" s="72"/>
      <c r="M12" s="72"/>
      <c r="N12" s="72"/>
      <c r="O12" s="72"/>
      <c r="P12" s="72"/>
      <c r="Q12" s="72"/>
      <c r="R12" s="4"/>
      <c r="S12" s="4"/>
      <c r="T12" s="4"/>
      <c r="U12" s="4"/>
      <c r="V12" s="4"/>
      <c r="AD12" s="17"/>
    </row>
    <row r="13" spans="2:30" s="36" customFormat="1" ht="19.5">
      <c r="B13" s="37" t="str">
        <f>'[1]TOT-0709'!B14</f>
        <v>Desde el 01 al 31 de julio de 2009</v>
      </c>
      <c r="C13" s="38"/>
      <c r="D13" s="40"/>
      <c r="E13" s="40"/>
      <c r="F13" s="40"/>
      <c r="G13" s="40"/>
      <c r="H13" s="40"/>
      <c r="I13" s="41"/>
      <c r="J13" s="16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124"/>
      <c r="V13" s="124"/>
      <c r="W13"/>
      <c r="X13" s="750"/>
      <c r="Y13" s="750"/>
      <c r="Z13" s="750"/>
      <c r="AA13" s="750"/>
      <c r="AB13" s="124"/>
      <c r="AC13" s="165"/>
      <c r="AD13" s="42"/>
    </row>
    <row r="14" spans="1:30" ht="16.5" customHeight="1">
      <c r="A14" s="5"/>
      <c r="B14" s="50"/>
      <c r="C14" s="4"/>
      <c r="D14" s="4"/>
      <c r="E14" s="66"/>
      <c r="F14" s="66"/>
      <c r="G14" s="4"/>
      <c r="H14" s="4"/>
      <c r="I14" s="4"/>
      <c r="J14" s="439"/>
      <c r="K14" s="4"/>
      <c r="L14" s="4"/>
      <c r="M14" s="4"/>
      <c r="N14" s="5"/>
      <c r="O14" s="5"/>
      <c r="P14" s="4"/>
      <c r="Q14" s="4"/>
      <c r="R14" s="4"/>
      <c r="S14" s="4"/>
      <c r="T14" s="4"/>
      <c r="U14" s="4"/>
      <c r="V14" s="4"/>
      <c r="AD14" s="17"/>
    </row>
    <row r="15" spans="1:30" ht="16.5" customHeight="1">
      <c r="A15" s="5"/>
      <c r="B15" s="50"/>
      <c r="C15" s="4"/>
      <c r="D15" s="4"/>
      <c r="E15" s="66"/>
      <c r="F15" s="66"/>
      <c r="G15" s="4"/>
      <c r="H15" s="4"/>
      <c r="I15" s="137"/>
      <c r="J15" s="4"/>
      <c r="K15" s="1"/>
      <c r="M15" s="4"/>
      <c r="N15" s="5"/>
      <c r="O15" s="5"/>
      <c r="P15" s="4"/>
      <c r="Q15" s="4"/>
      <c r="R15" s="4"/>
      <c r="S15" s="4"/>
      <c r="T15" s="4"/>
      <c r="U15" s="4"/>
      <c r="V15" s="4"/>
      <c r="AD15" s="17"/>
    </row>
    <row r="16" spans="1:30" ht="16.5" customHeight="1">
      <c r="A16" s="5"/>
      <c r="B16" s="50"/>
      <c r="C16" s="4"/>
      <c r="D16" s="4"/>
      <c r="E16" s="66"/>
      <c r="F16" s="66"/>
      <c r="G16" s="4"/>
      <c r="H16" s="4"/>
      <c r="I16" s="137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7"/>
    </row>
    <row r="17" spans="1:30" ht="16.5" customHeight="1">
      <c r="A17" s="5"/>
      <c r="B17" s="50"/>
      <c r="C17" s="156" t="s">
        <v>75</v>
      </c>
      <c r="D17" s="54" t="s">
        <v>76</v>
      </c>
      <c r="E17" s="66"/>
      <c r="F17" s="66"/>
      <c r="G17" s="4"/>
      <c r="H17" s="4"/>
      <c r="I17" s="4"/>
      <c r="J17" s="439"/>
      <c r="K17" s="4"/>
      <c r="L17" s="4"/>
      <c r="M17" s="4"/>
      <c r="N17" s="5"/>
      <c r="O17" s="5"/>
      <c r="P17" s="4"/>
      <c r="Q17" s="4"/>
      <c r="R17" s="4"/>
      <c r="S17" s="4"/>
      <c r="T17" s="4"/>
      <c r="U17" s="4"/>
      <c r="V17" s="4"/>
      <c r="AD17" s="17"/>
    </row>
    <row r="18" spans="2:30" s="32" customFormat="1" ht="16.5" customHeight="1">
      <c r="B18" s="440"/>
      <c r="C18" s="33"/>
      <c r="D18" s="441"/>
      <c r="E18" s="747"/>
      <c r="F18" s="442"/>
      <c r="G18" s="33"/>
      <c r="H18" s="33"/>
      <c r="I18" s="33"/>
      <c r="J18" s="443"/>
      <c r="K18" s="33"/>
      <c r="L18" s="33"/>
      <c r="M18" s="33"/>
      <c r="P18" s="33"/>
      <c r="Q18" s="33"/>
      <c r="R18" s="33"/>
      <c r="S18" s="33"/>
      <c r="T18" s="33"/>
      <c r="U18" s="33"/>
      <c r="V18" s="33"/>
      <c r="W18"/>
      <c r="AD18" s="444"/>
    </row>
    <row r="19" spans="2:30" s="32" customFormat="1" ht="16.5" customHeight="1">
      <c r="B19" s="440"/>
      <c r="C19" s="33"/>
      <c r="D19" s="751" t="s">
        <v>226</v>
      </c>
      <c r="F19" s="445">
        <v>117.179</v>
      </c>
      <c r="G19" s="751" t="s">
        <v>227</v>
      </c>
      <c r="H19" s="33"/>
      <c r="I19" s="33"/>
      <c r="J19" s="446"/>
      <c r="K19" s="447" t="s">
        <v>38</v>
      </c>
      <c r="L19" s="448">
        <v>0.04</v>
      </c>
      <c r="R19" s="33"/>
      <c r="S19" s="33"/>
      <c r="T19" s="33"/>
      <c r="U19" s="33"/>
      <c r="V19" s="33"/>
      <c r="W19"/>
      <c r="AD19" s="444"/>
    </row>
    <row r="20" spans="2:30" s="32" customFormat="1" ht="16.5" customHeight="1">
      <c r="B20" s="440"/>
      <c r="C20" s="33"/>
      <c r="D20" s="751" t="s">
        <v>242</v>
      </c>
      <c r="F20" s="445">
        <v>97.649</v>
      </c>
      <c r="G20" s="751" t="s">
        <v>227</v>
      </c>
      <c r="H20" s="33"/>
      <c r="I20" s="33"/>
      <c r="J20" s="33"/>
      <c r="K20" s="441" t="s">
        <v>36</v>
      </c>
      <c r="L20" s="33">
        <f>MID(B13,16,2)*24</f>
        <v>744</v>
      </c>
      <c r="M20" s="33" t="s">
        <v>37</v>
      </c>
      <c r="R20" s="33"/>
      <c r="S20" s="33"/>
      <c r="T20" s="33"/>
      <c r="U20" s="33"/>
      <c r="V20" s="33"/>
      <c r="W20"/>
      <c r="AD20" s="444"/>
    </row>
    <row r="21" spans="2:30" s="32" customFormat="1" ht="16.5" customHeight="1">
      <c r="B21" s="440"/>
      <c r="C21" s="33"/>
      <c r="D21" s="751" t="s">
        <v>228</v>
      </c>
      <c r="F21" s="445">
        <v>0.319</v>
      </c>
      <c r="G21" s="751" t="s">
        <v>86</v>
      </c>
      <c r="H21" s="33"/>
      <c r="I21" s="33"/>
      <c r="N21" s="33"/>
      <c r="O21" s="33"/>
      <c r="P21" s="560"/>
      <c r="Q21" s="33"/>
      <c r="R21" s="33"/>
      <c r="S21" s="33"/>
      <c r="T21" s="33"/>
      <c r="U21" s="33"/>
      <c r="V21" s="33"/>
      <c r="W21"/>
      <c r="AD21" s="444"/>
    </row>
    <row r="22" spans="2:30" s="32" customFormat="1" ht="16.5" customHeight="1">
      <c r="B22" s="440"/>
      <c r="C22" s="33"/>
      <c r="D22" s="751" t="s">
        <v>260</v>
      </c>
      <c r="F22" s="445">
        <v>39.254</v>
      </c>
      <c r="G22" s="751" t="s">
        <v>261</v>
      </c>
      <c r="H22" s="33"/>
      <c r="I22" s="33"/>
      <c r="J22" s="33"/>
      <c r="K22" s="192"/>
      <c r="L22" s="193"/>
      <c r="M22" s="33"/>
      <c r="N22" s="33"/>
      <c r="O22" s="33"/>
      <c r="P22" s="560"/>
      <c r="Q22" s="33"/>
      <c r="R22" s="33"/>
      <c r="S22" s="33"/>
      <c r="T22" s="33"/>
      <c r="U22" s="33"/>
      <c r="V22" s="33"/>
      <c r="W22"/>
      <c r="AD22" s="444"/>
    </row>
    <row r="23" spans="2:30" s="32" customFormat="1" ht="9" customHeight="1">
      <c r="B23" s="440"/>
      <c r="C23" s="33"/>
      <c r="H23" s="33"/>
      <c r="I23" s="33"/>
      <c r="J23" s="33"/>
      <c r="K23" s="192"/>
      <c r="L23" s="193"/>
      <c r="M23" s="33"/>
      <c r="N23" s="33"/>
      <c r="O23" s="33"/>
      <c r="P23" s="560"/>
      <c r="Q23" s="33"/>
      <c r="R23" s="33"/>
      <c r="S23" s="33"/>
      <c r="T23" s="33"/>
      <c r="U23" s="33"/>
      <c r="V23" s="33"/>
      <c r="W23"/>
      <c r="AD23" s="444"/>
    </row>
    <row r="24" spans="2:30" s="32" customFormat="1" ht="8.25" customHeight="1">
      <c r="B24" s="440"/>
      <c r="C24" s="33"/>
      <c r="D24" s="33"/>
      <c r="E24" s="449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/>
      <c r="AD24" s="444"/>
    </row>
    <row r="25" spans="1:30" ht="16.5" customHeight="1">
      <c r="A25" s="5"/>
      <c r="B25" s="50"/>
      <c r="C25" s="156" t="s">
        <v>77</v>
      </c>
      <c r="D25" s="3" t="s">
        <v>101</v>
      </c>
      <c r="I25" s="4"/>
      <c r="J25" s="32"/>
      <c r="O25" s="4"/>
      <c r="P25" s="4"/>
      <c r="Q25" s="4"/>
      <c r="R25" s="4"/>
      <c r="S25" s="4"/>
      <c r="T25" s="4"/>
      <c r="V25" s="4"/>
      <c r="X25" s="4"/>
      <c r="Y25" s="4"/>
      <c r="Z25" s="4"/>
      <c r="AA25" s="4"/>
      <c r="AB25" s="4"/>
      <c r="AC25" s="4"/>
      <c r="AD25" s="17"/>
    </row>
    <row r="26" spans="1:30" ht="10.5" customHeight="1" thickBot="1">
      <c r="A26" s="5"/>
      <c r="B26" s="50"/>
      <c r="C26" s="66"/>
      <c r="D26" s="3"/>
      <c r="I26" s="4"/>
      <c r="J26" s="32"/>
      <c r="O26" s="4"/>
      <c r="P26" s="4"/>
      <c r="Q26" s="4"/>
      <c r="R26" s="4"/>
      <c r="S26" s="4"/>
      <c r="T26" s="4"/>
      <c r="V26" s="4"/>
      <c r="X26" s="4"/>
      <c r="Y26" s="4"/>
      <c r="Z26" s="4"/>
      <c r="AA26" s="4"/>
      <c r="AB26" s="4"/>
      <c r="AC26" s="4"/>
      <c r="AD26" s="17"/>
    </row>
    <row r="27" spans="2:30" s="32" customFormat="1" ht="16.5" customHeight="1" thickBot="1" thickTop="1">
      <c r="B27" s="440"/>
      <c r="C27" s="442"/>
      <c r="D27"/>
      <c r="E27"/>
      <c r="F27"/>
      <c r="G27"/>
      <c r="H27"/>
      <c r="I27"/>
      <c r="J27" s="450" t="s">
        <v>43</v>
      </c>
      <c r="K27" s="752">
        <f>L19*AC70</f>
        <v>28439.136966240003</v>
      </c>
      <c r="L27"/>
      <c r="S27"/>
      <c r="T27"/>
      <c r="U27"/>
      <c r="W27"/>
      <c r="AD27" s="444"/>
    </row>
    <row r="28" spans="2:30" s="32" customFormat="1" ht="11.25" customHeight="1" thickTop="1">
      <c r="B28" s="440"/>
      <c r="C28" s="442"/>
      <c r="D28" s="33"/>
      <c r="E28" s="449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/>
      <c r="W28"/>
      <c r="AD28" s="444"/>
    </row>
    <row r="29" spans="1:30" ht="16.5" customHeight="1">
      <c r="A29" s="5"/>
      <c r="B29" s="50"/>
      <c r="C29" s="156" t="s">
        <v>78</v>
      </c>
      <c r="D29" s="3" t="s">
        <v>102</v>
      </c>
      <c r="E29" s="19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 s="17"/>
    </row>
    <row r="30" spans="1:30" ht="21.75" customHeight="1" thickBot="1">
      <c r="A30" s="5"/>
      <c r="B30" s="50"/>
      <c r="C30" s="4"/>
      <c r="D30" s="4"/>
      <c r="E30" s="19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AD30" s="17"/>
    </row>
    <row r="31" spans="2:31" s="5" customFormat="1" ht="33.75" customHeight="1" thickBot="1" thickTop="1">
      <c r="B31" s="50"/>
      <c r="C31" s="84" t="s">
        <v>12</v>
      </c>
      <c r="D31" s="753" t="s">
        <v>0</v>
      </c>
      <c r="E31" s="170" t="s">
        <v>13</v>
      </c>
      <c r="F31" s="754" t="s">
        <v>14</v>
      </c>
      <c r="G31" s="195" t="s">
        <v>56</v>
      </c>
      <c r="H31" s="755" t="s">
        <v>35</v>
      </c>
      <c r="I31" s="133" t="s">
        <v>15</v>
      </c>
      <c r="J31" s="85" t="s">
        <v>16</v>
      </c>
      <c r="K31" s="171" t="s">
        <v>17</v>
      </c>
      <c r="L31" s="87" t="s">
        <v>34</v>
      </c>
      <c r="M31" s="86" t="s">
        <v>29</v>
      </c>
      <c r="N31" s="87" t="s">
        <v>229</v>
      </c>
      <c r="O31" s="87" t="s">
        <v>44</v>
      </c>
      <c r="P31" s="171" t="s">
        <v>45</v>
      </c>
      <c r="Q31" s="85" t="s">
        <v>30</v>
      </c>
      <c r="R31" s="756" t="s">
        <v>19</v>
      </c>
      <c r="S31" s="757" t="s">
        <v>20</v>
      </c>
      <c r="T31" s="758" t="s">
        <v>230</v>
      </c>
      <c r="U31" s="759"/>
      <c r="V31" s="760"/>
      <c r="W31" s="761" t="s">
        <v>231</v>
      </c>
      <c r="X31" s="762"/>
      <c r="Y31" s="763"/>
      <c r="Z31" s="764" t="s">
        <v>21</v>
      </c>
      <c r="AA31" s="765" t="s">
        <v>232</v>
      </c>
      <c r="AB31" s="766" t="s">
        <v>58</v>
      </c>
      <c r="AC31" s="119" t="s">
        <v>22</v>
      </c>
      <c r="AD31" s="201"/>
      <c r="AE31"/>
    </row>
    <row r="32" spans="1:30" ht="16.5" customHeight="1" thickTop="1">
      <c r="A32" s="5"/>
      <c r="B32" s="50"/>
      <c r="C32" s="7"/>
      <c r="D32" s="767"/>
      <c r="E32" s="768"/>
      <c r="F32" s="769"/>
      <c r="G32" s="770"/>
      <c r="H32" s="771"/>
      <c r="I32" s="772"/>
      <c r="J32" s="773"/>
      <c r="K32" s="774"/>
      <c r="L32" s="7"/>
      <c r="M32" s="7"/>
      <c r="N32" s="775"/>
      <c r="O32" s="775"/>
      <c r="P32" s="7"/>
      <c r="Q32" s="748"/>
      <c r="R32" s="776"/>
      <c r="S32" s="777"/>
      <c r="T32" s="778"/>
      <c r="U32" s="779"/>
      <c r="V32" s="780"/>
      <c r="W32" s="781"/>
      <c r="X32" s="782"/>
      <c r="Y32" s="783"/>
      <c r="Z32" s="784"/>
      <c r="AA32" s="785"/>
      <c r="AB32" s="786"/>
      <c r="AC32" s="787"/>
      <c r="AD32" s="17"/>
    </row>
    <row r="33" spans="1:30" ht="16.5" customHeight="1">
      <c r="A33" s="5"/>
      <c r="B33" s="50"/>
      <c r="C33" s="681" t="s">
        <v>108</v>
      </c>
      <c r="D33" s="637"/>
      <c r="E33" s="638"/>
      <c r="F33" s="679"/>
      <c r="G33" s="788"/>
      <c r="H33" s="789">
        <v>20</v>
      </c>
      <c r="I33" s="790">
        <f>IF(E33=500,IF(F33&lt;100,100*$F$19/100,F33*$F$19/100),IF(F33&lt;100,100*$F$18/100,F33*$F$18/100))</f>
        <v>0</v>
      </c>
      <c r="J33" s="791"/>
      <c r="K33" s="434"/>
      <c r="L33" s="792">
        <f>IF(D33="","",(K33-J33)*24)</f>
      </c>
      <c r="M33" s="358">
        <f>IF(D33="","",(K33-J33)*24*60)</f>
      </c>
      <c r="N33" s="451"/>
      <c r="O33" s="452">
        <f>IF(D33="","","--")</f>
      </c>
      <c r="P33" s="209">
        <f>IF(D33="","","NO")</f>
      </c>
      <c r="Q33" s="209">
        <f>IF(D33="","",IF(OR(N33="P",N33="RP"),"--","NO"))</f>
      </c>
      <c r="R33" s="793" t="str">
        <f>IF(N33="P",I33*H33*ROUND(M33/60,2)*0.01,"--")</f>
        <v>--</v>
      </c>
      <c r="S33" s="794" t="str">
        <f>IF(N33="RP",I33*H33*ROUND(M33/60,2)*0.01*O33/100,"--")</f>
        <v>--</v>
      </c>
      <c r="T33" s="795" t="str">
        <f>IF(AND(N33="F",Q33="NO"),I33*H33*IF(P33="SI",1.2,1),"--")</f>
        <v>--</v>
      </c>
      <c r="U33" s="796" t="str">
        <f>IF(AND(N33="F",M33&gt;=10),I33*H33*IF(P33="SI",1.2,1)*IF(M33&lt;=300,ROUND(M33/60,2),5),"--")</f>
        <v>--</v>
      </c>
      <c r="V33" s="797" t="str">
        <f>IF(AND(N33="F",M33&gt;300),(ROUND(M33/60,2)-5)*I33*H33*0.1*IF(P33="SI",1.2,1),"--")</f>
        <v>--</v>
      </c>
      <c r="W33" s="798" t="str">
        <f>IF(AND(N33="R",Q33="NO"),I33*H33*O33/100*IF(P33="SI",1.2,1),"--")</f>
        <v>--</v>
      </c>
      <c r="X33" s="799" t="str">
        <f>IF(AND(N33="R",M33&gt;=10),I33*H33*O33/100*IF(P33="SI",1.2,1)*IF(M33&lt;=300,ROUND(M33/60,2),5),"--")</f>
        <v>--</v>
      </c>
      <c r="Y33" s="800" t="str">
        <f>IF(AND(N33="R",M33&gt;300),(ROUND(M33/60,2)-5)*I33*H33*0.1*O33/100*IF(P33="SI",1.2,1),"--")</f>
        <v>--</v>
      </c>
      <c r="Z33" s="801" t="str">
        <f>IF(N33="RF",ROUND(M33/60,2)*I33*H33*0.1*IF(P33="SI",1.2,1),"--")</f>
        <v>--</v>
      </c>
      <c r="AA33" s="802" t="str">
        <f>IF(N33="RR",ROUND(M33/60,2)*I33*H33*0.1*O33/100*IF(P33="SI",1.2,1),"--")</f>
        <v>--</v>
      </c>
      <c r="AB33" s="803">
        <f>IF(D33="","","SI")</f>
      </c>
      <c r="AC33" s="16">
        <f>IF(D33="","",SUM(R33:AA33)*IF(AB33="SI",1,2))</f>
      </c>
      <c r="AD33" s="17"/>
    </row>
    <row r="34" spans="1:30" ht="16.5" customHeight="1">
      <c r="A34" s="5"/>
      <c r="B34" s="50"/>
      <c r="C34" s="681" t="s">
        <v>109</v>
      </c>
      <c r="D34" s="637"/>
      <c r="E34" s="638"/>
      <c r="F34" s="679"/>
      <c r="G34" s="788"/>
      <c r="H34" s="789">
        <v>20</v>
      </c>
      <c r="I34" s="790">
        <f>IF(E34=500,IF(F34&lt;100,100*$F$19/100,F34*$F$19/100),IF(F34&lt;100,100*$F$18/100,F34*$F$18/100))</f>
        <v>0</v>
      </c>
      <c r="J34" s="791"/>
      <c r="K34" s="434"/>
      <c r="L34" s="792">
        <f>IF(D34="","",(K34-J34)*24)</f>
      </c>
      <c r="M34" s="358">
        <f>IF(D34="","",(K34-J34)*24*60)</f>
      </c>
      <c r="N34" s="451"/>
      <c r="O34" s="452">
        <f>IF(D34="","","--")</f>
      </c>
      <c r="P34" s="209">
        <f>IF(D34="","","NO")</f>
      </c>
      <c r="Q34" s="209">
        <f>IF(D34="","",IF(OR(N34="P",N34="RP"),"--","NO"))</f>
      </c>
      <c r="R34" s="793" t="str">
        <f>IF(N34="P",I34*H34*ROUND(M34/60,2)*0.01,"--")</f>
        <v>--</v>
      </c>
      <c r="S34" s="794" t="str">
        <f>IF(N34="RP",I34*H34*ROUND(M34/60,2)*0.01*O34/100,"--")</f>
        <v>--</v>
      </c>
      <c r="T34" s="795" t="str">
        <f>IF(AND(N34="F",Q34="NO"),I34*H34*IF(P34="SI",1.2,1),"--")</f>
        <v>--</v>
      </c>
      <c r="U34" s="796" t="str">
        <f>IF(AND(N34="F",M34&gt;=10),I34*H34*IF(P34="SI",1.2,1)*IF(M34&lt;=300,ROUND(M34/60,2),5),"--")</f>
        <v>--</v>
      </c>
      <c r="V34" s="797" t="str">
        <f>IF(AND(N34="F",M34&gt;300),(ROUND(M34/60,2)-5)*I34*H34*0.1*IF(P34="SI",1.2,1),"--")</f>
        <v>--</v>
      </c>
      <c r="W34" s="798" t="str">
        <f>IF(AND(N34="R",Q34="NO"),I34*H34*O34/100*IF(P34="SI",1.2,1),"--")</f>
        <v>--</v>
      </c>
      <c r="X34" s="799" t="str">
        <f>IF(AND(N34="R",M34&gt;=10),I34*H34*O34/100*IF(P34="SI",1.2,1)*IF(M34&lt;=300,ROUND(M34/60,2),5),"--")</f>
        <v>--</v>
      </c>
      <c r="Y34" s="800" t="str">
        <f>IF(AND(N34="R",M34&gt;300),(ROUND(M34/60,2)-5)*I34*H34*0.1*O34/100*IF(P34="SI",1.2,1),"--")</f>
        <v>--</v>
      </c>
      <c r="Z34" s="801" t="str">
        <f>IF(N34="RF",ROUND(M34/60,2)*I34*H34*0.1*IF(P34="SI",1.2,1),"--")</f>
        <v>--</v>
      </c>
      <c r="AA34" s="802" t="str">
        <f>IF(N34="RR",ROUND(M34/60,2)*I34*H34*0.1*O34/100*IF(P34="SI",1.2,1),"--")</f>
        <v>--</v>
      </c>
      <c r="AB34" s="803">
        <f>IF(D34="","","SI")</f>
      </c>
      <c r="AC34" s="16">
        <f>IF(D34="","",SUM(R34:AA34)*IF(AB34="SI",1,2))</f>
      </c>
      <c r="AD34" s="17"/>
    </row>
    <row r="35" spans="1:30" ht="16.5" customHeight="1">
      <c r="A35" s="5"/>
      <c r="B35" s="50"/>
      <c r="C35" s="681" t="s">
        <v>114</v>
      </c>
      <c r="D35" s="637"/>
      <c r="E35" s="638"/>
      <c r="F35" s="679"/>
      <c r="G35" s="788"/>
      <c r="H35" s="789">
        <v>20</v>
      </c>
      <c r="I35" s="790">
        <f>IF(E35=500,IF(F35&lt;100,100*$F$19/100,F35*$F$19/100),IF(F35&lt;100,100*$F$18/100,F35*$F$18/100))</f>
        <v>0</v>
      </c>
      <c r="J35" s="791"/>
      <c r="K35" s="434"/>
      <c r="L35" s="792">
        <f>IF(D35="","",(K35-J35)*24)</f>
      </c>
      <c r="M35" s="358">
        <f>IF(D35="","",(K35-J35)*24*60)</f>
      </c>
      <c r="N35" s="451"/>
      <c r="O35" s="452">
        <f>IF(D35="","","--")</f>
      </c>
      <c r="P35" s="209">
        <f>IF(D35="","","NO")</f>
      </c>
      <c r="Q35" s="209">
        <f>IF(D35="","",IF(OR(N35="P",N35="RP"),"--","NO"))</f>
      </c>
      <c r="R35" s="793" t="str">
        <f>IF(N35="P",I35*H35*ROUND(M35/60,2)*0.01,"--")</f>
        <v>--</v>
      </c>
      <c r="S35" s="794" t="str">
        <f>IF(N35="RP",I35*H35*ROUND(M35/60,2)*0.01*O35/100,"--")</f>
        <v>--</v>
      </c>
      <c r="T35" s="795" t="str">
        <f>IF(AND(N35="F",Q35="NO"),I35*H35*IF(P35="SI",1.2,1),"--")</f>
        <v>--</v>
      </c>
      <c r="U35" s="796" t="str">
        <f>IF(AND(N35="F",M35&gt;=10),I35*H35*IF(P35="SI",1.2,1)*IF(M35&lt;=300,ROUND(M35/60,2),5),"--")</f>
        <v>--</v>
      </c>
      <c r="V35" s="797" t="str">
        <f>IF(AND(N35="F",M35&gt;300),(ROUND(M35/60,2)-5)*I35*H35*0.1*IF(P35="SI",1.2,1),"--")</f>
        <v>--</v>
      </c>
      <c r="W35" s="798" t="str">
        <f>IF(AND(N35="R",Q35="NO"),I35*H35*O35/100*IF(P35="SI",1.2,1),"--")</f>
        <v>--</v>
      </c>
      <c r="X35" s="799" t="str">
        <f>IF(AND(N35="R",M35&gt;=10),I35*H35*O35/100*IF(P35="SI",1.2,1)*IF(M35&lt;=300,ROUND(M35/60,2),5),"--")</f>
        <v>--</v>
      </c>
      <c r="Y35" s="800" t="str">
        <f>IF(AND(N35="R",M35&gt;300),(ROUND(M35/60,2)-5)*I35*H35*0.1*O35/100*IF(P35="SI",1.2,1),"--")</f>
        <v>--</v>
      </c>
      <c r="Z35" s="801" t="str">
        <f>IF(N35="RF",ROUND(M35/60,2)*I35*H35*0.1*IF(P35="SI",1.2,1),"--")</f>
        <v>--</v>
      </c>
      <c r="AA35" s="802" t="str">
        <f>IF(N35="RR",ROUND(M35/60,2)*I35*H35*0.1*O35/100*IF(P35="SI",1.2,1),"--")</f>
        <v>--</v>
      </c>
      <c r="AB35" s="803">
        <f>IF(D35="","","SI")</f>
      </c>
      <c r="AC35" s="16">
        <f>IF(D35="","",SUM(R35:AA35)*IF(AB35="SI",1,2))</f>
      </c>
      <c r="AD35" s="17"/>
    </row>
    <row r="36" spans="1:30" ht="16.5" customHeight="1" thickBot="1">
      <c r="A36" s="32"/>
      <c r="B36" s="50"/>
      <c r="C36" s="482"/>
      <c r="D36" s="805"/>
      <c r="E36" s="806"/>
      <c r="F36" s="807"/>
      <c r="G36" s="808"/>
      <c r="H36" s="809"/>
      <c r="I36" s="810"/>
      <c r="J36" s="811"/>
      <c r="K36" s="811"/>
      <c r="L36" s="9"/>
      <c r="M36" s="9"/>
      <c r="N36" s="9"/>
      <c r="O36" s="812"/>
      <c r="P36" s="9"/>
      <c r="Q36" s="9"/>
      <c r="R36" s="813"/>
      <c r="S36" s="814"/>
      <c r="T36" s="815"/>
      <c r="U36" s="816"/>
      <c r="V36" s="817"/>
      <c r="W36" s="818"/>
      <c r="X36" s="819"/>
      <c r="Y36" s="820"/>
      <c r="Z36" s="821"/>
      <c r="AA36" s="822"/>
      <c r="AB36" s="823"/>
      <c r="AC36" s="824"/>
      <c r="AD36" s="215"/>
    </row>
    <row r="37" spans="1:30" ht="16.5" customHeight="1" thickBot="1" thickTop="1">
      <c r="A37" s="32"/>
      <c r="B37" s="50"/>
      <c r="C37" s="442"/>
      <c r="D37" s="442"/>
      <c r="E37" s="453"/>
      <c r="F37" s="449"/>
      <c r="G37" s="454"/>
      <c r="H37" s="454"/>
      <c r="I37" s="455"/>
      <c r="J37" s="455"/>
      <c r="K37" s="455"/>
      <c r="L37" s="455"/>
      <c r="M37" s="455"/>
      <c r="N37" s="455"/>
      <c r="O37" s="456"/>
      <c r="P37" s="455"/>
      <c r="Q37" s="455"/>
      <c r="R37" s="825">
        <f aca="true" t="shared" si="0" ref="R37:AA37">SUM(R32:R36)</f>
        <v>0</v>
      </c>
      <c r="S37" s="826">
        <f t="shared" si="0"/>
        <v>0</v>
      </c>
      <c r="T37" s="827">
        <f t="shared" si="0"/>
        <v>0</v>
      </c>
      <c r="U37" s="827">
        <f t="shared" si="0"/>
        <v>0</v>
      </c>
      <c r="V37" s="827">
        <f t="shared" si="0"/>
        <v>0</v>
      </c>
      <c r="W37" s="828">
        <f t="shared" si="0"/>
        <v>0</v>
      </c>
      <c r="X37" s="828">
        <f t="shared" si="0"/>
        <v>0</v>
      </c>
      <c r="Y37" s="828">
        <f t="shared" si="0"/>
        <v>0</v>
      </c>
      <c r="Z37" s="829">
        <f t="shared" si="0"/>
        <v>0</v>
      </c>
      <c r="AA37" s="830">
        <f t="shared" si="0"/>
        <v>0</v>
      </c>
      <c r="AB37" s="831"/>
      <c r="AC37" s="832">
        <f>SUM(AC32:AC36)</f>
        <v>0</v>
      </c>
      <c r="AD37" s="215"/>
    </row>
    <row r="38" spans="1:30" ht="13.5" customHeight="1" thickBot="1" thickTop="1">
      <c r="A38" s="32"/>
      <c r="B38" s="50"/>
      <c r="C38" s="442"/>
      <c r="D38" s="442"/>
      <c r="E38" s="453"/>
      <c r="F38" s="449"/>
      <c r="G38" s="454"/>
      <c r="H38" s="454"/>
      <c r="I38" s="455"/>
      <c r="J38" s="455"/>
      <c r="K38" s="455"/>
      <c r="L38" s="455"/>
      <c r="M38" s="455"/>
      <c r="N38" s="455"/>
      <c r="O38" s="456"/>
      <c r="P38" s="455"/>
      <c r="Q38" s="455"/>
      <c r="R38" s="833"/>
      <c r="S38" s="834"/>
      <c r="T38" s="835"/>
      <c r="U38" s="835"/>
      <c r="V38" s="835"/>
      <c r="W38" s="833"/>
      <c r="X38" s="833"/>
      <c r="Y38" s="833"/>
      <c r="Z38" s="833"/>
      <c r="AA38" s="833"/>
      <c r="AB38" s="457"/>
      <c r="AC38" s="458"/>
      <c r="AD38" s="215"/>
    </row>
    <row r="39" spans="1:33" s="5" customFormat="1" ht="33.75" customHeight="1" thickBot="1" thickTop="1">
      <c r="A39" s="88"/>
      <c r="B39" s="93"/>
      <c r="C39" s="121" t="s">
        <v>12</v>
      </c>
      <c r="D39" s="117" t="s">
        <v>25</v>
      </c>
      <c r="E39" s="116" t="s">
        <v>26</v>
      </c>
      <c r="F39" s="118" t="s">
        <v>127</v>
      </c>
      <c r="G39" s="119" t="s">
        <v>13</v>
      </c>
      <c r="H39" s="127" t="s">
        <v>15</v>
      </c>
      <c r="I39" s="836"/>
      <c r="J39" s="116" t="s">
        <v>16</v>
      </c>
      <c r="K39" s="116" t="s">
        <v>17</v>
      </c>
      <c r="L39" s="117" t="s">
        <v>28</v>
      </c>
      <c r="M39" s="117" t="s">
        <v>29</v>
      </c>
      <c r="N39" s="87" t="s">
        <v>79</v>
      </c>
      <c r="O39" s="116" t="s">
        <v>30</v>
      </c>
      <c r="P39" s="459" t="s">
        <v>31</v>
      </c>
      <c r="Q39" s="837"/>
      <c r="R39" s="127" t="s">
        <v>32</v>
      </c>
      <c r="S39" s="460" t="s">
        <v>19</v>
      </c>
      <c r="T39" s="461" t="s">
        <v>80</v>
      </c>
      <c r="U39" s="462"/>
      <c r="V39" s="463" t="s">
        <v>21</v>
      </c>
      <c r="W39" s="838"/>
      <c r="X39" s="839"/>
      <c r="Y39" s="839"/>
      <c r="Z39" s="839"/>
      <c r="AA39" s="840"/>
      <c r="AB39" s="130" t="s">
        <v>58</v>
      </c>
      <c r="AC39" s="119" t="s">
        <v>22</v>
      </c>
      <c r="AD39" s="17"/>
      <c r="AF39"/>
      <c r="AG39"/>
    </row>
    <row r="40" spans="1:30" ht="16.5" customHeight="1" thickBot="1" thickTop="1">
      <c r="A40" s="5"/>
      <c r="B40" s="50"/>
      <c r="C40" s="7"/>
      <c r="D40" s="10"/>
      <c r="E40" s="10"/>
      <c r="F40" s="10"/>
      <c r="G40" s="464"/>
      <c r="H40" s="465"/>
      <c r="I40" s="841"/>
      <c r="J40" s="10"/>
      <c r="K40" s="10"/>
      <c r="L40" s="10"/>
      <c r="M40" s="10"/>
      <c r="N40" s="10"/>
      <c r="O40" s="466"/>
      <c r="P40" s="952"/>
      <c r="Q40" s="953"/>
      <c r="R40" s="131"/>
      <c r="S40" s="467"/>
      <c r="T40" s="468"/>
      <c r="U40" s="469"/>
      <c r="V40" s="470"/>
      <c r="W40" s="844"/>
      <c r="X40" s="845"/>
      <c r="Y40" s="845"/>
      <c r="Z40" s="845"/>
      <c r="AA40" s="846"/>
      <c r="AB40" s="466"/>
      <c r="AC40" s="471"/>
      <c r="AD40" s="17"/>
    </row>
    <row r="41" spans="1:30" ht="16.5" customHeight="1" thickBot="1" thickTop="1">
      <c r="A41" s="32"/>
      <c r="B41" s="50"/>
      <c r="C41" s="96"/>
      <c r="D41" s="194"/>
      <c r="E41" s="194"/>
      <c r="F41" s="383"/>
      <c r="G41" s="500"/>
      <c r="H41" s="868"/>
      <c r="I41" s="869"/>
      <c r="J41" s="502"/>
      <c r="K41" s="503"/>
      <c r="L41" s="504"/>
      <c r="M41" s="505"/>
      <c r="N41" s="501"/>
      <c r="O41" s="183"/>
      <c r="P41" s="512"/>
      <c r="Q41" s="512"/>
      <c r="R41" s="870"/>
      <c r="S41" s="871"/>
      <c r="T41" s="872"/>
      <c r="U41" s="872"/>
      <c r="V41" s="873"/>
      <c r="W41" s="874"/>
      <c r="X41" s="874"/>
      <c r="Y41" s="874"/>
      <c r="Z41" s="874"/>
      <c r="AA41" s="874"/>
      <c r="AB41" s="184"/>
      <c r="AC41" s="943">
        <f>SUM(AC40:AC40)</f>
        <v>0</v>
      </c>
      <c r="AD41" s="215"/>
    </row>
    <row r="42" spans="1:30" ht="16.5" customHeight="1" thickBot="1" thickTop="1">
      <c r="A42" s="32"/>
      <c r="B42" s="50"/>
      <c r="C42" s="96"/>
      <c r="D42" s="194"/>
      <c r="E42" s="96"/>
      <c r="F42" s="194"/>
      <c r="G42" s="96"/>
      <c r="H42" s="194"/>
      <c r="I42" s="96"/>
      <c r="J42" s="194"/>
      <c r="K42" s="96"/>
      <c r="L42" s="194"/>
      <c r="M42" s="96"/>
      <c r="N42" s="194"/>
      <c r="O42" s="96"/>
      <c r="P42" s="194"/>
      <c r="Q42" s="96"/>
      <c r="R42" s="194"/>
      <c r="S42" s="96"/>
      <c r="T42" s="194"/>
      <c r="U42" s="96"/>
      <c r="V42" s="194"/>
      <c r="W42" s="96"/>
      <c r="X42" s="194"/>
      <c r="Y42" s="96"/>
      <c r="Z42" s="194"/>
      <c r="AA42" s="96"/>
      <c r="AB42" s="194"/>
      <c r="AC42" s="96"/>
      <c r="AD42" s="215"/>
    </row>
    <row r="43" spans="1:33" s="5" customFormat="1" ht="33.75" customHeight="1" thickBot="1" thickTop="1">
      <c r="A43" s="88"/>
      <c r="B43" s="93"/>
      <c r="C43" s="121" t="s">
        <v>12</v>
      </c>
      <c r="D43" s="117" t="s">
        <v>25</v>
      </c>
      <c r="E43" s="116" t="s">
        <v>26</v>
      </c>
      <c r="F43" s="971" t="s">
        <v>13</v>
      </c>
      <c r="G43" s="972"/>
      <c r="H43" s="127" t="s">
        <v>15</v>
      </c>
      <c r="I43" s="836"/>
      <c r="J43" s="116" t="s">
        <v>16</v>
      </c>
      <c r="K43" s="116" t="s">
        <v>17</v>
      </c>
      <c r="L43" s="117" t="s">
        <v>28</v>
      </c>
      <c r="M43" s="117" t="s">
        <v>29</v>
      </c>
      <c r="N43" s="87" t="s">
        <v>79</v>
      </c>
      <c r="O43" s="954" t="s">
        <v>30</v>
      </c>
      <c r="P43" s="955"/>
      <c r="Q43" s="956"/>
      <c r="R43" s="133" t="s">
        <v>35</v>
      </c>
      <c r="S43" s="338" t="s">
        <v>55</v>
      </c>
      <c r="T43" s="172" t="s">
        <v>33</v>
      </c>
      <c r="U43" s="339"/>
      <c r="V43" s="132" t="s">
        <v>21</v>
      </c>
      <c r="W43" s="839"/>
      <c r="X43" s="839"/>
      <c r="Y43" s="839"/>
      <c r="Z43" s="839"/>
      <c r="AA43" s="840"/>
      <c r="AB43" s="130" t="s">
        <v>58</v>
      </c>
      <c r="AC43" s="119" t="s">
        <v>22</v>
      </c>
      <c r="AD43" s="17"/>
      <c r="AF43"/>
      <c r="AG43"/>
    </row>
    <row r="44" spans="1:30" ht="16.5" customHeight="1" thickTop="1">
      <c r="A44" s="5"/>
      <c r="B44" s="50"/>
      <c r="C44" s="7"/>
      <c r="D44" s="10"/>
      <c r="E44" s="10"/>
      <c r="F44" s="952"/>
      <c r="G44" s="953"/>
      <c r="H44" s="465"/>
      <c r="I44" s="841"/>
      <c r="J44" s="10"/>
      <c r="K44" s="10"/>
      <c r="L44" s="10"/>
      <c r="M44" s="10"/>
      <c r="N44" s="10"/>
      <c r="O44" s="952"/>
      <c r="P44" s="974"/>
      <c r="Q44" s="953"/>
      <c r="R44" s="588"/>
      <c r="S44" s="342"/>
      <c r="T44" s="343"/>
      <c r="U44" s="344"/>
      <c r="V44" s="345"/>
      <c r="W44" s="845"/>
      <c r="X44" s="845"/>
      <c r="Y44" s="845"/>
      <c r="Z44" s="845"/>
      <c r="AA44" s="846"/>
      <c r="AB44" s="466"/>
      <c r="AC44" s="471"/>
      <c r="AD44" s="17"/>
    </row>
    <row r="45" spans="1:30" ht="15">
      <c r="A45" s="5"/>
      <c r="B45" s="50"/>
      <c r="C45" s="681" t="s">
        <v>108</v>
      </c>
      <c r="D45" s="472" t="s">
        <v>267</v>
      </c>
      <c r="E45" s="473" t="s">
        <v>280</v>
      </c>
      <c r="F45" s="973">
        <v>132</v>
      </c>
      <c r="G45" s="951"/>
      <c r="H45" s="476">
        <f aca="true" t="shared" si="1" ref="H45:H50">IF(F45=132,$F$22,0)</f>
        <v>39.254</v>
      </c>
      <c r="I45" s="847"/>
      <c r="J45" s="356">
        <v>40007.32916666667</v>
      </c>
      <c r="K45" s="178">
        <v>40007.69513888889</v>
      </c>
      <c r="L45" s="280">
        <f aca="true" t="shared" si="2" ref="L45:L50">IF(D45="","",(K45-J45)*24)</f>
        <v>8.783333333325572</v>
      </c>
      <c r="M45" s="14">
        <f aca="true" t="shared" si="3" ref="M45:M50">IF(D45="","",(K45-J45)*24*60)</f>
        <v>526.9999999995343</v>
      </c>
      <c r="N45" s="13" t="s">
        <v>134</v>
      </c>
      <c r="O45" s="968" t="str">
        <f aca="true" t="shared" si="4" ref="O45:O50">IF(D45="","",IF(N45="P","--","NO"))</f>
        <v>--</v>
      </c>
      <c r="P45" s="969"/>
      <c r="Q45" s="970"/>
      <c r="R45" s="588">
        <f aca="true" t="shared" si="5" ref="R45:R50">IF(F45=132,40,0)</f>
        <v>40</v>
      </c>
      <c r="S45" s="722">
        <f aca="true" t="shared" si="6" ref="S45:S50">IF(N45="P",H45*R45*ROUND(M45/60,2)*0.1,"--")</f>
        <v>1378.6004799999998</v>
      </c>
      <c r="T45" s="181" t="str">
        <f aca="true" t="shared" si="7" ref="T45:T50">IF(AND(N45="F",O45="NO"),H45*R45,"--")</f>
        <v>--</v>
      </c>
      <c r="U45" s="351" t="str">
        <f aca="true" t="shared" si="8" ref="U45:U50">IF(N45="F",H45*R45*ROUND(M45/60,2),"--")</f>
        <v>--</v>
      </c>
      <c r="V45" s="352" t="str">
        <f aca="true" t="shared" si="9" ref="V45:V50">IF(N45="RF",H45*R45*ROUND(M45/60,2),"--")</f>
        <v>--</v>
      </c>
      <c r="W45" s="851"/>
      <c r="X45" s="851"/>
      <c r="Y45" s="851"/>
      <c r="Z45" s="851"/>
      <c r="AA45" s="852"/>
      <c r="AB45" s="290" t="s">
        <v>117</v>
      </c>
      <c r="AC45" s="359">
        <f aca="true" t="shared" si="10" ref="AC45:AC50">IF(D45="","",SUM(S45:V45)*IF(AB45="SI",1,2))</f>
        <v>1378.6004799999998</v>
      </c>
      <c r="AD45" s="215"/>
    </row>
    <row r="46" spans="1:30" ht="16.5" customHeight="1">
      <c r="A46" s="5"/>
      <c r="B46" s="50"/>
      <c r="C46" s="681" t="s">
        <v>109</v>
      </c>
      <c r="D46" s="472" t="s">
        <v>267</v>
      </c>
      <c r="E46" s="473" t="s">
        <v>281</v>
      </c>
      <c r="F46" s="973">
        <v>132</v>
      </c>
      <c r="G46" s="951"/>
      <c r="H46" s="476">
        <f t="shared" si="1"/>
        <v>39.254</v>
      </c>
      <c r="I46" s="847"/>
      <c r="J46" s="477">
        <v>40007.32916666667</v>
      </c>
      <c r="K46" s="477">
        <v>40007.69513888889</v>
      </c>
      <c r="L46" s="280">
        <f t="shared" si="2"/>
        <v>8.783333333325572</v>
      </c>
      <c r="M46" s="14">
        <f t="shared" si="3"/>
        <v>526.9999999995343</v>
      </c>
      <c r="N46" s="13" t="s">
        <v>134</v>
      </c>
      <c r="O46" s="968" t="str">
        <f t="shared" si="4"/>
        <v>--</v>
      </c>
      <c r="P46" s="969"/>
      <c r="Q46" s="970"/>
      <c r="R46" s="588">
        <f t="shared" si="5"/>
        <v>40</v>
      </c>
      <c r="S46" s="722">
        <f t="shared" si="6"/>
        <v>1378.6004799999998</v>
      </c>
      <c r="T46" s="181" t="str">
        <f t="shared" si="7"/>
        <v>--</v>
      </c>
      <c r="U46" s="351" t="str">
        <f t="shared" si="8"/>
        <v>--</v>
      </c>
      <c r="V46" s="352" t="str">
        <f t="shared" si="9"/>
        <v>--</v>
      </c>
      <c r="W46" s="851"/>
      <c r="X46" s="851"/>
      <c r="Y46" s="851"/>
      <c r="Z46" s="851"/>
      <c r="AA46" s="852"/>
      <c r="AB46" s="290" t="s">
        <v>117</v>
      </c>
      <c r="AC46" s="359">
        <f t="shared" si="10"/>
        <v>1378.6004799999998</v>
      </c>
      <c r="AD46" s="17"/>
    </row>
    <row r="47" spans="1:30" ht="16.5" customHeight="1">
      <c r="A47" s="5"/>
      <c r="B47" s="50"/>
      <c r="C47" s="681" t="s">
        <v>110</v>
      </c>
      <c r="D47" s="472" t="s">
        <v>267</v>
      </c>
      <c r="E47" s="473" t="s">
        <v>280</v>
      </c>
      <c r="F47" s="973">
        <v>132</v>
      </c>
      <c r="G47" s="951"/>
      <c r="H47" s="476">
        <f t="shared" si="1"/>
        <v>39.254</v>
      </c>
      <c r="I47" s="847"/>
      <c r="J47" s="477">
        <v>40015.361805555556</v>
      </c>
      <c r="K47" s="477">
        <v>40015.70763888889</v>
      </c>
      <c r="L47" s="280">
        <f t="shared" si="2"/>
        <v>8.299999999988358</v>
      </c>
      <c r="M47" s="14">
        <f t="shared" si="3"/>
        <v>497.9999999993015</v>
      </c>
      <c r="N47" s="13" t="s">
        <v>134</v>
      </c>
      <c r="O47" s="968" t="str">
        <f t="shared" si="4"/>
        <v>--</v>
      </c>
      <c r="P47" s="969"/>
      <c r="Q47" s="970"/>
      <c r="R47" s="588">
        <f t="shared" si="5"/>
        <v>40</v>
      </c>
      <c r="S47" s="722">
        <f t="shared" si="6"/>
        <v>1303.2328</v>
      </c>
      <c r="T47" s="181" t="str">
        <f t="shared" si="7"/>
        <v>--</v>
      </c>
      <c r="U47" s="351" t="str">
        <f t="shared" si="8"/>
        <v>--</v>
      </c>
      <c r="V47" s="352" t="str">
        <f t="shared" si="9"/>
        <v>--</v>
      </c>
      <c r="W47" s="851"/>
      <c r="X47" s="851"/>
      <c r="Y47" s="851"/>
      <c r="Z47" s="851"/>
      <c r="AA47" s="852"/>
      <c r="AB47" s="290" t="s">
        <v>117</v>
      </c>
      <c r="AC47" s="359">
        <f t="shared" si="10"/>
        <v>1303.2328</v>
      </c>
      <c r="AD47" s="17"/>
    </row>
    <row r="48" spans="1:30" ht="16.5" customHeight="1">
      <c r="A48" s="5"/>
      <c r="B48" s="50"/>
      <c r="C48" s="681" t="s">
        <v>111</v>
      </c>
      <c r="D48" s="472" t="s">
        <v>267</v>
      </c>
      <c r="E48" s="473" t="s">
        <v>281</v>
      </c>
      <c r="F48" s="973">
        <v>132</v>
      </c>
      <c r="G48" s="951"/>
      <c r="H48" s="476">
        <f t="shared" si="1"/>
        <v>39.254</v>
      </c>
      <c r="I48" s="847"/>
      <c r="J48" s="477">
        <v>40015.361805555556</v>
      </c>
      <c r="K48" s="477">
        <v>40015.70763888889</v>
      </c>
      <c r="L48" s="280">
        <f t="shared" si="2"/>
        <v>8.299999999988358</v>
      </c>
      <c r="M48" s="14">
        <f t="shared" si="3"/>
        <v>497.9999999993015</v>
      </c>
      <c r="N48" s="13" t="s">
        <v>134</v>
      </c>
      <c r="O48" s="968" t="str">
        <f t="shared" si="4"/>
        <v>--</v>
      </c>
      <c r="P48" s="969"/>
      <c r="Q48" s="970"/>
      <c r="R48" s="588">
        <f t="shared" si="5"/>
        <v>40</v>
      </c>
      <c r="S48" s="722">
        <f t="shared" si="6"/>
        <v>1303.2328</v>
      </c>
      <c r="T48" s="181" t="str">
        <f t="shared" si="7"/>
        <v>--</v>
      </c>
      <c r="U48" s="351" t="str">
        <f t="shared" si="8"/>
        <v>--</v>
      </c>
      <c r="V48" s="352" t="str">
        <f t="shared" si="9"/>
        <v>--</v>
      </c>
      <c r="W48" s="851"/>
      <c r="X48" s="851"/>
      <c r="Y48" s="851"/>
      <c r="Z48" s="851"/>
      <c r="AA48" s="852"/>
      <c r="AB48" s="290" t="s">
        <v>117</v>
      </c>
      <c r="AC48" s="359">
        <f t="shared" si="10"/>
        <v>1303.2328</v>
      </c>
      <c r="AD48" s="17"/>
    </row>
    <row r="49" spans="1:30" ht="16.5" customHeight="1">
      <c r="A49" s="5"/>
      <c r="B49" s="50"/>
      <c r="C49" s="681" t="s">
        <v>112</v>
      </c>
      <c r="D49" s="472" t="s">
        <v>267</v>
      </c>
      <c r="E49" s="473" t="s">
        <v>281</v>
      </c>
      <c r="F49" s="973">
        <v>132</v>
      </c>
      <c r="G49" s="951"/>
      <c r="H49" s="476">
        <f t="shared" si="1"/>
        <v>39.254</v>
      </c>
      <c r="I49" s="847"/>
      <c r="J49" s="477">
        <v>40022.31736111111</v>
      </c>
      <c r="K49" s="477">
        <v>40022.72083333333</v>
      </c>
      <c r="L49" s="280">
        <f t="shared" si="2"/>
        <v>9.683333333290648</v>
      </c>
      <c r="M49" s="14">
        <f t="shared" si="3"/>
        <v>580.9999999974389</v>
      </c>
      <c r="N49" s="13" t="s">
        <v>134</v>
      </c>
      <c r="O49" s="968" t="str">
        <f t="shared" si="4"/>
        <v>--</v>
      </c>
      <c r="P49" s="969"/>
      <c r="Q49" s="970"/>
      <c r="R49" s="588">
        <f t="shared" si="5"/>
        <v>40</v>
      </c>
      <c r="S49" s="722">
        <f t="shared" si="6"/>
        <v>1519.91488</v>
      </c>
      <c r="T49" s="181" t="str">
        <f t="shared" si="7"/>
        <v>--</v>
      </c>
      <c r="U49" s="351" t="str">
        <f t="shared" si="8"/>
        <v>--</v>
      </c>
      <c r="V49" s="352" t="str">
        <f t="shared" si="9"/>
        <v>--</v>
      </c>
      <c r="W49" s="851"/>
      <c r="X49" s="851"/>
      <c r="Y49" s="851"/>
      <c r="Z49" s="851"/>
      <c r="AA49" s="852"/>
      <c r="AB49" s="290" t="s">
        <v>117</v>
      </c>
      <c r="AC49" s="359">
        <f t="shared" si="10"/>
        <v>1519.91488</v>
      </c>
      <c r="AD49" s="17"/>
    </row>
    <row r="50" spans="1:30" ht="16.5" customHeight="1">
      <c r="A50" s="5"/>
      <c r="B50" s="50"/>
      <c r="C50" s="681" t="s">
        <v>113</v>
      </c>
      <c r="D50" s="472" t="s">
        <v>267</v>
      </c>
      <c r="E50" s="473" t="s">
        <v>280</v>
      </c>
      <c r="F50" s="973">
        <v>132</v>
      </c>
      <c r="G50" s="951"/>
      <c r="H50" s="476">
        <f t="shared" si="1"/>
        <v>39.254</v>
      </c>
      <c r="I50" s="847"/>
      <c r="J50" s="477">
        <v>40022.31736111111</v>
      </c>
      <c r="K50" s="477">
        <v>40022.72083333333</v>
      </c>
      <c r="L50" s="280">
        <f t="shared" si="2"/>
        <v>9.683333333290648</v>
      </c>
      <c r="M50" s="14">
        <f t="shared" si="3"/>
        <v>580.9999999974389</v>
      </c>
      <c r="N50" s="13" t="s">
        <v>134</v>
      </c>
      <c r="O50" s="968" t="str">
        <f t="shared" si="4"/>
        <v>--</v>
      </c>
      <c r="P50" s="969"/>
      <c r="Q50" s="970"/>
      <c r="R50" s="588">
        <f t="shared" si="5"/>
        <v>40</v>
      </c>
      <c r="S50" s="722">
        <f t="shared" si="6"/>
        <v>1519.91488</v>
      </c>
      <c r="T50" s="181" t="str">
        <f t="shared" si="7"/>
        <v>--</v>
      </c>
      <c r="U50" s="351" t="str">
        <f t="shared" si="8"/>
        <v>--</v>
      </c>
      <c r="V50" s="352" t="str">
        <f t="shared" si="9"/>
        <v>--</v>
      </c>
      <c r="W50" s="851"/>
      <c r="X50" s="851"/>
      <c r="Y50" s="851"/>
      <c r="Z50" s="851"/>
      <c r="AA50" s="852"/>
      <c r="AB50" s="290" t="s">
        <v>117</v>
      </c>
      <c r="AC50" s="359">
        <f t="shared" si="10"/>
        <v>1519.91488</v>
      </c>
      <c r="AD50" s="17"/>
    </row>
    <row r="51" spans="1:30" ht="16.5" customHeight="1">
      <c r="A51" s="5"/>
      <c r="B51" s="50"/>
      <c r="C51" s="681" t="s">
        <v>114</v>
      </c>
      <c r="D51" s="472"/>
      <c r="E51" s="473"/>
      <c r="F51" s="973"/>
      <c r="G51" s="951"/>
      <c r="H51" s="476"/>
      <c r="I51" s="847"/>
      <c r="J51" s="477"/>
      <c r="K51" s="477"/>
      <c r="L51" s="280"/>
      <c r="M51" s="14"/>
      <c r="N51" s="13"/>
      <c r="O51" s="968"/>
      <c r="P51" s="969"/>
      <c r="Q51" s="970"/>
      <c r="R51" s="588"/>
      <c r="S51" s="722"/>
      <c r="T51" s="181"/>
      <c r="U51" s="351"/>
      <c r="V51" s="352"/>
      <c r="W51" s="851"/>
      <c r="X51" s="851"/>
      <c r="Y51" s="851"/>
      <c r="Z51" s="851"/>
      <c r="AA51" s="852"/>
      <c r="AB51" s="290"/>
      <c r="AC51" s="359"/>
      <c r="AD51" s="17"/>
    </row>
    <row r="52" spans="1:30" ht="16.5" customHeight="1">
      <c r="A52" s="5"/>
      <c r="B52" s="50"/>
      <c r="C52" s="681" t="s">
        <v>115</v>
      </c>
      <c r="D52" s="472"/>
      <c r="E52" s="473"/>
      <c r="F52" s="973"/>
      <c r="G52" s="951"/>
      <c r="H52" s="476"/>
      <c r="I52" s="847"/>
      <c r="J52" s="477"/>
      <c r="K52" s="477"/>
      <c r="L52" s="280"/>
      <c r="M52" s="14"/>
      <c r="N52" s="13"/>
      <c r="O52" s="968"/>
      <c r="P52" s="969"/>
      <c r="Q52" s="970"/>
      <c r="R52" s="588"/>
      <c r="S52" s="722"/>
      <c r="T52" s="181"/>
      <c r="U52" s="351"/>
      <c r="V52" s="352"/>
      <c r="W52" s="851"/>
      <c r="X52" s="851"/>
      <c r="Y52" s="851"/>
      <c r="Z52" s="851"/>
      <c r="AA52" s="852"/>
      <c r="AB52" s="290"/>
      <c r="AC52" s="359"/>
      <c r="AD52" s="17"/>
    </row>
    <row r="53" spans="1:30" ht="16.5" customHeight="1">
      <c r="A53" s="5"/>
      <c r="B53" s="50"/>
      <c r="C53" s="681" t="s">
        <v>282</v>
      </c>
      <c r="D53" s="472"/>
      <c r="E53" s="473"/>
      <c r="F53" s="973"/>
      <c r="G53" s="951"/>
      <c r="H53" s="476"/>
      <c r="I53" s="847"/>
      <c r="J53" s="477"/>
      <c r="K53" s="477"/>
      <c r="L53" s="280">
        <f>IF(D53="","",(K53-J53)*24)</f>
      </c>
      <c r="M53" s="14">
        <f>IF(D53="","",(K53-J53)*24*60)</f>
      </c>
      <c r="N53" s="13"/>
      <c r="O53" s="968">
        <f>IF(D53="","",IF(N53="P","--","NO"))</f>
      </c>
      <c r="P53" s="969"/>
      <c r="Q53" s="970"/>
      <c r="R53" s="588"/>
      <c r="S53" s="722"/>
      <c r="T53" s="181"/>
      <c r="U53" s="351"/>
      <c r="V53" s="352"/>
      <c r="W53" s="851"/>
      <c r="X53" s="851"/>
      <c r="Y53" s="851"/>
      <c r="Z53" s="851"/>
      <c r="AA53" s="852"/>
      <c r="AB53" s="290"/>
      <c r="AC53" s="359"/>
      <c r="AD53" s="17"/>
    </row>
    <row r="54" spans="1:30" ht="16.5" customHeight="1" thickBot="1">
      <c r="A54" s="32"/>
      <c r="B54" s="50"/>
      <c r="C54" s="482"/>
      <c r="D54" s="483"/>
      <c r="E54" s="484"/>
      <c r="F54" s="978"/>
      <c r="G54" s="979"/>
      <c r="H54" s="487"/>
      <c r="I54" s="853"/>
      <c r="J54" s="488"/>
      <c r="K54" s="489"/>
      <c r="L54" s="490"/>
      <c r="M54" s="491"/>
      <c r="N54" s="492"/>
      <c r="O54" s="980"/>
      <c r="P54" s="981"/>
      <c r="Q54" s="982"/>
      <c r="R54" s="588"/>
      <c r="S54" s="722"/>
      <c r="T54" s="181"/>
      <c r="U54" s="351"/>
      <c r="V54" s="352"/>
      <c r="W54" s="857"/>
      <c r="X54" s="857"/>
      <c r="Y54" s="857"/>
      <c r="Z54" s="857"/>
      <c r="AA54" s="858"/>
      <c r="AB54" s="498"/>
      <c r="AC54" s="359"/>
      <c r="AD54" s="215"/>
    </row>
    <row r="55" spans="1:30" ht="16.5" customHeight="1" thickBot="1" thickTop="1">
      <c r="A55" s="32"/>
      <c r="B55" s="50"/>
      <c r="C55" s="96"/>
      <c r="D55" s="194"/>
      <c r="E55" s="194"/>
      <c r="F55" s="383"/>
      <c r="G55" s="500"/>
      <c r="H55" s="501"/>
      <c r="I55" s="502"/>
      <c r="J55" s="503"/>
      <c r="K55" s="504"/>
      <c r="L55" s="505"/>
      <c r="M55" s="501"/>
      <c r="N55" s="506"/>
      <c r="O55" s="183"/>
      <c r="P55" s="507"/>
      <c r="Q55" s="508"/>
      <c r="R55" s="509"/>
      <c r="S55" s="509"/>
      <c r="T55" s="509"/>
      <c r="U55" s="184"/>
      <c r="V55" s="184"/>
      <c r="W55" s="184"/>
      <c r="X55" s="184"/>
      <c r="Y55" s="184"/>
      <c r="Z55" s="184"/>
      <c r="AA55" s="184"/>
      <c r="AB55" s="184"/>
      <c r="AC55" s="943">
        <f>SUM(AC44:AC54)</f>
        <v>8403.49632</v>
      </c>
      <c r="AD55" s="215"/>
    </row>
    <row r="56" spans="1:30" ht="16.5" customHeight="1" thickBot="1" thickTop="1">
      <c r="A56" s="32"/>
      <c r="B56" s="50"/>
      <c r="C56" s="96"/>
      <c r="D56" s="194"/>
      <c r="E56" s="194"/>
      <c r="F56" s="383"/>
      <c r="G56" s="500"/>
      <c r="H56" s="501"/>
      <c r="I56" s="502"/>
      <c r="J56" s="450" t="s">
        <v>40</v>
      </c>
      <c r="K56" s="752">
        <f>+AC41+AC37+AC55</f>
        <v>8403.49632</v>
      </c>
      <c r="L56" s="505"/>
      <c r="M56" s="501"/>
      <c r="N56" s="511"/>
      <c r="O56" s="512"/>
      <c r="P56" s="507"/>
      <c r="Q56" s="508"/>
      <c r="R56" s="509"/>
      <c r="S56" s="509"/>
      <c r="T56" s="509"/>
      <c r="U56" s="184"/>
      <c r="V56" s="184"/>
      <c r="W56" s="184"/>
      <c r="X56" s="184"/>
      <c r="Y56" s="184"/>
      <c r="Z56" s="184"/>
      <c r="AA56" s="184"/>
      <c r="AB56" s="184"/>
      <c r="AC56" s="859"/>
      <c r="AD56" s="215"/>
    </row>
    <row r="57" spans="1:30" ht="13.5" customHeight="1" thickTop="1">
      <c r="A57" s="32"/>
      <c r="B57" s="440"/>
      <c r="C57" s="442"/>
      <c r="D57" s="513"/>
      <c r="E57" s="514"/>
      <c r="F57" s="515"/>
      <c r="G57" s="516"/>
      <c r="H57" s="516"/>
      <c r="I57" s="514"/>
      <c r="J57" s="432"/>
      <c r="K57" s="432"/>
      <c r="L57" s="514"/>
      <c r="M57" s="514"/>
      <c r="N57" s="514"/>
      <c r="O57" s="517"/>
      <c r="P57" s="514"/>
      <c r="Q57" s="514"/>
      <c r="R57" s="518"/>
      <c r="S57" s="519"/>
      <c r="T57" s="519"/>
      <c r="U57" s="520"/>
      <c r="AC57" s="520"/>
      <c r="AD57" s="521"/>
    </row>
    <row r="58" spans="1:30" ht="16.5" customHeight="1">
      <c r="A58" s="32"/>
      <c r="B58" s="440"/>
      <c r="C58" s="522" t="s">
        <v>81</v>
      </c>
      <c r="D58" s="523" t="s">
        <v>103</v>
      </c>
      <c r="E58" s="514"/>
      <c r="F58" s="515"/>
      <c r="G58" s="516"/>
      <c r="H58" s="516"/>
      <c r="I58" s="514"/>
      <c r="J58" s="432"/>
      <c r="K58" s="432"/>
      <c r="L58" s="514"/>
      <c r="M58" s="514"/>
      <c r="N58" s="514"/>
      <c r="O58" s="517"/>
      <c r="P58" s="514"/>
      <c r="Q58" s="514"/>
      <c r="R58" s="518"/>
      <c r="S58" s="519"/>
      <c r="T58" s="519"/>
      <c r="U58" s="520"/>
      <c r="AC58" s="520"/>
      <c r="AD58" s="521"/>
    </row>
    <row r="59" spans="1:30" ht="16.5" customHeight="1">
      <c r="A59" s="32"/>
      <c r="B59" s="440"/>
      <c r="C59" s="522"/>
      <c r="D59" s="513"/>
      <c r="E59" s="514"/>
      <c r="F59" s="515"/>
      <c r="G59" s="516"/>
      <c r="H59" s="516"/>
      <c r="I59" s="514"/>
      <c r="J59" s="432"/>
      <c r="K59" s="432"/>
      <c r="L59" s="514"/>
      <c r="M59" s="514"/>
      <c r="N59" s="514"/>
      <c r="O59" s="517"/>
      <c r="P59" s="514"/>
      <c r="Q59" s="514"/>
      <c r="R59" s="514"/>
      <c r="S59" s="518"/>
      <c r="T59" s="519"/>
      <c r="AD59" s="521"/>
    </row>
    <row r="60" spans="2:30" s="32" customFormat="1" ht="16.5" customHeight="1">
      <c r="B60" s="440"/>
      <c r="C60" s="442"/>
      <c r="D60" s="524" t="s">
        <v>0</v>
      </c>
      <c r="E60" s="455" t="s">
        <v>233</v>
      </c>
      <c r="F60" s="455" t="s">
        <v>41</v>
      </c>
      <c r="G60" s="525" t="s">
        <v>234</v>
      </c>
      <c r="H60" s="456"/>
      <c r="I60" s="455"/>
      <c r="J60"/>
      <c r="K60"/>
      <c r="L60" s="526" t="s">
        <v>235</v>
      </c>
      <c r="M60"/>
      <c r="N60"/>
      <c r="O60"/>
      <c r="P60"/>
      <c r="Q60" s="529"/>
      <c r="R60" s="529"/>
      <c r="S60" s="33"/>
      <c r="T60"/>
      <c r="U60"/>
      <c r="V60"/>
      <c r="W60"/>
      <c r="X60" s="33"/>
      <c r="Y60" s="33"/>
      <c r="Z60" s="33"/>
      <c r="AA60" s="33"/>
      <c r="AB60" s="33"/>
      <c r="AC60" s="860" t="s">
        <v>236</v>
      </c>
      <c r="AD60" s="521"/>
    </row>
    <row r="61" spans="2:30" s="32" customFormat="1" ht="16.5" customHeight="1">
      <c r="B61" s="440"/>
      <c r="C61" s="442"/>
      <c r="D61" s="455" t="s">
        <v>243</v>
      </c>
      <c r="E61" s="457">
        <v>386.15</v>
      </c>
      <c r="F61" s="530">
        <v>500</v>
      </c>
      <c r="G61" s="975">
        <f>E61*$F$19*$L$20/100</f>
        <v>336650.11112399993</v>
      </c>
      <c r="H61" s="976"/>
      <c r="I61" s="976"/>
      <c r="J61" s="976"/>
      <c r="K61"/>
      <c r="L61" s="532">
        <v>0</v>
      </c>
      <c r="M61" s="165"/>
      <c r="N61" s="533" t="s">
        <v>244</v>
      </c>
      <c r="O61"/>
      <c r="P61"/>
      <c r="Q61" s="529"/>
      <c r="R61" s="529"/>
      <c r="S61" s="33"/>
      <c r="T61"/>
      <c r="U61"/>
      <c r="V61"/>
      <c r="W61"/>
      <c r="X61" s="33"/>
      <c r="Y61" s="33"/>
      <c r="Z61" s="33"/>
      <c r="AA61" s="33"/>
      <c r="AB61" s="861"/>
      <c r="AC61" s="862">
        <f>L61+G61</f>
        <v>336650.11112399993</v>
      </c>
      <c r="AD61" s="521"/>
    </row>
    <row r="62" spans="2:30" s="32" customFormat="1" ht="16.5" customHeight="1">
      <c r="B62" s="440"/>
      <c r="C62" s="442"/>
      <c r="D62" s="534" t="s">
        <v>245</v>
      </c>
      <c r="E62" s="457">
        <v>280.7</v>
      </c>
      <c r="F62" s="530">
        <v>500</v>
      </c>
      <c r="G62" s="975">
        <f>E62*$F$19*$L$20/100</f>
        <v>244717.56103199997</v>
      </c>
      <c r="H62" s="976"/>
      <c r="I62" s="977"/>
      <c r="J62" s="977"/>
      <c r="K62"/>
      <c r="L62" s="532">
        <v>0</v>
      </c>
      <c r="M62" s="165"/>
      <c r="N62" s="533" t="s">
        <v>244</v>
      </c>
      <c r="O62" s="863"/>
      <c r="P62"/>
      <c r="Q62" s="529"/>
      <c r="R62" s="529"/>
      <c r="S62" s="33"/>
      <c r="T62"/>
      <c r="U62"/>
      <c r="V62"/>
      <c r="W62"/>
      <c r="X62" s="33"/>
      <c r="Y62" s="33"/>
      <c r="Z62" s="33"/>
      <c r="AA62" s="33"/>
      <c r="AB62" s="33"/>
      <c r="AC62" s="862">
        <f>L62+G62</f>
        <v>244717.56103199997</v>
      </c>
      <c r="AD62" s="521"/>
    </row>
    <row r="63" spans="2:30" s="32" customFormat="1" ht="16.5" customHeight="1">
      <c r="B63" s="440"/>
      <c r="C63" s="442"/>
      <c r="E63" s="446"/>
      <c r="F63" s="455"/>
      <c r="G63" s="456"/>
      <c r="H63"/>
      <c r="I63" s="455"/>
      <c r="J63" s="455"/>
      <c r="K63"/>
      <c r="L63" s="862"/>
      <c r="M63" s="528"/>
      <c r="N63" s="528"/>
      <c r="O63" s="529"/>
      <c r="P63" s="529"/>
      <c r="Q63" s="529"/>
      <c r="R63" s="529"/>
      <c r="S63" s="33"/>
      <c r="T63"/>
      <c r="U63"/>
      <c r="V63"/>
      <c r="W63"/>
      <c r="X63" s="33"/>
      <c r="Y63" s="33"/>
      <c r="Z63" s="33"/>
      <c r="AA63" s="33"/>
      <c r="AB63" s="33"/>
      <c r="AC63" s="862"/>
      <c r="AD63" s="521"/>
    </row>
    <row r="64" spans="1:30" ht="16.5" customHeight="1">
      <c r="A64" s="32"/>
      <c r="B64" s="440"/>
      <c r="C64" s="442"/>
      <c r="D64" s="524" t="s">
        <v>87</v>
      </c>
      <c r="E64" s="455" t="s">
        <v>88</v>
      </c>
      <c r="F64" s="455" t="s">
        <v>41</v>
      </c>
      <c r="G64" s="525" t="s">
        <v>104</v>
      </c>
      <c r="I64" s="527"/>
      <c r="J64" s="455"/>
      <c r="L64" s="526" t="s">
        <v>238</v>
      </c>
      <c r="M64" s="527"/>
      <c r="N64" s="528"/>
      <c r="O64" s="529"/>
      <c r="P64" s="529"/>
      <c r="Q64" s="529"/>
      <c r="R64" s="529"/>
      <c r="S64" s="529"/>
      <c r="AC64" s="862">
        <f>+L65</f>
        <v>0</v>
      </c>
      <c r="AD64" s="521"/>
    </row>
    <row r="65" spans="1:30" ht="16.5" customHeight="1">
      <c r="A65" s="32"/>
      <c r="B65" s="440"/>
      <c r="C65" s="442"/>
      <c r="D65" s="455" t="s">
        <v>246</v>
      </c>
      <c r="E65" s="530">
        <v>300</v>
      </c>
      <c r="F65" s="530" t="s">
        <v>247</v>
      </c>
      <c r="G65" s="975">
        <f>E65*F21*L20</f>
        <v>71200.8</v>
      </c>
      <c r="H65" s="976"/>
      <c r="I65" s="976"/>
      <c r="J65" s="977"/>
      <c r="L65" s="531">
        <v>0</v>
      </c>
      <c r="M65" s="165"/>
      <c r="N65" s="533" t="s">
        <v>244</v>
      </c>
      <c r="O65" s="561"/>
      <c r="P65" s="561"/>
      <c r="Q65" s="561"/>
      <c r="R65" s="561"/>
      <c r="S65" s="561"/>
      <c r="AC65" s="864">
        <f>G65</f>
        <v>71200.8</v>
      </c>
      <c r="AD65" s="521"/>
    </row>
    <row r="66" spans="1:30" ht="16.5" customHeight="1">
      <c r="A66" s="32"/>
      <c r="B66" s="440"/>
      <c r="C66" s="442"/>
      <c r="D66" s="455"/>
      <c r="E66" s="530"/>
      <c r="F66" s="530"/>
      <c r="G66" s="531"/>
      <c r="H66" s="165"/>
      <c r="I66" s="165"/>
      <c r="J66" s="532"/>
      <c r="L66" s="532"/>
      <c r="M66" s="165"/>
      <c r="N66" s="533"/>
      <c r="O66" s="561"/>
      <c r="P66" s="561"/>
      <c r="Q66" s="561"/>
      <c r="R66" s="561"/>
      <c r="S66" s="561"/>
      <c r="AC66" s="864"/>
      <c r="AD66" s="521"/>
    </row>
    <row r="67" spans="1:30" ht="16.5" customHeight="1">
      <c r="A67" s="32"/>
      <c r="B67" s="440"/>
      <c r="C67" s="442"/>
      <c r="D67" s="524" t="s">
        <v>47</v>
      </c>
      <c r="E67" s="535" t="s">
        <v>262</v>
      </c>
      <c r="F67" s="535"/>
      <c r="G67" s="455" t="s">
        <v>41</v>
      </c>
      <c r="I67" s="527"/>
      <c r="J67" s="525" t="s">
        <v>265</v>
      </c>
      <c r="L67" s="526"/>
      <c r="M67" s="527"/>
      <c r="N67" s="528"/>
      <c r="O67" s="529"/>
      <c r="P67" s="529"/>
      <c r="Q67" s="529"/>
      <c r="R67" s="529"/>
      <c r="S67" s="529"/>
      <c r="AC67" s="862"/>
      <c r="AD67" s="521"/>
    </row>
    <row r="68" spans="1:30" ht="16.5" customHeight="1">
      <c r="A68" s="32"/>
      <c r="B68" s="440"/>
      <c r="C68" s="442"/>
      <c r="D68" s="455" t="s">
        <v>246</v>
      </c>
      <c r="E68" s="865" t="s">
        <v>263</v>
      </c>
      <c r="F68" s="562">
        <v>1</v>
      </c>
      <c r="G68" s="530">
        <v>132</v>
      </c>
      <c r="H68" s="165"/>
      <c r="I68" s="165"/>
      <c r="J68" s="531">
        <f>F68*F22*L20</f>
        <v>29204.976</v>
      </c>
      <c r="L68" s="532"/>
      <c r="M68" s="165"/>
      <c r="N68" s="533"/>
      <c r="O68" s="561"/>
      <c r="P68" s="561"/>
      <c r="Q68" s="561"/>
      <c r="R68" s="561"/>
      <c r="S68" s="561"/>
      <c r="AC68" s="864">
        <f>J68</f>
        <v>29204.976</v>
      </c>
      <c r="AD68" s="521"/>
    </row>
    <row r="69" spans="1:30" ht="16.5" customHeight="1">
      <c r="A69" s="32"/>
      <c r="B69" s="440"/>
      <c r="C69" s="442"/>
      <c r="D69" s="455" t="s">
        <v>246</v>
      </c>
      <c r="E69" s="865" t="s">
        <v>264</v>
      </c>
      <c r="F69" s="562">
        <v>1</v>
      </c>
      <c r="G69" s="530">
        <v>132</v>
      </c>
      <c r="H69" s="165"/>
      <c r="I69" s="165"/>
      <c r="J69" s="531">
        <f>F69*F22*L20</f>
        <v>29204.976</v>
      </c>
      <c r="L69" s="532"/>
      <c r="M69" s="165"/>
      <c r="N69" s="533"/>
      <c r="O69" s="561"/>
      <c r="P69" s="561"/>
      <c r="Q69" s="561"/>
      <c r="R69" s="561"/>
      <c r="S69" s="561"/>
      <c r="AC69" s="866">
        <f>J69</f>
        <v>29204.976</v>
      </c>
      <c r="AD69" s="521"/>
    </row>
    <row r="70" spans="1:30" ht="16.5" customHeight="1">
      <c r="A70" s="32"/>
      <c r="B70" s="440"/>
      <c r="C70" s="442"/>
      <c r="D70" s="432"/>
      <c r="E70" s="446"/>
      <c r="F70" s="455"/>
      <c r="G70" s="455"/>
      <c r="H70" s="456"/>
      <c r="J70" s="455"/>
      <c r="L70" s="536"/>
      <c r="M70" s="528"/>
      <c r="N70" s="528"/>
      <c r="O70" s="529"/>
      <c r="P70" s="529"/>
      <c r="Q70" s="529"/>
      <c r="R70" s="529"/>
      <c r="S70" s="529"/>
      <c r="AC70" s="747">
        <f>SUM(AC61:AC69)</f>
        <v>710978.424156</v>
      </c>
      <c r="AD70" s="521"/>
    </row>
    <row r="71" spans="2:30" ht="16.5" customHeight="1">
      <c r="B71" s="440"/>
      <c r="C71" s="522" t="s">
        <v>82</v>
      </c>
      <c r="D71" s="537" t="s">
        <v>83</v>
      </c>
      <c r="E71" s="455"/>
      <c r="F71" s="538"/>
      <c r="G71" s="454"/>
      <c r="H71" s="432"/>
      <c r="I71" s="432"/>
      <c r="J71" s="432"/>
      <c r="K71" s="455"/>
      <c r="L71" s="455"/>
      <c r="M71" s="432"/>
      <c r="N71" s="455"/>
      <c r="O71" s="432"/>
      <c r="P71" s="432"/>
      <c r="Q71" s="432"/>
      <c r="R71" s="432"/>
      <c r="S71" s="432"/>
      <c r="T71" s="432"/>
      <c r="U71" s="432"/>
      <c r="AC71" s="432"/>
      <c r="AD71" s="521"/>
    </row>
    <row r="72" spans="2:30" s="32" customFormat="1" ht="16.5" customHeight="1">
      <c r="B72" s="440"/>
      <c r="C72" s="442"/>
      <c r="D72" s="524" t="s">
        <v>84</v>
      </c>
      <c r="E72" s="539">
        <f>10*K56*K27/AC70</f>
        <v>3361.3985280000006</v>
      </c>
      <c r="G72" s="454"/>
      <c r="L72" s="455"/>
      <c r="N72" s="455"/>
      <c r="O72" s="456"/>
      <c r="V72"/>
      <c r="W72"/>
      <c r="AD72" s="521"/>
    </row>
    <row r="73" spans="2:30" s="32" customFormat="1" ht="16.5" customHeight="1" thickBot="1">
      <c r="B73" s="440"/>
      <c r="C73" s="442"/>
      <c r="E73" s="540"/>
      <c r="F73" s="449"/>
      <c r="G73" s="454"/>
      <c r="J73" s="454"/>
      <c r="K73" s="458"/>
      <c r="L73" s="455"/>
      <c r="M73" s="455"/>
      <c r="N73" s="455"/>
      <c r="O73" s="456"/>
      <c r="P73" s="455"/>
      <c r="Q73" s="455"/>
      <c r="R73" s="457"/>
      <c r="S73" s="457"/>
      <c r="T73" s="457"/>
      <c r="U73" s="541"/>
      <c r="V73"/>
      <c r="W73"/>
      <c r="AC73" s="541"/>
      <c r="AD73" s="521"/>
    </row>
    <row r="74" spans="2:30" ht="16.5" customHeight="1" thickBot="1" thickTop="1">
      <c r="B74" s="440"/>
      <c r="C74" s="442"/>
      <c r="D74" s="542" t="s">
        <v>241</v>
      </c>
      <c r="E74" s="543"/>
      <c r="F74" s="449"/>
      <c r="G74" s="454"/>
      <c r="H74" s="432"/>
      <c r="I74" s="432"/>
      <c r="K74" s="551" t="s">
        <v>85</v>
      </c>
      <c r="L74" s="552">
        <f>IF(E72&gt;3*K27,K27*3,E72)</f>
        <v>3361.3985280000006</v>
      </c>
      <c r="N74" s="455"/>
      <c r="O74" s="456"/>
      <c r="P74" s="455"/>
      <c r="Q74" s="455"/>
      <c r="R74" s="527"/>
      <c r="S74" s="527"/>
      <c r="T74" s="527"/>
      <c r="U74" s="528"/>
      <c r="AC74" s="528"/>
      <c r="AD74" s="521"/>
    </row>
    <row r="75" spans="2:30" ht="16.5" customHeight="1" thickTop="1">
      <c r="B75" s="440"/>
      <c r="C75" s="442"/>
      <c r="D75" s="542"/>
      <c r="E75" s="543"/>
      <c r="F75" s="449"/>
      <c r="G75" s="454"/>
      <c r="H75" s="432"/>
      <c r="I75" s="432"/>
      <c r="N75" s="455"/>
      <c r="O75" s="456"/>
      <c r="P75" s="455"/>
      <c r="Q75" s="455"/>
      <c r="R75" s="527"/>
      <c r="S75" s="527"/>
      <c r="T75" s="527"/>
      <c r="U75" s="528"/>
      <c r="AC75" s="528"/>
      <c r="AD75" s="521"/>
    </row>
    <row r="76" spans="2:30" s="544" customFormat="1" ht="22.5">
      <c r="B76" s="545"/>
      <c r="C76" s="546"/>
      <c r="D76" s="547"/>
      <c r="E76" s="548"/>
      <c r="F76" s="549"/>
      <c r="G76" s="550"/>
      <c r="I76"/>
      <c r="L76" s="867"/>
      <c r="M76" s="967"/>
      <c r="N76" s="967"/>
      <c r="O76" s="967"/>
      <c r="P76" s="553"/>
      <c r="Q76" s="553"/>
      <c r="R76" s="554"/>
      <c r="S76" s="554"/>
      <c r="T76" s="554"/>
      <c r="U76" s="555"/>
      <c r="V76"/>
      <c r="W76"/>
      <c r="AC76" s="555"/>
      <c r="AD76" s="556"/>
    </row>
    <row r="77" spans="2:30" ht="16.5" customHeight="1" thickBot="1">
      <c r="B77" s="57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185"/>
      <c r="W77" s="185"/>
      <c r="X77" s="185"/>
      <c r="Y77" s="185"/>
      <c r="Z77" s="185"/>
      <c r="AA77" s="185"/>
      <c r="AB77" s="185"/>
      <c r="AC77" s="59"/>
      <c r="AD77" s="557"/>
    </row>
    <row r="78" spans="2:23" ht="16.5" customHeight="1" thickTop="1">
      <c r="B78" s="1"/>
      <c r="C78" s="73"/>
      <c r="W78" s="1"/>
    </row>
  </sheetData>
  <sheetProtection password="CC12"/>
  <mergeCells count="29">
    <mergeCell ref="M76:O76"/>
    <mergeCell ref="F48:G48"/>
    <mergeCell ref="F49:G49"/>
    <mergeCell ref="F50:G50"/>
    <mergeCell ref="F51:G51"/>
    <mergeCell ref="G65:J65"/>
    <mergeCell ref="F54:G54"/>
    <mergeCell ref="G61:J61"/>
    <mergeCell ref="G62:J62"/>
    <mergeCell ref="O54:Q54"/>
    <mergeCell ref="P40:Q40"/>
    <mergeCell ref="O49:Q49"/>
    <mergeCell ref="O50:Q50"/>
    <mergeCell ref="O51:Q51"/>
    <mergeCell ref="O43:Q43"/>
    <mergeCell ref="O44:Q44"/>
    <mergeCell ref="O45:Q45"/>
    <mergeCell ref="O46:Q46"/>
    <mergeCell ref="O47:Q47"/>
    <mergeCell ref="O53:Q53"/>
    <mergeCell ref="O48:Q48"/>
    <mergeCell ref="O52:Q52"/>
    <mergeCell ref="F43:G43"/>
    <mergeCell ref="F46:G46"/>
    <mergeCell ref="F53:G53"/>
    <mergeCell ref="F47:G47"/>
    <mergeCell ref="F44:G44"/>
    <mergeCell ref="F45:G45"/>
    <mergeCell ref="F52:G52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36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GL114"/>
  <sheetViews>
    <sheetView zoomScale="50" zoomScaleNormal="50" workbookViewId="0" topLeftCell="A1">
      <selection activeCell="Z67" sqref="Z67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9" width="8.7109375" style="5" customWidth="1"/>
    <col min="10" max="10" width="9.7109375" style="5" bestFit="1" customWidth="1"/>
    <col min="11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876"/>
      <c r="V1" s="877"/>
    </row>
    <row r="2" spans="2:22" s="18" customFormat="1" ht="26.25">
      <c r="B2" s="373" t="str">
        <f>'TOT-0709'!B2</f>
        <v>ANEXO II al Memorándum D.T.E.E. N° 256 /2011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878"/>
    </row>
    <row r="3" spans="1:22" s="25" customFormat="1" ht="11.25">
      <c r="A3" s="23" t="s">
        <v>1</v>
      </c>
      <c r="B3" s="122"/>
      <c r="U3" s="879"/>
      <c r="V3" s="879"/>
    </row>
    <row r="4" spans="1:22" s="25" customFormat="1" ht="11.25">
      <c r="A4" s="23" t="s">
        <v>2</v>
      </c>
      <c r="B4" s="122"/>
      <c r="U4" s="122"/>
      <c r="V4" s="879"/>
    </row>
    <row r="5" spans="21:22" ht="9.75" customHeight="1">
      <c r="U5" s="22"/>
      <c r="V5" s="877"/>
    </row>
    <row r="6" spans="2:178" s="880" customFormat="1" ht="23.25">
      <c r="B6" s="881" t="s">
        <v>270</v>
      </c>
      <c r="C6" s="881"/>
      <c r="D6" s="882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881"/>
      <c r="R6" s="881"/>
      <c r="S6" s="881"/>
      <c r="T6" s="881"/>
      <c r="U6" s="881"/>
      <c r="V6" s="883"/>
      <c r="W6" s="881"/>
      <c r="X6" s="881"/>
      <c r="Y6" s="881"/>
      <c r="Z6" s="881"/>
      <c r="AA6" s="881"/>
      <c r="AB6" s="881"/>
      <c r="AC6" s="881"/>
      <c r="AD6" s="881"/>
      <c r="AE6" s="881"/>
      <c r="AF6" s="881"/>
      <c r="AG6" s="881"/>
      <c r="AH6" s="881"/>
      <c r="AI6" s="881"/>
      <c r="AJ6" s="881"/>
      <c r="AK6" s="881"/>
      <c r="AL6" s="881"/>
      <c r="AM6" s="881"/>
      <c r="AN6" s="881"/>
      <c r="AO6" s="881"/>
      <c r="AP6" s="881"/>
      <c r="AQ6" s="881"/>
      <c r="AR6" s="881"/>
      <c r="AS6" s="881"/>
      <c r="AT6" s="881"/>
      <c r="AU6" s="881"/>
      <c r="AV6" s="881"/>
      <c r="AW6" s="881"/>
      <c r="AX6" s="881"/>
      <c r="AY6" s="881"/>
      <c r="AZ6" s="881"/>
      <c r="BA6" s="881"/>
      <c r="BB6" s="881"/>
      <c r="BC6" s="881"/>
      <c r="BD6" s="881"/>
      <c r="BE6" s="881"/>
      <c r="BF6" s="881"/>
      <c r="BG6" s="881"/>
      <c r="BH6" s="881"/>
      <c r="BI6" s="881"/>
      <c r="BJ6" s="881"/>
      <c r="BK6" s="881"/>
      <c r="BL6" s="881"/>
      <c r="BM6" s="881"/>
      <c r="BN6" s="881"/>
      <c r="BO6" s="881"/>
      <c r="BP6" s="881"/>
      <c r="BQ6" s="881"/>
      <c r="BR6" s="881"/>
      <c r="BS6" s="881"/>
      <c r="BT6" s="881"/>
      <c r="BU6" s="881"/>
      <c r="BV6" s="881"/>
      <c r="BW6" s="881"/>
      <c r="BX6" s="881"/>
      <c r="BY6" s="881"/>
      <c r="BZ6" s="881"/>
      <c r="CA6" s="881"/>
      <c r="CB6" s="881"/>
      <c r="CC6" s="881"/>
      <c r="CD6" s="881"/>
      <c r="CE6" s="881"/>
      <c r="CF6" s="881"/>
      <c r="CG6" s="881"/>
      <c r="CH6" s="881"/>
      <c r="CI6" s="881"/>
      <c r="CJ6" s="881"/>
      <c r="CK6" s="881"/>
      <c r="CL6" s="881"/>
      <c r="CM6" s="881"/>
      <c r="CN6" s="881"/>
      <c r="CO6" s="881"/>
      <c r="CP6" s="881"/>
      <c r="CQ6" s="881"/>
      <c r="CR6" s="881"/>
      <c r="CS6" s="881"/>
      <c r="CT6" s="881"/>
      <c r="CU6" s="881"/>
      <c r="CV6" s="881"/>
      <c r="CW6" s="881"/>
      <c r="CX6" s="881"/>
      <c r="CY6" s="881"/>
      <c r="CZ6" s="881"/>
      <c r="DA6" s="881"/>
      <c r="DB6" s="881"/>
      <c r="DC6" s="881"/>
      <c r="DD6" s="881"/>
      <c r="DE6" s="881"/>
      <c r="DF6" s="881"/>
      <c r="DG6" s="881"/>
      <c r="DH6" s="881"/>
      <c r="DI6" s="881"/>
      <c r="DJ6" s="881"/>
      <c r="DK6" s="881"/>
      <c r="DL6" s="881"/>
      <c r="DM6" s="881"/>
      <c r="DN6" s="881"/>
      <c r="DO6" s="881"/>
      <c r="DP6" s="881"/>
      <c r="DQ6" s="881"/>
      <c r="DR6" s="881"/>
      <c r="DS6" s="881"/>
      <c r="DT6" s="881"/>
      <c r="DU6" s="881"/>
      <c r="DV6" s="881"/>
      <c r="DW6" s="881"/>
      <c r="DX6" s="881"/>
      <c r="DY6" s="881"/>
      <c r="DZ6" s="881"/>
      <c r="EA6" s="881"/>
      <c r="EB6" s="881"/>
      <c r="EC6" s="881"/>
      <c r="ED6" s="881"/>
      <c r="EE6" s="881"/>
      <c r="EF6" s="881"/>
      <c r="EG6" s="881"/>
      <c r="EH6" s="881"/>
      <c r="EI6" s="881"/>
      <c r="EJ6" s="881"/>
      <c r="EK6" s="881"/>
      <c r="EL6" s="881"/>
      <c r="EM6" s="881"/>
      <c r="EN6" s="881"/>
      <c r="EO6" s="881"/>
      <c r="EP6" s="881"/>
      <c r="EQ6" s="881"/>
      <c r="ER6" s="881"/>
      <c r="ES6" s="881"/>
      <c r="ET6" s="881"/>
      <c r="EU6" s="881"/>
      <c r="EV6" s="881"/>
      <c r="EW6" s="881"/>
      <c r="EX6" s="881"/>
      <c r="EY6" s="881"/>
      <c r="EZ6" s="881"/>
      <c r="FA6" s="881"/>
      <c r="FB6" s="881"/>
      <c r="FC6" s="881"/>
      <c r="FD6" s="881"/>
      <c r="FE6" s="881"/>
      <c r="FF6" s="881"/>
      <c r="FG6" s="881"/>
      <c r="FH6" s="881"/>
      <c r="FI6" s="881"/>
      <c r="FJ6" s="881"/>
      <c r="FK6" s="881"/>
      <c r="FL6" s="881"/>
      <c r="FM6" s="881"/>
      <c r="FN6" s="881"/>
      <c r="FO6" s="881"/>
      <c r="FP6" s="881"/>
      <c r="FQ6" s="881"/>
      <c r="FR6" s="881"/>
      <c r="FS6" s="881"/>
      <c r="FT6" s="881"/>
      <c r="FU6" s="881"/>
      <c r="FV6" s="881"/>
    </row>
    <row r="7" spans="2:178" s="32" customFormat="1" ht="9.75" customHeight="1"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716"/>
      <c r="V7" s="716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4"/>
      <c r="AT7" s="534"/>
      <c r="AU7" s="534"/>
      <c r="AV7" s="534"/>
      <c r="AW7" s="534"/>
      <c r="AX7" s="534"/>
      <c r="AY7" s="534"/>
      <c r="AZ7" s="534"/>
      <c r="BA7" s="534"/>
      <c r="BB7" s="534"/>
      <c r="BC7" s="534"/>
      <c r="BD7" s="534"/>
      <c r="BE7" s="534"/>
      <c r="BF7" s="534"/>
      <c r="BG7" s="534"/>
      <c r="BH7" s="534"/>
      <c r="BI7" s="534"/>
      <c r="BJ7" s="534"/>
      <c r="BK7" s="534"/>
      <c r="BL7" s="534"/>
      <c r="BM7" s="534"/>
      <c r="BN7" s="534"/>
      <c r="BO7" s="534"/>
      <c r="BP7" s="534"/>
      <c r="BQ7" s="534"/>
      <c r="BR7" s="534"/>
      <c r="BS7" s="534"/>
      <c r="BT7" s="534"/>
      <c r="BU7" s="534"/>
      <c r="BV7" s="534"/>
      <c r="BW7" s="534"/>
      <c r="BX7" s="534"/>
      <c r="BY7" s="534"/>
      <c r="BZ7" s="534"/>
      <c r="CA7" s="534"/>
      <c r="CB7" s="534"/>
      <c r="CC7" s="534"/>
      <c r="CD7" s="534"/>
      <c r="CE7" s="534"/>
      <c r="CF7" s="534"/>
      <c r="CG7" s="534"/>
      <c r="CH7" s="534"/>
      <c r="CI7" s="534"/>
      <c r="CJ7" s="534"/>
      <c r="CK7" s="534"/>
      <c r="CL7" s="534"/>
      <c r="CM7" s="534"/>
      <c r="CN7" s="534"/>
      <c r="CO7" s="534"/>
      <c r="CP7" s="534"/>
      <c r="CQ7" s="534"/>
      <c r="CR7" s="534"/>
      <c r="CS7" s="534"/>
      <c r="CT7" s="534"/>
      <c r="CU7" s="534"/>
      <c r="CV7" s="534"/>
      <c r="CW7" s="534"/>
      <c r="CX7" s="534"/>
      <c r="CY7" s="534"/>
      <c r="CZ7" s="534"/>
      <c r="DA7" s="534"/>
      <c r="DB7" s="534"/>
      <c r="DC7" s="534"/>
      <c r="DD7" s="534"/>
      <c r="DE7" s="534"/>
      <c r="DF7" s="534"/>
      <c r="DG7" s="534"/>
      <c r="DH7" s="534"/>
      <c r="DI7" s="534"/>
      <c r="DJ7" s="534"/>
      <c r="DK7" s="534"/>
      <c r="DL7" s="534"/>
      <c r="DM7" s="534"/>
      <c r="DN7" s="534"/>
      <c r="DO7" s="534"/>
      <c r="DP7" s="534"/>
      <c r="DQ7" s="534"/>
      <c r="DR7" s="534"/>
      <c r="DS7" s="534"/>
      <c r="DT7" s="534"/>
      <c r="DU7" s="534"/>
      <c r="DV7" s="534"/>
      <c r="DW7" s="534"/>
      <c r="DX7" s="534"/>
      <c r="DY7" s="534"/>
      <c r="DZ7" s="534"/>
      <c r="EA7" s="534"/>
      <c r="EB7" s="534"/>
      <c r="EC7" s="534"/>
      <c r="ED7" s="534"/>
      <c r="EE7" s="534"/>
      <c r="EF7" s="534"/>
      <c r="EG7" s="534"/>
      <c r="EH7" s="534"/>
      <c r="EI7" s="534"/>
      <c r="EJ7" s="534"/>
      <c r="EK7" s="534"/>
      <c r="EL7" s="534"/>
      <c r="EM7" s="534"/>
      <c r="EN7" s="534"/>
      <c r="EO7" s="534"/>
      <c r="EP7" s="534"/>
      <c r="EQ7" s="534"/>
      <c r="ER7" s="534"/>
      <c r="ES7" s="534"/>
      <c r="ET7" s="534"/>
      <c r="EU7" s="534"/>
      <c r="EV7" s="534"/>
      <c r="EW7" s="534"/>
      <c r="EX7" s="534"/>
      <c r="EY7" s="534"/>
      <c r="EZ7" s="534"/>
      <c r="FA7" s="534"/>
      <c r="FB7" s="534"/>
      <c r="FC7" s="534"/>
      <c r="FD7" s="534"/>
      <c r="FE7" s="534"/>
      <c r="FF7" s="534"/>
      <c r="FG7" s="534"/>
      <c r="FH7" s="534"/>
      <c r="FI7" s="534"/>
      <c r="FJ7" s="534"/>
      <c r="FK7" s="534"/>
      <c r="FL7" s="534"/>
      <c r="FM7" s="534"/>
      <c r="FN7" s="534"/>
      <c r="FO7" s="534"/>
      <c r="FP7" s="534"/>
      <c r="FQ7" s="534"/>
      <c r="FR7" s="534"/>
      <c r="FS7" s="534"/>
      <c r="FT7" s="534"/>
      <c r="FU7" s="534"/>
      <c r="FV7" s="534"/>
    </row>
    <row r="8" spans="2:178" s="884" customFormat="1" ht="23.25">
      <c r="B8" s="881" t="s">
        <v>48</v>
      </c>
      <c r="C8" s="882"/>
      <c r="D8" s="882"/>
      <c r="E8" s="882"/>
      <c r="F8" s="882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5"/>
      <c r="W8" s="882"/>
      <c r="X8" s="882"/>
      <c r="Y8" s="882"/>
      <c r="Z8" s="882"/>
      <c r="AA8" s="882"/>
      <c r="AB8" s="882"/>
      <c r="AC8" s="882"/>
      <c r="AD8" s="882"/>
      <c r="AE8" s="882"/>
      <c r="AF8" s="882"/>
      <c r="AG8" s="882"/>
      <c r="AH8" s="882"/>
      <c r="AI8" s="882"/>
      <c r="AJ8" s="882"/>
      <c r="AK8" s="882"/>
      <c r="AL8" s="882"/>
      <c r="AM8" s="882"/>
      <c r="AN8" s="882"/>
      <c r="AO8" s="882"/>
      <c r="AP8" s="882"/>
      <c r="AQ8" s="882"/>
      <c r="AR8" s="882"/>
      <c r="AS8" s="882"/>
      <c r="AT8" s="882"/>
      <c r="AU8" s="882"/>
      <c r="AV8" s="882"/>
      <c r="AW8" s="882"/>
      <c r="AX8" s="882"/>
      <c r="AY8" s="882"/>
      <c r="AZ8" s="882"/>
      <c r="BA8" s="882"/>
      <c r="BB8" s="882"/>
      <c r="BC8" s="882"/>
      <c r="BD8" s="882"/>
      <c r="BE8" s="882"/>
      <c r="BF8" s="882"/>
      <c r="BG8" s="882"/>
      <c r="BH8" s="882"/>
      <c r="BI8" s="882"/>
      <c r="BJ8" s="882"/>
      <c r="BK8" s="882"/>
      <c r="BL8" s="882"/>
      <c r="BM8" s="882"/>
      <c r="BN8" s="882"/>
      <c r="BO8" s="882"/>
      <c r="BP8" s="882"/>
      <c r="BQ8" s="882"/>
      <c r="BR8" s="882"/>
      <c r="BS8" s="882"/>
      <c r="BT8" s="882"/>
      <c r="BU8" s="882"/>
      <c r="BV8" s="882"/>
      <c r="BW8" s="882"/>
      <c r="BX8" s="882"/>
      <c r="BY8" s="882"/>
      <c r="BZ8" s="882"/>
      <c r="CA8" s="882"/>
      <c r="CB8" s="882"/>
      <c r="CC8" s="882"/>
      <c r="CD8" s="882"/>
      <c r="CE8" s="882"/>
      <c r="CF8" s="882"/>
      <c r="CG8" s="882"/>
      <c r="CH8" s="882"/>
      <c r="CI8" s="882"/>
      <c r="CJ8" s="882"/>
      <c r="CK8" s="882"/>
      <c r="CL8" s="882"/>
      <c r="CM8" s="882"/>
      <c r="CN8" s="882"/>
      <c r="CO8" s="882"/>
      <c r="CP8" s="882"/>
      <c r="CQ8" s="882"/>
      <c r="CR8" s="882"/>
      <c r="CS8" s="882"/>
      <c r="CT8" s="882"/>
      <c r="CU8" s="882"/>
      <c r="CV8" s="882"/>
      <c r="CW8" s="882"/>
      <c r="CX8" s="882"/>
      <c r="CY8" s="882"/>
      <c r="CZ8" s="882"/>
      <c r="DA8" s="882"/>
      <c r="DB8" s="882"/>
      <c r="DC8" s="882"/>
      <c r="DD8" s="882"/>
      <c r="DE8" s="882"/>
      <c r="DF8" s="882"/>
      <c r="DG8" s="882"/>
      <c r="DH8" s="882"/>
      <c r="DI8" s="882"/>
      <c r="DJ8" s="882"/>
      <c r="DK8" s="882"/>
      <c r="DL8" s="882"/>
      <c r="DM8" s="882"/>
      <c r="DN8" s="882"/>
      <c r="DO8" s="882"/>
      <c r="DP8" s="882"/>
      <c r="DQ8" s="882"/>
      <c r="DR8" s="882"/>
      <c r="DS8" s="882"/>
      <c r="DT8" s="882"/>
      <c r="DU8" s="882"/>
      <c r="DV8" s="882"/>
      <c r="DW8" s="882"/>
      <c r="DX8" s="882"/>
      <c r="DY8" s="882"/>
      <c r="DZ8" s="882"/>
      <c r="EA8" s="882"/>
      <c r="EB8" s="882"/>
      <c r="EC8" s="882"/>
      <c r="ED8" s="882"/>
      <c r="EE8" s="882"/>
      <c r="EF8" s="882"/>
      <c r="EG8" s="882"/>
      <c r="EH8" s="882"/>
      <c r="EI8" s="882"/>
      <c r="EJ8" s="882"/>
      <c r="EK8" s="882"/>
      <c r="EL8" s="882"/>
      <c r="EM8" s="882"/>
      <c r="EN8" s="882"/>
      <c r="EO8" s="882"/>
      <c r="EP8" s="882"/>
      <c r="EQ8" s="882"/>
      <c r="ER8" s="882"/>
      <c r="ES8" s="882"/>
      <c r="ET8" s="882"/>
      <c r="EU8" s="882"/>
      <c r="EV8" s="882"/>
      <c r="EW8" s="882"/>
      <c r="EX8" s="882"/>
      <c r="EY8" s="882"/>
      <c r="EZ8" s="882"/>
      <c r="FA8" s="882"/>
      <c r="FB8" s="882"/>
      <c r="FC8" s="882"/>
      <c r="FD8" s="882"/>
      <c r="FE8" s="882"/>
      <c r="FF8" s="882"/>
      <c r="FG8" s="882"/>
      <c r="FH8" s="882"/>
      <c r="FI8" s="882"/>
      <c r="FJ8" s="882"/>
      <c r="FK8" s="882"/>
      <c r="FL8" s="882"/>
      <c r="FM8" s="882"/>
      <c r="FN8" s="882"/>
      <c r="FO8" s="882"/>
      <c r="FP8" s="882"/>
      <c r="FQ8" s="882"/>
      <c r="FR8" s="882"/>
      <c r="FS8" s="882"/>
      <c r="FT8" s="882"/>
      <c r="FU8" s="882"/>
      <c r="FV8" s="882"/>
    </row>
    <row r="9" spans="2:178" s="32" customFormat="1" ht="9.75" customHeight="1"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716"/>
      <c r="V9" s="716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4"/>
      <c r="AM9" s="534"/>
      <c r="AN9" s="534"/>
      <c r="AO9" s="534"/>
      <c r="AP9" s="534"/>
      <c r="AQ9" s="534"/>
      <c r="AR9" s="534"/>
      <c r="AS9" s="534"/>
      <c r="AT9" s="534"/>
      <c r="AU9" s="534"/>
      <c r="AV9" s="534"/>
      <c r="AW9" s="534"/>
      <c r="AX9" s="534"/>
      <c r="AY9" s="534"/>
      <c r="AZ9" s="534"/>
      <c r="BA9" s="534"/>
      <c r="BB9" s="534"/>
      <c r="BC9" s="534"/>
      <c r="BD9" s="534"/>
      <c r="BE9" s="534"/>
      <c r="BF9" s="534"/>
      <c r="BG9" s="534"/>
      <c r="BH9" s="534"/>
      <c r="BI9" s="534"/>
      <c r="BJ9" s="534"/>
      <c r="BK9" s="534"/>
      <c r="BL9" s="534"/>
      <c r="BM9" s="534"/>
      <c r="BN9" s="534"/>
      <c r="BO9" s="534"/>
      <c r="BP9" s="534"/>
      <c r="BQ9" s="534"/>
      <c r="BR9" s="534"/>
      <c r="BS9" s="534"/>
      <c r="BT9" s="534"/>
      <c r="BU9" s="534"/>
      <c r="BV9" s="534"/>
      <c r="BW9" s="534"/>
      <c r="BX9" s="534"/>
      <c r="BY9" s="534"/>
      <c r="BZ9" s="534"/>
      <c r="CA9" s="534"/>
      <c r="CB9" s="534"/>
      <c r="CC9" s="534"/>
      <c r="CD9" s="534"/>
      <c r="CE9" s="534"/>
      <c r="CF9" s="534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  <c r="CV9" s="534"/>
      <c r="CW9" s="534"/>
      <c r="CX9" s="534"/>
      <c r="CY9" s="534"/>
      <c r="CZ9" s="534"/>
      <c r="DA9" s="534"/>
      <c r="DB9" s="534"/>
      <c r="DC9" s="534"/>
      <c r="DD9" s="534"/>
      <c r="DE9" s="534"/>
      <c r="DF9" s="534"/>
      <c r="DG9" s="534"/>
      <c r="DH9" s="534"/>
      <c r="DI9" s="534"/>
      <c r="DJ9" s="534"/>
      <c r="DK9" s="534"/>
      <c r="DL9" s="534"/>
      <c r="DM9" s="534"/>
      <c r="DN9" s="534"/>
      <c r="DO9" s="534"/>
      <c r="DP9" s="534"/>
      <c r="DQ9" s="534"/>
      <c r="DR9" s="534"/>
      <c r="DS9" s="534"/>
      <c r="DT9" s="534"/>
      <c r="DU9" s="534"/>
      <c r="DV9" s="534"/>
      <c r="DW9" s="534"/>
      <c r="DX9" s="534"/>
      <c r="DY9" s="534"/>
      <c r="DZ9" s="534"/>
      <c r="EA9" s="534"/>
      <c r="EB9" s="534"/>
      <c r="EC9" s="534"/>
      <c r="ED9" s="534"/>
      <c r="EE9" s="534"/>
      <c r="EF9" s="534"/>
      <c r="EG9" s="534"/>
      <c r="EH9" s="534"/>
      <c r="EI9" s="534"/>
      <c r="EJ9" s="534"/>
      <c r="EK9" s="534"/>
      <c r="EL9" s="534"/>
      <c r="EM9" s="534"/>
      <c r="EN9" s="534"/>
      <c r="EO9" s="534"/>
      <c r="EP9" s="534"/>
      <c r="EQ9" s="534"/>
      <c r="ER9" s="534"/>
      <c r="ES9" s="534"/>
      <c r="ET9" s="534"/>
      <c r="EU9" s="534"/>
      <c r="EV9" s="534"/>
      <c r="EW9" s="534"/>
      <c r="EX9" s="534"/>
      <c r="EY9" s="534"/>
      <c r="EZ9" s="534"/>
      <c r="FA9" s="534"/>
      <c r="FB9" s="534"/>
      <c r="FC9" s="534"/>
      <c r="FD9" s="534"/>
      <c r="FE9" s="534"/>
      <c r="FF9" s="534"/>
      <c r="FG9" s="534"/>
      <c r="FH9" s="534"/>
      <c r="FI9" s="534"/>
      <c r="FJ9" s="534"/>
      <c r="FK9" s="534"/>
      <c r="FL9" s="534"/>
      <c r="FM9" s="534"/>
      <c r="FN9" s="534"/>
      <c r="FO9" s="534"/>
      <c r="FP9" s="534"/>
      <c r="FQ9" s="534"/>
      <c r="FR9" s="534"/>
      <c r="FS9" s="534"/>
      <c r="FT9" s="534"/>
      <c r="FU9" s="534"/>
      <c r="FV9" s="534"/>
    </row>
    <row r="10" spans="2:178" s="884" customFormat="1" ht="23.25">
      <c r="B10" s="881" t="s">
        <v>271</v>
      </c>
      <c r="C10" s="882"/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882"/>
      <c r="Q10" s="882"/>
      <c r="R10" s="882"/>
      <c r="S10" s="882"/>
      <c r="T10" s="882"/>
      <c r="U10" s="882"/>
      <c r="V10" s="885"/>
      <c r="W10" s="882"/>
      <c r="X10" s="882"/>
      <c r="Y10" s="882"/>
      <c r="Z10" s="882"/>
      <c r="AA10" s="882"/>
      <c r="AB10" s="882"/>
      <c r="AC10" s="882"/>
      <c r="AD10" s="882"/>
      <c r="AE10" s="882"/>
      <c r="AF10" s="882"/>
      <c r="AG10" s="882"/>
      <c r="AH10" s="882"/>
      <c r="AI10" s="882"/>
      <c r="AJ10" s="882"/>
      <c r="AK10" s="882"/>
      <c r="AL10" s="882"/>
      <c r="AM10" s="882"/>
      <c r="AN10" s="882"/>
      <c r="AO10" s="882"/>
      <c r="AP10" s="882"/>
      <c r="AQ10" s="882"/>
      <c r="AR10" s="882"/>
      <c r="AS10" s="882"/>
      <c r="AT10" s="882"/>
      <c r="AU10" s="882"/>
      <c r="AV10" s="882"/>
      <c r="AW10" s="882"/>
      <c r="AX10" s="882"/>
      <c r="AY10" s="882"/>
      <c r="AZ10" s="882"/>
      <c r="BA10" s="882"/>
      <c r="BB10" s="882"/>
      <c r="BC10" s="882"/>
      <c r="BD10" s="882"/>
      <c r="BE10" s="882"/>
      <c r="BF10" s="882"/>
      <c r="BG10" s="882"/>
      <c r="BH10" s="882"/>
      <c r="BI10" s="882"/>
      <c r="BJ10" s="882"/>
      <c r="BK10" s="882"/>
      <c r="BL10" s="882"/>
      <c r="BM10" s="882"/>
      <c r="BN10" s="882"/>
      <c r="BO10" s="882"/>
      <c r="BP10" s="882"/>
      <c r="BQ10" s="882"/>
      <c r="BR10" s="882"/>
      <c r="BS10" s="882"/>
      <c r="BT10" s="882"/>
      <c r="BU10" s="882"/>
      <c r="BV10" s="882"/>
      <c r="BW10" s="882"/>
      <c r="BX10" s="882"/>
      <c r="BY10" s="882"/>
      <c r="BZ10" s="882"/>
      <c r="CA10" s="882"/>
      <c r="CB10" s="882"/>
      <c r="CC10" s="882"/>
      <c r="CD10" s="882"/>
      <c r="CE10" s="882"/>
      <c r="CF10" s="882"/>
      <c r="CG10" s="882"/>
      <c r="CH10" s="882"/>
      <c r="CI10" s="882"/>
      <c r="CJ10" s="882"/>
      <c r="CK10" s="882"/>
      <c r="CL10" s="882"/>
      <c r="CM10" s="882"/>
      <c r="CN10" s="882"/>
      <c r="CO10" s="882"/>
      <c r="CP10" s="882"/>
      <c r="CQ10" s="882"/>
      <c r="CR10" s="882"/>
      <c r="CS10" s="882"/>
      <c r="CT10" s="882"/>
      <c r="CU10" s="882"/>
      <c r="CV10" s="882"/>
      <c r="CW10" s="882"/>
      <c r="CX10" s="882"/>
      <c r="CY10" s="882"/>
      <c r="CZ10" s="882"/>
      <c r="DA10" s="882"/>
      <c r="DB10" s="882"/>
      <c r="DC10" s="882"/>
      <c r="DD10" s="882"/>
      <c r="DE10" s="882"/>
      <c r="DF10" s="882"/>
      <c r="DG10" s="882"/>
      <c r="DH10" s="882"/>
      <c r="DI10" s="882"/>
      <c r="DJ10" s="882"/>
      <c r="DK10" s="882"/>
      <c r="DL10" s="882"/>
      <c r="DM10" s="882"/>
      <c r="DN10" s="882"/>
      <c r="DO10" s="882"/>
      <c r="DP10" s="882"/>
      <c r="DQ10" s="882"/>
      <c r="DR10" s="882"/>
      <c r="DS10" s="882"/>
      <c r="DT10" s="882"/>
      <c r="DU10" s="882"/>
      <c r="DV10" s="882"/>
      <c r="DW10" s="882"/>
      <c r="DX10" s="882"/>
      <c r="DY10" s="882"/>
      <c r="DZ10" s="882"/>
      <c r="EA10" s="882"/>
      <c r="EB10" s="882"/>
      <c r="EC10" s="882"/>
      <c r="ED10" s="882"/>
      <c r="EE10" s="882"/>
      <c r="EF10" s="882"/>
      <c r="EG10" s="882"/>
      <c r="EH10" s="882"/>
      <c r="EI10" s="882"/>
      <c r="EJ10" s="882"/>
      <c r="EK10" s="882"/>
      <c r="EL10" s="882"/>
      <c r="EM10" s="882"/>
      <c r="EN10" s="882"/>
      <c r="EO10" s="882"/>
      <c r="EP10" s="882"/>
      <c r="EQ10" s="882"/>
      <c r="ER10" s="882"/>
      <c r="ES10" s="882"/>
      <c r="ET10" s="882"/>
      <c r="EU10" s="882"/>
      <c r="EV10" s="882"/>
      <c r="EW10" s="882"/>
      <c r="EX10" s="882"/>
      <c r="EY10" s="882"/>
      <c r="EZ10" s="882"/>
      <c r="FA10" s="882"/>
      <c r="FB10" s="882"/>
      <c r="FC10" s="882"/>
      <c r="FD10" s="882"/>
      <c r="FE10" s="882"/>
      <c r="FF10" s="882"/>
      <c r="FG10" s="882"/>
      <c r="FH10" s="882"/>
      <c r="FI10" s="882"/>
      <c r="FJ10" s="882"/>
      <c r="FK10" s="882"/>
      <c r="FL10" s="882"/>
      <c r="FM10" s="882"/>
      <c r="FN10" s="882"/>
      <c r="FO10" s="882"/>
      <c r="FP10" s="882"/>
      <c r="FQ10" s="882"/>
      <c r="FR10" s="882"/>
      <c r="FS10" s="882"/>
      <c r="FT10" s="882"/>
      <c r="FU10" s="882"/>
      <c r="FV10" s="882"/>
    </row>
    <row r="11" spans="2:178" s="32" customFormat="1" ht="9.75" customHeight="1" thickBot="1"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716"/>
      <c r="V11" s="716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4"/>
      <c r="CU11" s="534"/>
      <c r="CV11" s="534"/>
      <c r="CW11" s="534"/>
      <c r="CX11" s="534"/>
      <c r="CY11" s="534"/>
      <c r="CZ11" s="534"/>
      <c r="DA11" s="534"/>
      <c r="DB11" s="534"/>
      <c r="DC11" s="534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534"/>
      <c r="DR11" s="534"/>
      <c r="DS11" s="534"/>
      <c r="DT11" s="534"/>
      <c r="DU11" s="534"/>
      <c r="DV11" s="534"/>
      <c r="DW11" s="534"/>
      <c r="DX11" s="534"/>
      <c r="DY11" s="534"/>
      <c r="DZ11" s="534"/>
      <c r="EA11" s="534"/>
      <c r="EB11" s="534"/>
      <c r="EC11" s="534"/>
      <c r="ED11" s="534"/>
      <c r="EE11" s="534"/>
      <c r="EF11" s="534"/>
      <c r="EG11" s="534"/>
      <c r="EH11" s="534"/>
      <c r="EI11" s="534"/>
      <c r="EJ11" s="534"/>
      <c r="EK11" s="534"/>
      <c r="EL11" s="534"/>
      <c r="EM11" s="534"/>
      <c r="EN11" s="534"/>
      <c r="EO11" s="534"/>
      <c r="EP11" s="534"/>
      <c r="EQ11" s="534"/>
      <c r="ER11" s="534"/>
      <c r="ES11" s="534"/>
      <c r="ET11" s="534"/>
      <c r="EU11" s="534"/>
      <c r="EV11" s="534"/>
      <c r="EW11" s="534"/>
      <c r="EX11" s="534"/>
      <c r="EY11" s="534"/>
      <c r="EZ11" s="534"/>
      <c r="FA11" s="534"/>
      <c r="FB11" s="534"/>
      <c r="FC11" s="534"/>
      <c r="FD11" s="534"/>
      <c r="FE11" s="534"/>
      <c r="FF11" s="534"/>
      <c r="FG11" s="534"/>
      <c r="FH11" s="534"/>
      <c r="FI11" s="534"/>
      <c r="FJ11" s="534"/>
      <c r="FK11" s="534"/>
      <c r="FL11" s="534"/>
      <c r="FM11" s="534"/>
      <c r="FN11" s="534"/>
      <c r="FO11" s="534"/>
      <c r="FP11" s="534"/>
      <c r="FQ11" s="534"/>
      <c r="FR11" s="534"/>
      <c r="FS11" s="534"/>
      <c r="FT11" s="534"/>
      <c r="FU11" s="534"/>
      <c r="FV11" s="534"/>
    </row>
    <row r="12" spans="2:177" s="32" customFormat="1" ht="9.75" customHeight="1" thickTop="1">
      <c r="B12" s="886"/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8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4"/>
      <c r="AN12" s="534"/>
      <c r="AO12" s="534"/>
      <c r="AP12" s="534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  <c r="BC12" s="534"/>
      <c r="BD12" s="534"/>
      <c r="BE12" s="534"/>
      <c r="BF12" s="534"/>
      <c r="BG12" s="534"/>
      <c r="BH12" s="534"/>
      <c r="BI12" s="534"/>
      <c r="BJ12" s="534"/>
      <c r="BK12" s="534"/>
      <c r="BL12" s="534"/>
      <c r="BM12" s="534"/>
      <c r="BN12" s="534"/>
      <c r="BO12" s="534"/>
      <c r="BP12" s="534"/>
      <c r="BQ12" s="534"/>
      <c r="BR12" s="534"/>
      <c r="BS12" s="534"/>
      <c r="BT12" s="534"/>
      <c r="BU12" s="534"/>
      <c r="BV12" s="534"/>
      <c r="BW12" s="534"/>
      <c r="BX12" s="534"/>
      <c r="BY12" s="534"/>
      <c r="BZ12" s="534"/>
      <c r="CA12" s="534"/>
      <c r="CB12" s="534"/>
      <c r="CC12" s="534"/>
      <c r="CD12" s="534"/>
      <c r="CE12" s="534"/>
      <c r="CF12" s="534"/>
      <c r="CG12" s="534"/>
      <c r="CH12" s="534"/>
      <c r="CI12" s="534"/>
      <c r="CJ12" s="534"/>
      <c r="CK12" s="534"/>
      <c r="CL12" s="534"/>
      <c r="CM12" s="534"/>
      <c r="CN12" s="534"/>
      <c r="CO12" s="534"/>
      <c r="CP12" s="534"/>
      <c r="CQ12" s="534"/>
      <c r="CR12" s="534"/>
      <c r="CS12" s="534"/>
      <c r="CT12" s="534"/>
      <c r="CU12" s="534"/>
      <c r="CV12" s="534"/>
      <c r="CW12" s="534"/>
      <c r="CX12" s="534"/>
      <c r="CY12" s="534"/>
      <c r="CZ12" s="534"/>
      <c r="DA12" s="534"/>
      <c r="DB12" s="534"/>
      <c r="DC12" s="534"/>
      <c r="DD12" s="534"/>
      <c r="DE12" s="534"/>
      <c r="DF12" s="534"/>
      <c r="DG12" s="534"/>
      <c r="DH12" s="534"/>
      <c r="DI12" s="534"/>
      <c r="DJ12" s="534"/>
      <c r="DK12" s="534"/>
      <c r="DL12" s="534"/>
      <c r="DM12" s="534"/>
      <c r="DN12" s="534"/>
      <c r="DO12" s="534"/>
      <c r="DP12" s="534"/>
      <c r="DQ12" s="534"/>
      <c r="DR12" s="534"/>
      <c r="DS12" s="534"/>
      <c r="DT12" s="534"/>
      <c r="DU12" s="534"/>
      <c r="DV12" s="534"/>
      <c r="DW12" s="534"/>
      <c r="DX12" s="534"/>
      <c r="DY12" s="534"/>
      <c r="DZ12" s="534"/>
      <c r="EA12" s="534"/>
      <c r="EB12" s="534"/>
      <c r="EC12" s="534"/>
      <c r="ED12" s="534"/>
      <c r="EE12" s="534"/>
      <c r="EF12" s="534"/>
      <c r="EG12" s="534"/>
      <c r="EH12" s="534"/>
      <c r="EI12" s="534"/>
      <c r="EJ12" s="534"/>
      <c r="EK12" s="534"/>
      <c r="EL12" s="534"/>
      <c r="EM12" s="534"/>
      <c r="EN12" s="534"/>
      <c r="EO12" s="534"/>
      <c r="EP12" s="534"/>
      <c r="EQ12" s="534"/>
      <c r="ER12" s="534"/>
      <c r="ES12" s="534"/>
      <c r="ET12" s="534"/>
      <c r="EU12" s="534"/>
      <c r="EV12" s="534"/>
      <c r="EW12" s="534"/>
      <c r="EX12" s="534"/>
      <c r="EY12" s="534"/>
      <c r="EZ12" s="534"/>
      <c r="FA12" s="534"/>
      <c r="FB12" s="534"/>
      <c r="FC12" s="534"/>
      <c r="FD12" s="534"/>
      <c r="FE12" s="534"/>
      <c r="FF12" s="534"/>
      <c r="FG12" s="534"/>
      <c r="FH12" s="534"/>
      <c r="FI12" s="534"/>
      <c r="FJ12" s="534"/>
      <c r="FK12" s="534"/>
      <c r="FL12" s="534"/>
      <c r="FM12" s="534"/>
      <c r="FN12" s="534"/>
      <c r="FO12" s="534"/>
      <c r="FP12" s="534"/>
      <c r="FQ12" s="534"/>
      <c r="FR12" s="534"/>
      <c r="FS12" s="534"/>
      <c r="FT12" s="534"/>
      <c r="FU12" s="534"/>
    </row>
    <row r="13" spans="2:177" s="32" customFormat="1" ht="19.5">
      <c r="B13" s="37" t="s">
        <v>272</v>
      </c>
      <c r="C13" s="889"/>
      <c r="D13" s="889"/>
      <c r="E13" s="889"/>
      <c r="F13" s="889"/>
      <c r="G13" s="889"/>
      <c r="H13" s="889"/>
      <c r="I13" s="889"/>
      <c r="J13" s="889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90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4"/>
      <c r="AY13" s="534"/>
      <c r="AZ13" s="534"/>
      <c r="BA13" s="534"/>
      <c r="BB13" s="534"/>
      <c r="BC13" s="534"/>
      <c r="BD13" s="534"/>
      <c r="BE13" s="534"/>
      <c r="BF13" s="534"/>
      <c r="BG13" s="534"/>
      <c r="BH13" s="534"/>
      <c r="BI13" s="534"/>
      <c r="BJ13" s="534"/>
      <c r="BK13" s="534"/>
      <c r="BL13" s="534"/>
      <c r="BM13" s="534"/>
      <c r="BN13" s="534"/>
      <c r="BO13" s="534"/>
      <c r="BP13" s="534"/>
      <c r="BQ13" s="534"/>
      <c r="BR13" s="534"/>
      <c r="BS13" s="534"/>
      <c r="BT13" s="534"/>
      <c r="BU13" s="534"/>
      <c r="BV13" s="534"/>
      <c r="BW13" s="534"/>
      <c r="BX13" s="534"/>
      <c r="BY13" s="534"/>
      <c r="BZ13" s="534"/>
      <c r="CA13" s="534"/>
      <c r="CB13" s="534"/>
      <c r="CC13" s="534"/>
      <c r="CD13" s="534"/>
      <c r="CE13" s="534"/>
      <c r="CF13" s="534"/>
      <c r="CG13" s="534"/>
      <c r="CH13" s="534"/>
      <c r="CI13" s="534"/>
      <c r="CJ13" s="534"/>
      <c r="CK13" s="534"/>
      <c r="CL13" s="534"/>
      <c r="CM13" s="534"/>
      <c r="CN13" s="534"/>
      <c r="CO13" s="534"/>
      <c r="CP13" s="534"/>
      <c r="CQ13" s="534"/>
      <c r="CR13" s="534"/>
      <c r="CS13" s="534"/>
      <c r="CT13" s="534"/>
      <c r="CU13" s="534"/>
      <c r="CV13" s="534"/>
      <c r="CW13" s="534"/>
      <c r="CX13" s="534"/>
      <c r="CY13" s="534"/>
      <c r="CZ13" s="534"/>
      <c r="DA13" s="534"/>
      <c r="DB13" s="534"/>
      <c r="DC13" s="534"/>
      <c r="DD13" s="534"/>
      <c r="DE13" s="534"/>
      <c r="DF13" s="534"/>
      <c r="DG13" s="534"/>
      <c r="DH13" s="534"/>
      <c r="DI13" s="534"/>
      <c r="DJ13" s="534"/>
      <c r="DK13" s="534"/>
      <c r="DL13" s="534"/>
      <c r="DM13" s="534"/>
      <c r="DN13" s="534"/>
      <c r="DO13" s="534"/>
      <c r="DP13" s="534"/>
      <c r="DQ13" s="534"/>
      <c r="DR13" s="534"/>
      <c r="DS13" s="534"/>
      <c r="DT13" s="534"/>
      <c r="DU13" s="534"/>
      <c r="DV13" s="534"/>
      <c r="DW13" s="534"/>
      <c r="DX13" s="534"/>
      <c r="DY13" s="534"/>
      <c r="DZ13" s="534"/>
      <c r="EA13" s="534"/>
      <c r="EB13" s="534"/>
      <c r="EC13" s="534"/>
      <c r="ED13" s="534"/>
      <c r="EE13" s="534"/>
      <c r="EF13" s="534"/>
      <c r="EG13" s="534"/>
      <c r="EH13" s="534"/>
      <c r="EI13" s="534"/>
      <c r="EJ13" s="534"/>
      <c r="EK13" s="534"/>
      <c r="EL13" s="534"/>
      <c r="EM13" s="534"/>
      <c r="EN13" s="534"/>
      <c r="EO13" s="534"/>
      <c r="EP13" s="534"/>
      <c r="EQ13" s="534"/>
      <c r="ER13" s="534"/>
      <c r="ES13" s="534"/>
      <c r="ET13" s="534"/>
      <c r="EU13" s="534"/>
      <c r="EV13" s="534"/>
      <c r="EW13" s="534"/>
      <c r="EX13" s="534"/>
      <c r="EY13" s="534"/>
      <c r="EZ13" s="534"/>
      <c r="FA13" s="534"/>
      <c r="FB13" s="534"/>
      <c r="FC13" s="534"/>
      <c r="FD13" s="534"/>
      <c r="FE13" s="534"/>
      <c r="FF13" s="534"/>
      <c r="FG13" s="534"/>
      <c r="FH13" s="534"/>
      <c r="FI13" s="534"/>
      <c r="FJ13" s="534"/>
      <c r="FK13" s="534"/>
      <c r="FL13" s="534"/>
      <c r="FM13" s="534"/>
      <c r="FN13" s="534"/>
      <c r="FO13" s="534"/>
      <c r="FP13" s="534"/>
      <c r="FQ13" s="534"/>
      <c r="FR13" s="534"/>
      <c r="FS13" s="534"/>
      <c r="FT13" s="534"/>
      <c r="FU13" s="534"/>
    </row>
    <row r="14" spans="2:21" s="32" customFormat="1" ht="9.75" customHeight="1" thickBot="1">
      <c r="B14" s="440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891"/>
    </row>
    <row r="15" spans="2:21" s="892" customFormat="1" ht="33.75" customHeight="1" thickBot="1" thickTop="1">
      <c r="B15" s="893"/>
      <c r="C15" s="84"/>
      <c r="D15" s="84" t="s">
        <v>0</v>
      </c>
      <c r="E15" s="130" t="s">
        <v>13</v>
      </c>
      <c r="F15" s="130" t="s">
        <v>14</v>
      </c>
      <c r="G15" s="894" t="s">
        <v>273</v>
      </c>
      <c r="H15" s="894">
        <v>39630</v>
      </c>
      <c r="I15" s="894">
        <v>39661</v>
      </c>
      <c r="J15" s="894">
        <v>39692</v>
      </c>
      <c r="K15" s="894">
        <v>39722</v>
      </c>
      <c r="L15" s="894">
        <v>39753</v>
      </c>
      <c r="M15" s="894">
        <v>39783</v>
      </c>
      <c r="N15" s="894">
        <v>39814</v>
      </c>
      <c r="O15" s="894">
        <v>39845</v>
      </c>
      <c r="P15" s="894">
        <v>39873</v>
      </c>
      <c r="Q15" s="894">
        <v>39904</v>
      </c>
      <c r="R15" s="894">
        <v>39934</v>
      </c>
      <c r="S15" s="894">
        <v>39965</v>
      </c>
      <c r="T15" s="894">
        <v>39995</v>
      </c>
      <c r="U15" s="895"/>
    </row>
    <row r="16" spans="2:21" s="896" customFormat="1" ht="9.75" customHeight="1" thickTop="1">
      <c r="B16" s="897"/>
      <c r="C16" s="898"/>
      <c r="D16" s="899"/>
      <c r="E16" s="899"/>
      <c r="F16" s="899"/>
      <c r="G16" s="899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1"/>
      <c r="U16" s="902"/>
    </row>
    <row r="17" spans="2:21" s="896" customFormat="1" ht="19.5" customHeight="1">
      <c r="B17" s="897"/>
      <c r="C17" s="903">
        <f>IF('[2]BASE'!C17=0,"",'[2]BASE'!C17)</f>
        <v>1</v>
      </c>
      <c r="D17" s="903" t="str">
        <f>IF('[2]BASE'!D17=0,"",'[2]BASE'!D17)</f>
        <v>ABASTO - OLAVARRIA 1</v>
      </c>
      <c r="E17" s="903">
        <f>IF('[2]BASE'!E17=0,"",'[2]BASE'!E17)</f>
        <v>500</v>
      </c>
      <c r="F17" s="903">
        <f>IF('[2]BASE'!F17=0,"",'[2]BASE'!F17)</f>
        <v>291</v>
      </c>
      <c r="G17" s="904" t="str">
        <f>IF('[2]BASE'!G17=0,"",'[2]BASE'!G17)</f>
        <v>B</v>
      </c>
      <c r="H17" s="905">
        <f>IF('[2]BASE'!GA17=0,"",'[2]BASE'!GA17)</f>
      </c>
      <c r="I17" s="905">
        <f>IF('[2]BASE'!GB17=0,"",'[2]BASE'!GB17)</f>
      </c>
      <c r="J17" s="905">
        <f>IF('[2]BASE'!GC17=0,"",'[2]BASE'!GC17)</f>
      </c>
      <c r="K17" s="905">
        <f>IF('[2]BASE'!GD17=0,"",'[2]BASE'!GD17)</f>
      </c>
      <c r="L17" s="905">
        <f>IF('[2]BASE'!GE17=0,"",'[2]BASE'!GE17)</f>
      </c>
      <c r="M17" s="905">
        <f>IF('[2]BASE'!GF17=0,"",'[2]BASE'!GF17)</f>
      </c>
      <c r="N17" s="905">
        <f>IF('[2]BASE'!GG17=0,"",'[2]BASE'!GG17)</f>
      </c>
      <c r="O17" s="905">
        <f>IF('[2]BASE'!GH17=0,"",'[2]BASE'!GH17)</f>
      </c>
      <c r="P17" s="905">
        <f>IF('[2]BASE'!GI17=0,"",'[2]BASE'!GI17)</f>
      </c>
      <c r="Q17" s="905">
        <f>IF('[2]BASE'!GJ17=0,"",'[2]BASE'!GJ17)</f>
      </c>
      <c r="R17" s="905">
        <f>IF('[2]BASE'!GK17=0,"",'[2]BASE'!GK17)</f>
      </c>
      <c r="S17" s="905">
        <f>IF('[2]BASE'!GL17=0,"",'[2]BASE'!GL17)</f>
      </c>
      <c r="T17" s="906"/>
      <c r="U17" s="902"/>
    </row>
    <row r="18" spans="2:21" s="896" customFormat="1" ht="19.5" customHeight="1">
      <c r="B18" s="897"/>
      <c r="C18" s="907">
        <f>IF('[2]BASE'!C18=0,"",'[2]BASE'!C18)</f>
        <v>2</v>
      </c>
      <c r="D18" s="907" t="str">
        <f>IF('[2]BASE'!D18=0,"",'[2]BASE'!D18)</f>
        <v>ABASTO - OLAVARRIA 2</v>
      </c>
      <c r="E18" s="907">
        <f>IF('[2]BASE'!E18=0,"",'[2]BASE'!E18)</f>
        <v>500</v>
      </c>
      <c r="F18" s="907">
        <f>IF('[2]BASE'!F18=0,"",'[2]BASE'!F18)</f>
        <v>301.9</v>
      </c>
      <c r="G18" s="908">
        <f>IF('[2]BASE'!G18=0,"",'[2]BASE'!G18)</f>
      </c>
      <c r="H18" s="905">
        <f>IF('[2]BASE'!GA18=0,"",'[2]BASE'!GA18)</f>
      </c>
      <c r="I18" s="905">
        <f>IF('[2]BASE'!GB18=0,"",'[2]BASE'!GB18)</f>
      </c>
      <c r="J18" s="905">
        <f>IF('[2]BASE'!GC18=0,"",'[2]BASE'!GC18)</f>
      </c>
      <c r="K18" s="905">
        <f>IF('[2]BASE'!GD18=0,"",'[2]BASE'!GD18)</f>
      </c>
      <c r="L18" s="905">
        <f>IF('[2]BASE'!GE18=0,"",'[2]BASE'!GE18)</f>
      </c>
      <c r="M18" s="905">
        <f>IF('[2]BASE'!GF18=0,"",'[2]BASE'!GF18)</f>
      </c>
      <c r="N18" s="905">
        <f>IF('[2]BASE'!GG18=0,"",'[2]BASE'!GG18)</f>
      </c>
      <c r="O18" s="905">
        <f>IF('[2]BASE'!GH18=0,"",'[2]BASE'!GH18)</f>
      </c>
      <c r="P18" s="905">
        <f>IF('[2]BASE'!GI18=0,"",'[2]BASE'!GI18)</f>
      </c>
      <c r="Q18" s="905">
        <f>IF('[2]BASE'!GJ18=0,"",'[2]BASE'!GJ18)</f>
      </c>
      <c r="R18" s="905">
        <f>IF('[2]BASE'!GK18=0,"",'[2]BASE'!GK18)</f>
      </c>
      <c r="S18" s="905">
        <f>IF('[2]BASE'!GL18=0,"",'[2]BASE'!GL18)</f>
      </c>
      <c r="T18" s="906"/>
      <c r="U18" s="902"/>
    </row>
    <row r="19" spans="2:21" s="896" customFormat="1" ht="19.5" customHeight="1">
      <c r="B19" s="897"/>
      <c r="C19" s="909">
        <f>IF('[2]BASE'!C19=0,"",'[2]BASE'!C19)</f>
        <v>3</v>
      </c>
      <c r="D19" s="909" t="str">
        <f>IF('[2]BASE'!D19=0,"",'[2]BASE'!D19)</f>
        <v>AGUA DEL CAJON - CHOCON OESTE</v>
      </c>
      <c r="E19" s="909">
        <f>IF('[2]BASE'!E19=0,"",'[2]BASE'!E19)</f>
        <v>500</v>
      </c>
      <c r="F19" s="909">
        <f>IF('[2]BASE'!F19=0,"",'[2]BASE'!F19)</f>
        <v>52</v>
      </c>
      <c r="G19" s="910">
        <f>IF('[2]BASE'!G19=0,"",'[2]BASE'!G19)</f>
      </c>
      <c r="H19" s="905">
        <f>IF('[2]BASE'!GA19=0,"",'[2]BASE'!GA19)</f>
      </c>
      <c r="I19" s="905">
        <f>IF('[2]BASE'!GB19=0,"",'[2]BASE'!GB19)</f>
      </c>
      <c r="J19" s="905">
        <f>IF('[2]BASE'!GC19=0,"",'[2]BASE'!GC19)</f>
      </c>
      <c r="K19" s="905">
        <f>IF('[2]BASE'!GD19=0,"",'[2]BASE'!GD19)</f>
      </c>
      <c r="L19" s="905">
        <f>IF('[2]BASE'!GE19=0,"",'[2]BASE'!GE19)</f>
      </c>
      <c r="M19" s="905">
        <f>IF('[2]BASE'!GF19=0,"",'[2]BASE'!GF19)</f>
      </c>
      <c r="N19" s="905">
        <f>IF('[2]BASE'!GG19=0,"",'[2]BASE'!GG19)</f>
      </c>
      <c r="O19" s="905">
        <f>IF('[2]BASE'!GH19=0,"",'[2]BASE'!GH19)</f>
      </c>
      <c r="P19" s="905">
        <f>IF('[2]BASE'!GI19=0,"",'[2]BASE'!GI19)</f>
      </c>
      <c r="Q19" s="905">
        <f>IF('[2]BASE'!GJ19=0,"",'[2]BASE'!GJ19)</f>
      </c>
      <c r="R19" s="905">
        <f>IF('[2]BASE'!GK19=0,"",'[2]BASE'!GK19)</f>
      </c>
      <c r="S19" s="905">
        <f>IF('[2]BASE'!GL19=0,"",'[2]BASE'!GL19)</f>
      </c>
      <c r="T19" s="906"/>
      <c r="U19" s="902"/>
    </row>
    <row r="20" spans="2:21" s="896" customFormat="1" ht="19.5" customHeight="1">
      <c r="B20" s="897"/>
      <c r="C20" s="907">
        <f>IF('[2]BASE'!C20=0,"",'[2]BASE'!C20)</f>
        <v>4</v>
      </c>
      <c r="D20" s="907" t="str">
        <f>IF('[2]BASE'!D20=0,"",'[2]BASE'!D20)</f>
        <v>ALICURA - E.T. P.del A. 1 (5LG1)</v>
      </c>
      <c r="E20" s="907">
        <f>IF('[2]BASE'!E20=0,"",'[2]BASE'!E20)</f>
        <v>500</v>
      </c>
      <c r="F20" s="907">
        <f>IF('[2]BASE'!F20=0,"",'[2]BASE'!F20)</f>
        <v>76</v>
      </c>
      <c r="G20" s="908" t="str">
        <f>IF('[2]BASE'!G20=0,"",'[2]BASE'!G20)</f>
        <v>C</v>
      </c>
      <c r="H20" s="905">
        <f>IF('[2]BASE'!GA20=0,"",'[2]BASE'!GA20)</f>
      </c>
      <c r="I20" s="905">
        <f>IF('[2]BASE'!GB20=0,"",'[2]BASE'!GB20)</f>
      </c>
      <c r="J20" s="905">
        <f>IF('[2]BASE'!GC20=0,"",'[2]BASE'!GC20)</f>
      </c>
      <c r="K20" s="905">
        <f>IF('[2]BASE'!GD20=0,"",'[2]BASE'!GD20)</f>
      </c>
      <c r="L20" s="905">
        <f>IF('[2]BASE'!GE20=0,"",'[2]BASE'!GE20)</f>
      </c>
      <c r="M20" s="905">
        <f>IF('[2]BASE'!GF20=0,"",'[2]BASE'!GF20)</f>
      </c>
      <c r="N20" s="905">
        <f>IF('[2]BASE'!GG20=0,"",'[2]BASE'!GG20)</f>
      </c>
      <c r="O20" s="905">
        <f>IF('[2]BASE'!GH20=0,"",'[2]BASE'!GH20)</f>
      </c>
      <c r="P20" s="905">
        <f>IF('[2]BASE'!GI20=0,"",'[2]BASE'!GI20)</f>
      </c>
      <c r="Q20" s="905">
        <f>IF('[2]BASE'!GJ20=0,"",'[2]BASE'!GJ20)</f>
      </c>
      <c r="R20" s="905">
        <f>IF('[2]BASE'!GK20=0,"",'[2]BASE'!GK20)</f>
      </c>
      <c r="S20" s="905">
        <f>IF('[2]BASE'!GL20=0,"",'[2]BASE'!GL20)</f>
      </c>
      <c r="T20" s="906"/>
      <c r="U20" s="902"/>
    </row>
    <row r="21" spans="2:21" s="896" customFormat="1" ht="19.5" customHeight="1">
      <c r="B21" s="897"/>
      <c r="C21" s="909">
        <f>IF('[2]BASE'!C21=0,"",'[2]BASE'!C21)</f>
        <v>5</v>
      </c>
      <c r="D21" s="909" t="str">
        <f>IF('[2]BASE'!D21=0,"",'[2]BASE'!D21)</f>
        <v>ALICURA - E.T. P.del A. 2 (5LG2)</v>
      </c>
      <c r="E21" s="909">
        <f>IF('[2]BASE'!E21=0,"",'[2]BASE'!E21)</f>
        <v>500</v>
      </c>
      <c r="F21" s="909">
        <f>IF('[2]BASE'!F21=0,"",'[2]BASE'!F21)</f>
        <v>76</v>
      </c>
      <c r="G21" s="910" t="str">
        <f>IF('[2]BASE'!G21=0,"",'[2]BASE'!G21)</f>
        <v>C</v>
      </c>
      <c r="H21" s="905">
        <f>IF('[2]BASE'!GA21=0,"",'[2]BASE'!GA21)</f>
      </c>
      <c r="I21" s="905">
        <f>IF('[2]BASE'!GB21=0,"",'[2]BASE'!GB21)</f>
      </c>
      <c r="J21" s="905">
        <f>IF('[2]BASE'!GC21=0,"",'[2]BASE'!GC21)</f>
      </c>
      <c r="K21" s="905">
        <f>IF('[2]BASE'!GD21=0,"",'[2]BASE'!GD21)</f>
      </c>
      <c r="L21" s="905">
        <f>IF('[2]BASE'!GE21=0,"",'[2]BASE'!GE21)</f>
      </c>
      <c r="M21" s="905">
        <f>IF('[2]BASE'!GF21=0,"",'[2]BASE'!GF21)</f>
        <v>1</v>
      </c>
      <c r="N21" s="905">
        <f>IF('[2]BASE'!GG21=0,"",'[2]BASE'!GG21)</f>
      </c>
      <c r="O21" s="905">
        <f>IF('[2]BASE'!GH21=0,"",'[2]BASE'!GH21)</f>
      </c>
      <c r="P21" s="905">
        <f>IF('[2]BASE'!GI21=0,"",'[2]BASE'!GI21)</f>
      </c>
      <c r="Q21" s="905">
        <f>IF('[2]BASE'!GJ21=0,"",'[2]BASE'!GJ21)</f>
      </c>
      <c r="R21" s="905">
        <f>IF('[2]BASE'!GK21=0,"",'[2]BASE'!GK21)</f>
      </c>
      <c r="S21" s="905">
        <f>IF('[2]BASE'!GL21=0,"",'[2]BASE'!GL21)</f>
      </c>
      <c r="T21" s="906"/>
      <c r="U21" s="902"/>
    </row>
    <row r="22" spans="2:21" s="896" customFormat="1" ht="19.5" customHeight="1">
      <c r="B22" s="897"/>
      <c r="C22" s="907">
        <f>IF('[2]BASE'!C22=0,"",'[2]BASE'!C22)</f>
        <v>6</v>
      </c>
      <c r="D22" s="907" t="str">
        <f>IF('[2]BASE'!D22=0,"",'[2]BASE'!D22)</f>
        <v>ALMAFUERTE - EMBALSE </v>
      </c>
      <c r="E22" s="907">
        <f>IF('[2]BASE'!E22=0,"",'[2]BASE'!E22)</f>
        <v>500</v>
      </c>
      <c r="F22" s="907">
        <f>IF('[2]BASE'!F22=0,"",'[2]BASE'!F22)</f>
        <v>12</v>
      </c>
      <c r="G22" s="908" t="str">
        <f>IF('[2]BASE'!G22=0,"",'[2]BASE'!G22)</f>
        <v>A</v>
      </c>
      <c r="H22" s="905">
        <f>IF('[2]BASE'!GA22=0,"",'[2]BASE'!GA22)</f>
      </c>
      <c r="I22" s="905">
        <f>IF('[2]BASE'!GB22=0,"",'[2]BASE'!GB22)</f>
      </c>
      <c r="J22" s="905">
        <f>IF('[2]BASE'!GC22=0,"",'[2]BASE'!GC22)</f>
      </c>
      <c r="K22" s="905">
        <f>IF('[2]BASE'!GD22=0,"",'[2]BASE'!GD22)</f>
      </c>
      <c r="L22" s="905">
        <f>IF('[2]BASE'!GE22=0,"",'[2]BASE'!GE22)</f>
      </c>
      <c r="M22" s="905">
        <f>IF('[2]BASE'!GF22=0,"",'[2]BASE'!GF22)</f>
      </c>
      <c r="N22" s="905">
        <f>IF('[2]BASE'!GG22=0,"",'[2]BASE'!GG22)</f>
      </c>
      <c r="O22" s="905">
        <f>IF('[2]BASE'!GH22=0,"",'[2]BASE'!GH22)</f>
      </c>
      <c r="P22" s="905">
        <f>IF('[2]BASE'!GI22=0,"",'[2]BASE'!GI22)</f>
      </c>
      <c r="Q22" s="905">
        <f>IF('[2]BASE'!GJ22=0,"",'[2]BASE'!GJ22)</f>
      </c>
      <c r="R22" s="905">
        <f>IF('[2]BASE'!GK22=0,"",'[2]BASE'!GK22)</f>
      </c>
      <c r="S22" s="905">
        <f>IF('[2]BASE'!GL22=0,"",'[2]BASE'!GL22)</f>
      </c>
      <c r="T22" s="906"/>
      <c r="U22" s="902"/>
    </row>
    <row r="23" spans="2:21" s="896" customFormat="1" ht="19.5" customHeight="1">
      <c r="B23" s="897"/>
      <c r="C23" s="909">
        <f>IF('[2]BASE'!C23=0,"",'[2]BASE'!C23)</f>
        <v>7</v>
      </c>
      <c r="D23" s="909" t="str">
        <f>IF('[2]BASE'!D23=0,"",'[2]BASE'!D23)</f>
        <v> ALMAFUERTE - ROSARIO OESTE</v>
      </c>
      <c r="E23" s="909">
        <f>IF('[2]BASE'!E23=0,"",'[2]BASE'!E23)</f>
        <v>500</v>
      </c>
      <c r="F23" s="909">
        <f>IF('[2]BASE'!F23=0,"",'[2]BASE'!F23)</f>
        <v>345</v>
      </c>
      <c r="G23" s="910" t="str">
        <f>IF('[2]BASE'!G23=0,"",'[2]BASE'!G23)</f>
        <v>B</v>
      </c>
      <c r="H23" s="905">
        <f>IF('[2]BASE'!GA23=0,"",'[2]BASE'!GA23)</f>
        <v>1</v>
      </c>
      <c r="I23" s="905">
        <f>IF('[2]BASE'!GB23=0,"",'[2]BASE'!GB23)</f>
      </c>
      <c r="J23" s="905">
        <f>IF('[2]BASE'!GC23=0,"",'[2]BASE'!GC23)</f>
      </c>
      <c r="K23" s="905">
        <f>IF('[2]BASE'!GD23=0,"",'[2]BASE'!GD23)</f>
      </c>
      <c r="L23" s="905">
        <f>IF('[2]BASE'!GE23=0,"",'[2]BASE'!GE23)</f>
      </c>
      <c r="M23" s="905">
        <f>IF('[2]BASE'!GF23=0,"",'[2]BASE'!GF23)</f>
      </c>
      <c r="N23" s="905">
        <f>IF('[2]BASE'!GG23=0,"",'[2]BASE'!GG23)</f>
      </c>
      <c r="O23" s="905">
        <f>IF('[2]BASE'!GH23=0,"",'[2]BASE'!GH23)</f>
      </c>
      <c r="P23" s="905">
        <f>IF('[2]BASE'!GI23=0,"",'[2]BASE'!GI23)</f>
      </c>
      <c r="Q23" s="905">
        <f>IF('[2]BASE'!GJ23=0,"",'[2]BASE'!GJ23)</f>
      </c>
      <c r="R23" s="905">
        <f>IF('[2]BASE'!GK23=0,"",'[2]BASE'!GK23)</f>
      </c>
      <c r="S23" s="905">
        <f>IF('[2]BASE'!GL23=0,"",'[2]BASE'!GL23)</f>
      </c>
      <c r="T23" s="906"/>
      <c r="U23" s="902"/>
    </row>
    <row r="24" spans="2:21" s="896" customFormat="1" ht="19.5" customHeight="1">
      <c r="B24" s="897"/>
      <c r="C24" s="907">
        <f>IF('[2]BASE'!C24=0,"",'[2]BASE'!C24)</f>
        <v>8</v>
      </c>
      <c r="D24" s="907" t="str">
        <f>IF('[2]BASE'!D24=0,"",'[2]BASE'!D24)</f>
        <v>BAHIA BLANCA - CHOELE CHOEL 1</v>
      </c>
      <c r="E24" s="907">
        <f>IF('[2]BASE'!E24=0,"",'[2]BASE'!E24)</f>
        <v>500</v>
      </c>
      <c r="F24" s="907">
        <f>IF('[2]BASE'!F24=0,"",'[2]BASE'!F24)</f>
        <v>346</v>
      </c>
      <c r="G24" s="908" t="str">
        <f>IF('[2]BASE'!G24=0,"",'[2]BASE'!G24)</f>
        <v>B</v>
      </c>
      <c r="H24" s="905">
        <f>IF('[2]BASE'!GA24=0,"",'[2]BASE'!GA24)</f>
      </c>
      <c r="I24" s="905">
        <f>IF('[2]BASE'!GB24=0,"",'[2]BASE'!GB24)</f>
      </c>
      <c r="J24" s="905">
        <f>IF('[2]BASE'!GC24=0,"",'[2]BASE'!GC24)</f>
        <v>1</v>
      </c>
      <c r="K24" s="905">
        <f>IF('[2]BASE'!GD24=0,"",'[2]BASE'!GD24)</f>
      </c>
      <c r="L24" s="905">
        <f>IF('[2]BASE'!GE24=0,"",'[2]BASE'!GE24)</f>
      </c>
      <c r="M24" s="905">
        <f>IF('[2]BASE'!GF24=0,"",'[2]BASE'!GF24)</f>
      </c>
      <c r="N24" s="905">
        <f>IF('[2]BASE'!GG24=0,"",'[2]BASE'!GG24)</f>
      </c>
      <c r="O24" s="905">
        <f>IF('[2]BASE'!GH24=0,"",'[2]BASE'!GH24)</f>
      </c>
      <c r="P24" s="905">
        <f>IF('[2]BASE'!GI24=0,"",'[2]BASE'!GI24)</f>
      </c>
      <c r="Q24" s="905">
        <f>IF('[2]BASE'!GJ24=0,"",'[2]BASE'!GJ24)</f>
      </c>
      <c r="R24" s="905">
        <f>IF('[2]BASE'!GK24=0,"",'[2]BASE'!GK24)</f>
      </c>
      <c r="S24" s="905">
        <f>IF('[2]BASE'!GL24=0,"",'[2]BASE'!GL24)</f>
      </c>
      <c r="T24" s="906"/>
      <c r="U24" s="902"/>
    </row>
    <row r="25" spans="2:21" s="896" customFormat="1" ht="19.5" customHeight="1">
      <c r="B25" s="897"/>
      <c r="C25" s="909">
        <f>IF('[2]BASE'!C25=0,"",'[2]BASE'!C25)</f>
        <v>9</v>
      </c>
      <c r="D25" s="909" t="str">
        <f>IF('[2]BASE'!D25=0,"",'[2]BASE'!D25)</f>
        <v>BAHIA BLANCA - CHOELE CHOEL 2</v>
      </c>
      <c r="E25" s="909">
        <f>IF('[2]BASE'!E25=0,"",'[2]BASE'!E25)</f>
        <v>500</v>
      </c>
      <c r="F25" s="909">
        <f>IF('[2]BASE'!F25=0,"",'[2]BASE'!F25)</f>
        <v>348.4</v>
      </c>
      <c r="G25" s="910">
        <f>IF('[2]BASE'!G25=0,"",'[2]BASE'!G25)</f>
      </c>
      <c r="H25" s="905">
        <f>IF('[2]BASE'!GA25=0,"",'[2]BASE'!GA25)</f>
      </c>
      <c r="I25" s="905">
        <f>IF('[2]BASE'!GB25=0,"",'[2]BASE'!GB25)</f>
      </c>
      <c r="J25" s="905">
        <f>IF('[2]BASE'!GC25=0,"",'[2]BASE'!GC25)</f>
      </c>
      <c r="K25" s="905">
        <f>IF('[2]BASE'!GD25=0,"",'[2]BASE'!GD25)</f>
      </c>
      <c r="L25" s="905">
        <f>IF('[2]BASE'!GE25=0,"",'[2]BASE'!GE25)</f>
      </c>
      <c r="M25" s="905">
        <f>IF('[2]BASE'!GF25=0,"",'[2]BASE'!GF25)</f>
      </c>
      <c r="N25" s="905">
        <f>IF('[2]BASE'!GG25=0,"",'[2]BASE'!GG25)</f>
      </c>
      <c r="O25" s="905">
        <f>IF('[2]BASE'!GH25=0,"",'[2]BASE'!GH25)</f>
      </c>
      <c r="P25" s="905">
        <f>IF('[2]BASE'!GI25=0,"",'[2]BASE'!GI25)</f>
      </c>
      <c r="Q25" s="905">
        <f>IF('[2]BASE'!GJ25=0,"",'[2]BASE'!GJ25)</f>
      </c>
      <c r="R25" s="905">
        <f>IF('[2]BASE'!GK25=0,"",'[2]BASE'!GK25)</f>
      </c>
      <c r="S25" s="905">
        <f>IF('[2]BASE'!GL25=0,"",'[2]BASE'!GL25)</f>
      </c>
      <c r="T25" s="906"/>
      <c r="U25" s="902"/>
    </row>
    <row r="26" spans="2:21" s="896" customFormat="1" ht="19.5" customHeight="1">
      <c r="B26" s="897"/>
      <c r="C26" s="907">
        <f>IF('[2]BASE'!C26=0,"",'[2]BASE'!C26)</f>
        <v>10</v>
      </c>
      <c r="D26" s="907" t="str">
        <f>IF('[2]BASE'!D26=0,"",'[2]BASE'!D26)</f>
        <v>CERR. de la CTA - P.BAND. (A3)</v>
      </c>
      <c r="E26" s="907">
        <f>IF('[2]BASE'!E26=0,"",'[2]BASE'!E26)</f>
        <v>500</v>
      </c>
      <c r="F26" s="907">
        <f>IF('[2]BASE'!F26=0,"",'[2]BASE'!F26)</f>
        <v>27</v>
      </c>
      <c r="G26" s="908" t="str">
        <f>IF('[2]BASE'!G26=0,"",'[2]BASE'!G26)</f>
        <v>C</v>
      </c>
      <c r="H26" s="905">
        <f>IF('[2]BASE'!GA26=0,"",'[2]BASE'!GA26)</f>
        <v>1</v>
      </c>
      <c r="I26" s="905">
        <f>IF('[2]BASE'!GB26=0,"",'[2]BASE'!GB26)</f>
      </c>
      <c r="J26" s="905">
        <f>IF('[2]BASE'!GC26=0,"",'[2]BASE'!GC26)</f>
      </c>
      <c r="K26" s="905">
        <f>IF('[2]BASE'!GD26=0,"",'[2]BASE'!GD26)</f>
      </c>
      <c r="L26" s="905">
        <f>IF('[2]BASE'!GE26=0,"",'[2]BASE'!GE26)</f>
      </c>
      <c r="M26" s="905">
        <f>IF('[2]BASE'!GF26=0,"",'[2]BASE'!GF26)</f>
      </c>
      <c r="N26" s="905">
        <f>IF('[2]BASE'!GG26=0,"",'[2]BASE'!GG26)</f>
      </c>
      <c r="O26" s="905">
        <f>IF('[2]BASE'!GH26=0,"",'[2]BASE'!GH26)</f>
      </c>
      <c r="P26" s="905">
        <f>IF('[2]BASE'!GI26=0,"",'[2]BASE'!GI26)</f>
        <v>1</v>
      </c>
      <c r="Q26" s="905">
        <f>IF('[2]BASE'!GJ26=0,"",'[2]BASE'!GJ26)</f>
      </c>
      <c r="R26" s="905">
        <f>IF('[2]BASE'!GK26=0,"",'[2]BASE'!GK26)</f>
      </c>
      <c r="S26" s="905">
        <f>IF('[2]BASE'!GL26=0,"",'[2]BASE'!GL26)</f>
      </c>
      <c r="T26" s="906"/>
      <c r="U26" s="902"/>
    </row>
    <row r="27" spans="2:21" s="896" customFormat="1" ht="19.5" customHeight="1">
      <c r="B27" s="897"/>
      <c r="C27" s="909">
        <f>IF('[2]BASE'!C27=0,"",'[2]BASE'!C27)</f>
        <v>11</v>
      </c>
      <c r="D27" s="909" t="str">
        <f>IF('[2]BASE'!D27=0,"",'[2]BASE'!D27)</f>
        <v>COLONIA ELIA - CAMPANA</v>
      </c>
      <c r="E27" s="909">
        <f>IF('[2]BASE'!E27=0,"",'[2]BASE'!E27)</f>
        <v>500</v>
      </c>
      <c r="F27" s="909">
        <f>IF('[2]BASE'!F27=0,"",'[2]BASE'!F27)</f>
        <v>194</v>
      </c>
      <c r="G27" s="910" t="str">
        <f>IF('[2]BASE'!G27=0,"",'[2]BASE'!G27)</f>
        <v>C</v>
      </c>
      <c r="H27" s="905">
        <f>IF('[2]BASE'!GA27=0,"",'[2]BASE'!GA27)</f>
      </c>
      <c r="I27" s="905">
        <f>IF('[2]BASE'!GB27=0,"",'[2]BASE'!GB27)</f>
      </c>
      <c r="J27" s="905">
        <f>IF('[2]BASE'!GC27=0,"",'[2]BASE'!GC27)</f>
      </c>
      <c r="K27" s="905">
        <f>IF('[2]BASE'!GD27=0,"",'[2]BASE'!GD27)</f>
      </c>
      <c r="L27" s="905">
        <f>IF('[2]BASE'!GE27=0,"",'[2]BASE'!GE27)</f>
        <v>1</v>
      </c>
      <c r="M27" s="905">
        <f>IF('[2]BASE'!GF27=0,"",'[2]BASE'!GF27)</f>
      </c>
      <c r="N27" s="905">
        <f>IF('[2]BASE'!GG27=0,"",'[2]BASE'!GG27)</f>
      </c>
      <c r="O27" s="905">
        <f>IF('[2]BASE'!GH27=0,"",'[2]BASE'!GH27)</f>
      </c>
      <c r="P27" s="905">
        <f>IF('[2]BASE'!GI27=0,"",'[2]BASE'!GI27)</f>
      </c>
      <c r="Q27" s="905">
        <f>IF('[2]BASE'!GJ27=0,"",'[2]BASE'!GJ27)</f>
      </c>
      <c r="R27" s="905">
        <f>IF('[2]BASE'!GK27=0,"",'[2]BASE'!GK27)</f>
      </c>
      <c r="S27" s="905">
        <f>IF('[2]BASE'!GL27=0,"",'[2]BASE'!GL27)</f>
      </c>
      <c r="T27" s="906"/>
      <c r="U27" s="902"/>
    </row>
    <row r="28" spans="2:21" s="896" customFormat="1" ht="19.5" customHeight="1">
      <c r="B28" s="897"/>
      <c r="C28" s="907">
        <f>IF('[2]BASE'!C28=0,"",'[2]BASE'!C28)</f>
        <v>12</v>
      </c>
      <c r="D28" s="907" t="str">
        <f>IF('[2]BASE'!D28=0,"",'[2]BASE'!D28)</f>
        <v>CHO. W. - CHOELE CHOEL (5WH1)</v>
      </c>
      <c r="E28" s="907">
        <f>IF('[2]BASE'!E28=0,"",'[2]BASE'!E28)</f>
        <v>500</v>
      </c>
      <c r="F28" s="907">
        <f>IF('[2]BASE'!F28=0,"",'[2]BASE'!F28)</f>
        <v>269</v>
      </c>
      <c r="G28" s="908" t="str">
        <f>IF('[2]BASE'!G28=0,"",'[2]BASE'!G28)</f>
        <v>B</v>
      </c>
      <c r="H28" s="905">
        <f>IF('[2]BASE'!GA28=0,"",'[2]BASE'!GA28)</f>
      </c>
      <c r="I28" s="905">
        <f>IF('[2]BASE'!GB28=0,"",'[2]BASE'!GB28)</f>
      </c>
      <c r="J28" s="905">
        <f>IF('[2]BASE'!GC28=0,"",'[2]BASE'!GC28)</f>
      </c>
      <c r="K28" s="905">
        <f>IF('[2]BASE'!GD28=0,"",'[2]BASE'!GD28)</f>
      </c>
      <c r="L28" s="905">
        <f>IF('[2]BASE'!GE28=0,"",'[2]BASE'!GE28)</f>
      </c>
      <c r="M28" s="905">
        <f>IF('[2]BASE'!GF28=0,"",'[2]BASE'!GF28)</f>
      </c>
      <c r="N28" s="905">
        <f>IF('[2]BASE'!GG28=0,"",'[2]BASE'!GG28)</f>
      </c>
      <c r="O28" s="905">
        <f>IF('[2]BASE'!GH28=0,"",'[2]BASE'!GH28)</f>
      </c>
      <c r="P28" s="905">
        <f>IF('[2]BASE'!GI28=0,"",'[2]BASE'!GI28)</f>
      </c>
      <c r="Q28" s="905">
        <f>IF('[2]BASE'!GJ28=0,"",'[2]BASE'!GJ28)</f>
      </c>
      <c r="R28" s="905">
        <f>IF('[2]BASE'!GK28=0,"",'[2]BASE'!GK28)</f>
      </c>
      <c r="S28" s="905">
        <f>IF('[2]BASE'!GL28=0,"",'[2]BASE'!GL28)</f>
      </c>
      <c r="T28" s="906"/>
      <c r="U28" s="902"/>
    </row>
    <row r="29" spans="2:21" s="896" customFormat="1" ht="19.5" customHeight="1">
      <c r="B29" s="897"/>
      <c r="C29" s="909">
        <f>IF('[2]BASE'!C29=0,"",'[2]BASE'!C29)</f>
        <v>13</v>
      </c>
      <c r="D29" s="909" t="str">
        <f>IF('[2]BASE'!D29=0,"",'[2]BASE'!D29)</f>
        <v>CHO.W. - CHO. 1 (5WC1)</v>
      </c>
      <c r="E29" s="909">
        <f>IF('[2]BASE'!E29=0,"",'[2]BASE'!E29)</f>
        <v>500</v>
      </c>
      <c r="F29" s="909">
        <f>IF('[2]BASE'!F29=0,"",'[2]BASE'!F29)</f>
        <v>4.5</v>
      </c>
      <c r="G29" s="910" t="str">
        <f>IF('[2]BASE'!G29=0,"",'[2]BASE'!G29)</f>
        <v>C</v>
      </c>
      <c r="H29" s="905">
        <f>IF('[2]BASE'!GA29=0,"",'[2]BASE'!GA29)</f>
      </c>
      <c r="I29" s="905">
        <f>IF('[2]BASE'!GB29=0,"",'[2]BASE'!GB29)</f>
      </c>
      <c r="J29" s="905">
        <f>IF('[2]BASE'!GC29=0,"",'[2]BASE'!GC29)</f>
      </c>
      <c r="K29" s="905">
        <f>IF('[2]BASE'!GD29=0,"",'[2]BASE'!GD29)</f>
      </c>
      <c r="L29" s="905">
        <f>IF('[2]BASE'!GE29=0,"",'[2]BASE'!GE29)</f>
      </c>
      <c r="M29" s="905">
        <f>IF('[2]BASE'!GF29=0,"",'[2]BASE'!GF29)</f>
      </c>
      <c r="N29" s="905">
        <f>IF('[2]BASE'!GG29=0,"",'[2]BASE'!GG29)</f>
      </c>
      <c r="O29" s="905">
        <f>IF('[2]BASE'!GH29=0,"",'[2]BASE'!GH29)</f>
      </c>
      <c r="P29" s="905">
        <f>IF('[2]BASE'!GI29=0,"",'[2]BASE'!GI29)</f>
      </c>
      <c r="Q29" s="905">
        <f>IF('[2]BASE'!GJ29=0,"",'[2]BASE'!GJ29)</f>
      </c>
      <c r="R29" s="905">
        <f>IF('[2]BASE'!GK29=0,"",'[2]BASE'!GK29)</f>
      </c>
      <c r="S29" s="905">
        <f>IF('[2]BASE'!GL29=0,"",'[2]BASE'!GL29)</f>
      </c>
      <c r="T29" s="906"/>
      <c r="U29" s="902"/>
    </row>
    <row r="30" spans="2:21" s="896" customFormat="1" ht="19.5" customHeight="1">
      <c r="B30" s="897"/>
      <c r="C30" s="907">
        <f>IF('[2]BASE'!C30=0,"",'[2]BASE'!C30)</f>
        <v>14</v>
      </c>
      <c r="D30" s="907" t="str">
        <f>IF('[2]BASE'!D30=0,"",'[2]BASE'!D30)</f>
        <v>CHO.W. - CHO. 2 (5WC2)</v>
      </c>
      <c r="E30" s="907">
        <f>IF('[2]BASE'!E30=0,"",'[2]BASE'!E30)</f>
        <v>500</v>
      </c>
      <c r="F30" s="907">
        <f>IF('[2]BASE'!F30=0,"",'[2]BASE'!F30)</f>
        <v>4.5</v>
      </c>
      <c r="G30" s="908" t="str">
        <f>IF('[2]BASE'!G30=0,"",'[2]BASE'!G30)</f>
        <v>C</v>
      </c>
      <c r="H30" s="905">
        <f>IF('[2]BASE'!GA30=0,"",'[2]BASE'!GA30)</f>
      </c>
      <c r="I30" s="905">
        <f>IF('[2]BASE'!GB30=0,"",'[2]BASE'!GB30)</f>
      </c>
      <c r="J30" s="905">
        <f>IF('[2]BASE'!GC30=0,"",'[2]BASE'!GC30)</f>
      </c>
      <c r="K30" s="905">
        <f>IF('[2]BASE'!GD30=0,"",'[2]BASE'!GD30)</f>
      </c>
      <c r="L30" s="905">
        <f>IF('[2]BASE'!GE30=0,"",'[2]BASE'!GE30)</f>
      </c>
      <c r="M30" s="905">
        <f>IF('[2]BASE'!GF30=0,"",'[2]BASE'!GF30)</f>
      </c>
      <c r="N30" s="905">
        <f>IF('[2]BASE'!GG30=0,"",'[2]BASE'!GG30)</f>
      </c>
      <c r="O30" s="905">
        <f>IF('[2]BASE'!GH30=0,"",'[2]BASE'!GH30)</f>
      </c>
      <c r="P30" s="905">
        <f>IF('[2]BASE'!GI30=0,"",'[2]BASE'!GI30)</f>
      </c>
      <c r="Q30" s="905">
        <f>IF('[2]BASE'!GJ30=0,"",'[2]BASE'!GJ30)</f>
      </c>
      <c r="R30" s="905">
        <f>IF('[2]BASE'!GK30=0,"",'[2]BASE'!GK30)</f>
      </c>
      <c r="S30" s="905">
        <f>IF('[2]BASE'!GL30=0,"",'[2]BASE'!GL30)</f>
        <v>1</v>
      </c>
      <c r="T30" s="906"/>
      <c r="U30" s="902"/>
    </row>
    <row r="31" spans="2:21" s="896" customFormat="1" ht="19.5" customHeight="1">
      <c r="B31" s="897"/>
      <c r="C31" s="909">
        <f>IF('[2]BASE'!C31=0,"",'[2]BASE'!C31)</f>
        <v>15</v>
      </c>
      <c r="D31" s="909" t="str">
        <f>IF('[2]BASE'!D31=0,"",'[2]BASE'!D31)</f>
        <v>CHOCON - C.H. CHOCON 1</v>
      </c>
      <c r="E31" s="909">
        <f>IF('[2]BASE'!E31=0,"",'[2]BASE'!E31)</f>
        <v>500</v>
      </c>
      <c r="F31" s="909">
        <f>IF('[2]BASE'!F31=0,"",'[2]BASE'!F31)</f>
        <v>3</v>
      </c>
      <c r="G31" s="910" t="str">
        <f>IF('[2]BASE'!G31=0,"",'[2]BASE'!G31)</f>
        <v>C</v>
      </c>
      <c r="H31" s="905">
        <f>IF('[2]BASE'!GA31=0,"",'[2]BASE'!GA31)</f>
      </c>
      <c r="I31" s="905">
        <f>IF('[2]BASE'!GB31=0,"",'[2]BASE'!GB31)</f>
      </c>
      <c r="J31" s="905">
        <f>IF('[2]BASE'!GC31=0,"",'[2]BASE'!GC31)</f>
      </c>
      <c r="K31" s="905">
        <f>IF('[2]BASE'!GD31=0,"",'[2]BASE'!GD31)</f>
      </c>
      <c r="L31" s="905">
        <f>IF('[2]BASE'!GE31=0,"",'[2]BASE'!GE31)</f>
      </c>
      <c r="M31" s="905">
        <f>IF('[2]BASE'!GF31=0,"",'[2]BASE'!GF31)</f>
      </c>
      <c r="N31" s="905">
        <f>IF('[2]BASE'!GG31=0,"",'[2]BASE'!GG31)</f>
      </c>
      <c r="O31" s="905">
        <f>IF('[2]BASE'!GH31=0,"",'[2]BASE'!GH31)</f>
      </c>
      <c r="P31" s="905">
        <f>IF('[2]BASE'!GI31=0,"",'[2]BASE'!GI31)</f>
      </c>
      <c r="Q31" s="905">
        <f>IF('[2]BASE'!GJ31=0,"",'[2]BASE'!GJ31)</f>
      </c>
      <c r="R31" s="905">
        <f>IF('[2]BASE'!GK31=0,"",'[2]BASE'!GK31)</f>
      </c>
      <c r="S31" s="905">
        <f>IF('[2]BASE'!GL31=0,"",'[2]BASE'!GL31)</f>
      </c>
      <c r="T31" s="906"/>
      <c r="U31" s="902"/>
    </row>
    <row r="32" spans="2:21" s="896" customFormat="1" ht="19.5" customHeight="1">
      <c r="B32" s="897"/>
      <c r="C32" s="907">
        <f>IF('[2]BASE'!C32=0,"",'[2]BASE'!C32)</f>
        <v>16</v>
      </c>
      <c r="D32" s="907" t="str">
        <f>IF('[2]BASE'!D32=0,"",'[2]BASE'!D32)</f>
        <v>CHOCON - C.H. CHOCON 2</v>
      </c>
      <c r="E32" s="907">
        <f>IF('[2]BASE'!E32=0,"",'[2]BASE'!E32)</f>
        <v>500</v>
      </c>
      <c r="F32" s="907">
        <f>IF('[2]BASE'!F32=0,"",'[2]BASE'!F32)</f>
        <v>3</v>
      </c>
      <c r="G32" s="908" t="str">
        <f>IF('[2]BASE'!G32=0,"",'[2]BASE'!G32)</f>
        <v>C</v>
      </c>
      <c r="H32" s="905">
        <f>IF('[2]BASE'!GA32=0,"",'[2]BASE'!GA32)</f>
      </c>
      <c r="I32" s="905">
        <f>IF('[2]BASE'!GB32=0,"",'[2]BASE'!GB32)</f>
      </c>
      <c r="J32" s="905">
        <f>IF('[2]BASE'!GC32=0,"",'[2]BASE'!GC32)</f>
      </c>
      <c r="K32" s="905">
        <f>IF('[2]BASE'!GD32=0,"",'[2]BASE'!GD32)</f>
      </c>
      <c r="L32" s="905">
        <f>IF('[2]BASE'!GE32=0,"",'[2]BASE'!GE32)</f>
      </c>
      <c r="M32" s="905">
        <f>IF('[2]BASE'!GF32=0,"",'[2]BASE'!GF32)</f>
      </c>
      <c r="N32" s="905">
        <f>IF('[2]BASE'!GG32=0,"",'[2]BASE'!GG32)</f>
      </c>
      <c r="O32" s="905">
        <f>IF('[2]BASE'!GH32=0,"",'[2]BASE'!GH32)</f>
      </c>
      <c r="P32" s="905">
        <f>IF('[2]BASE'!GI32=0,"",'[2]BASE'!GI32)</f>
      </c>
      <c r="Q32" s="905">
        <f>IF('[2]BASE'!GJ32=0,"",'[2]BASE'!GJ32)</f>
      </c>
      <c r="R32" s="905">
        <f>IF('[2]BASE'!GK32=0,"",'[2]BASE'!GK32)</f>
      </c>
      <c r="S32" s="905">
        <f>IF('[2]BASE'!GL32=0,"",'[2]BASE'!GL32)</f>
      </c>
      <c r="T32" s="906"/>
      <c r="U32" s="902"/>
    </row>
    <row r="33" spans="2:21" s="896" customFormat="1" ht="19.5" customHeight="1">
      <c r="B33" s="897"/>
      <c r="C33" s="909">
        <f>IF('[2]BASE'!C33=0,"",'[2]BASE'!C33)</f>
        <v>17</v>
      </c>
      <c r="D33" s="909" t="str">
        <f>IF('[2]BASE'!D33=0,"",'[2]BASE'!D33)</f>
        <v>CHOCON - C.H. CHOCON 3</v>
      </c>
      <c r="E33" s="909">
        <f>IF('[2]BASE'!E33=0,"",'[2]BASE'!E33)</f>
        <v>500</v>
      </c>
      <c r="F33" s="909">
        <f>IF('[2]BASE'!F33=0,"",'[2]BASE'!F33)</f>
        <v>3</v>
      </c>
      <c r="G33" s="910" t="str">
        <f>IF('[2]BASE'!G33=0,"",'[2]BASE'!G33)</f>
        <v>C</v>
      </c>
      <c r="H33" s="905">
        <f>IF('[2]BASE'!GA33=0,"",'[2]BASE'!GA33)</f>
      </c>
      <c r="I33" s="905">
        <f>IF('[2]BASE'!GB33=0,"",'[2]BASE'!GB33)</f>
      </c>
      <c r="J33" s="905">
        <f>IF('[2]BASE'!GC33=0,"",'[2]BASE'!GC33)</f>
      </c>
      <c r="K33" s="905">
        <f>IF('[2]BASE'!GD33=0,"",'[2]BASE'!GD33)</f>
      </c>
      <c r="L33" s="905">
        <f>IF('[2]BASE'!GE33=0,"",'[2]BASE'!GE33)</f>
      </c>
      <c r="M33" s="905">
        <f>IF('[2]BASE'!GF33=0,"",'[2]BASE'!GF33)</f>
      </c>
      <c r="N33" s="905">
        <f>IF('[2]BASE'!GG33=0,"",'[2]BASE'!GG33)</f>
      </c>
      <c r="O33" s="905">
        <f>IF('[2]BASE'!GH33=0,"",'[2]BASE'!GH33)</f>
      </c>
      <c r="P33" s="905">
        <f>IF('[2]BASE'!GI33=0,"",'[2]BASE'!GI33)</f>
      </c>
      <c r="Q33" s="905">
        <f>IF('[2]BASE'!GJ33=0,"",'[2]BASE'!GJ33)</f>
      </c>
      <c r="R33" s="905">
        <f>IF('[2]BASE'!GK33=0,"",'[2]BASE'!GK33)</f>
      </c>
      <c r="S33" s="905">
        <f>IF('[2]BASE'!GL33=0,"",'[2]BASE'!GL33)</f>
      </c>
      <c r="T33" s="906"/>
      <c r="U33" s="902"/>
    </row>
    <row r="34" spans="2:21" s="896" customFormat="1" ht="19.5" customHeight="1">
      <c r="B34" s="897"/>
      <c r="C34" s="907">
        <f>IF('[2]BASE'!C34=0,"",'[2]BASE'!C34)</f>
        <v>18</v>
      </c>
      <c r="D34" s="907" t="str">
        <f>IF('[2]BASE'!D34=0,"",'[2]BASE'!D34)</f>
        <v>CHOCON - PUELCHES 1</v>
      </c>
      <c r="E34" s="907">
        <f>IF('[2]BASE'!E34=0,"",'[2]BASE'!E34)</f>
        <v>500</v>
      </c>
      <c r="F34" s="907">
        <f>IF('[2]BASE'!F34=0,"",'[2]BASE'!F34)</f>
        <v>304</v>
      </c>
      <c r="G34" s="908" t="str">
        <f>IF('[2]BASE'!G34=0,"",'[2]BASE'!G34)</f>
        <v>A</v>
      </c>
      <c r="H34" s="905">
        <f>IF('[2]BASE'!GA34=0,"",'[2]BASE'!GA34)</f>
      </c>
      <c r="I34" s="905">
        <f>IF('[2]BASE'!GB34=0,"",'[2]BASE'!GB34)</f>
      </c>
      <c r="J34" s="905">
        <f>IF('[2]BASE'!GC34=0,"",'[2]BASE'!GC34)</f>
        <v>2</v>
      </c>
      <c r="K34" s="905">
        <f>IF('[2]BASE'!GD34=0,"",'[2]BASE'!GD34)</f>
      </c>
      <c r="L34" s="905">
        <f>IF('[2]BASE'!GE34=0,"",'[2]BASE'!GE34)</f>
      </c>
      <c r="M34" s="905">
        <f>IF('[2]BASE'!GF34=0,"",'[2]BASE'!GF34)</f>
      </c>
      <c r="N34" s="905">
        <f>IF('[2]BASE'!GG34=0,"",'[2]BASE'!GG34)</f>
      </c>
      <c r="O34" s="905">
        <f>IF('[2]BASE'!GH34=0,"",'[2]BASE'!GH34)</f>
      </c>
      <c r="P34" s="905">
        <f>IF('[2]BASE'!GI34=0,"",'[2]BASE'!GI34)</f>
      </c>
      <c r="Q34" s="905">
        <f>IF('[2]BASE'!GJ34=0,"",'[2]BASE'!GJ34)</f>
      </c>
      <c r="R34" s="905">
        <f>IF('[2]BASE'!GK34=0,"",'[2]BASE'!GK34)</f>
      </c>
      <c r="S34" s="905">
        <f>IF('[2]BASE'!GL34=0,"",'[2]BASE'!GL34)</f>
      </c>
      <c r="T34" s="906"/>
      <c r="U34" s="902"/>
    </row>
    <row r="35" spans="2:21" s="896" customFormat="1" ht="19.5" customHeight="1">
      <c r="B35" s="897"/>
      <c r="C35" s="909">
        <f>IF('[2]BASE'!C35=0,"",'[2]BASE'!C35)</f>
        <v>19</v>
      </c>
      <c r="D35" s="909" t="str">
        <f>IF('[2]BASE'!D35=0,"",'[2]BASE'!D35)</f>
        <v>CHOCON - PUELCHES 2</v>
      </c>
      <c r="E35" s="909">
        <f>IF('[2]BASE'!E35=0,"",'[2]BASE'!E35)</f>
        <v>500</v>
      </c>
      <c r="F35" s="909">
        <f>IF('[2]BASE'!F35=0,"",'[2]BASE'!F35)</f>
        <v>304</v>
      </c>
      <c r="G35" s="910" t="str">
        <f>IF('[2]BASE'!G35=0,"",'[2]BASE'!G35)</f>
        <v>A</v>
      </c>
      <c r="H35" s="905">
        <f>IF('[2]BASE'!GA35=0,"",'[2]BASE'!GA35)</f>
      </c>
      <c r="I35" s="905">
        <f>IF('[2]BASE'!GB35=0,"",'[2]BASE'!GB35)</f>
      </c>
      <c r="J35" s="905">
        <f>IF('[2]BASE'!GC35=0,"",'[2]BASE'!GC35)</f>
      </c>
      <c r="K35" s="905">
        <f>IF('[2]BASE'!GD35=0,"",'[2]BASE'!GD35)</f>
      </c>
      <c r="L35" s="905">
        <f>IF('[2]BASE'!GE35=0,"",'[2]BASE'!GE35)</f>
      </c>
      <c r="M35" s="905">
        <f>IF('[2]BASE'!GF35=0,"",'[2]BASE'!GF35)</f>
      </c>
      <c r="N35" s="905">
        <f>IF('[2]BASE'!GG35=0,"",'[2]BASE'!GG35)</f>
      </c>
      <c r="O35" s="905">
        <f>IF('[2]BASE'!GH35=0,"",'[2]BASE'!GH35)</f>
      </c>
      <c r="P35" s="905">
        <f>IF('[2]BASE'!GI35=0,"",'[2]BASE'!GI35)</f>
      </c>
      <c r="Q35" s="905">
        <f>IF('[2]BASE'!GJ35=0,"",'[2]BASE'!GJ35)</f>
      </c>
      <c r="R35" s="905">
        <f>IF('[2]BASE'!GK35=0,"",'[2]BASE'!GK35)</f>
      </c>
      <c r="S35" s="905">
        <f>IF('[2]BASE'!GL35=0,"",'[2]BASE'!GL35)</f>
      </c>
      <c r="T35" s="906"/>
      <c r="U35" s="902"/>
    </row>
    <row r="36" spans="2:21" s="896" customFormat="1" ht="19.5" customHeight="1">
      <c r="B36" s="897"/>
      <c r="C36" s="907">
        <f>IF('[2]BASE'!C36=0,"",'[2]BASE'!C36)</f>
        <v>20</v>
      </c>
      <c r="D36" s="907" t="str">
        <f>IF('[2]BASE'!D36=0,"",'[2]BASE'!D36)</f>
        <v>E.T.P.del AGUILA - CENTRAL P.del A. 1</v>
      </c>
      <c r="E36" s="907">
        <f>IF('[2]BASE'!E36=0,"",'[2]BASE'!E36)</f>
        <v>500</v>
      </c>
      <c r="F36" s="907">
        <f>IF('[2]BASE'!F36=0,"",'[2]BASE'!F36)</f>
        <v>5.6</v>
      </c>
      <c r="G36" s="908" t="str">
        <f>IF('[2]BASE'!G36=0,"",'[2]BASE'!G36)</f>
        <v>C</v>
      </c>
      <c r="H36" s="905">
        <f>IF('[2]BASE'!GA36=0,"",'[2]BASE'!GA36)</f>
      </c>
      <c r="I36" s="905">
        <f>IF('[2]BASE'!GB36=0,"",'[2]BASE'!GB36)</f>
      </c>
      <c r="J36" s="905">
        <f>IF('[2]BASE'!GC36=0,"",'[2]BASE'!GC36)</f>
      </c>
      <c r="K36" s="905">
        <f>IF('[2]BASE'!GD36=0,"",'[2]BASE'!GD36)</f>
      </c>
      <c r="L36" s="905">
        <f>IF('[2]BASE'!GE36=0,"",'[2]BASE'!GE36)</f>
      </c>
      <c r="M36" s="905">
        <f>IF('[2]BASE'!GF36=0,"",'[2]BASE'!GF36)</f>
      </c>
      <c r="N36" s="905">
        <f>IF('[2]BASE'!GG36=0,"",'[2]BASE'!GG36)</f>
      </c>
      <c r="O36" s="905">
        <f>IF('[2]BASE'!GH36=0,"",'[2]BASE'!GH36)</f>
      </c>
      <c r="P36" s="905">
        <f>IF('[2]BASE'!GI36=0,"",'[2]BASE'!GI36)</f>
      </c>
      <c r="Q36" s="905">
        <f>IF('[2]BASE'!GJ36=0,"",'[2]BASE'!GJ36)</f>
      </c>
      <c r="R36" s="905">
        <f>IF('[2]BASE'!GK36=0,"",'[2]BASE'!GK36)</f>
      </c>
      <c r="S36" s="905">
        <f>IF('[2]BASE'!GL36=0,"",'[2]BASE'!GL36)</f>
      </c>
      <c r="T36" s="906"/>
      <c r="U36" s="902"/>
    </row>
    <row r="37" spans="2:21" s="896" customFormat="1" ht="19.5" customHeight="1">
      <c r="B37" s="897"/>
      <c r="C37" s="909">
        <f>IF('[2]BASE'!C37=0,"",'[2]BASE'!C37)</f>
        <v>21</v>
      </c>
      <c r="D37" s="909" t="str">
        <f>IF('[2]BASE'!D37=0,"",'[2]BASE'!D37)</f>
        <v>E.T.P.del AGUILA - CENTRAL P.del A. 2</v>
      </c>
      <c r="E37" s="909">
        <f>IF('[2]BASE'!E37=0,"",'[2]BASE'!E37)</f>
        <v>500</v>
      </c>
      <c r="F37" s="909">
        <f>IF('[2]BASE'!F37=0,"",'[2]BASE'!F37)</f>
        <v>5.6</v>
      </c>
      <c r="G37" s="910" t="str">
        <f>IF('[2]BASE'!G37=0,"",'[2]BASE'!G37)</f>
        <v>C</v>
      </c>
      <c r="H37" s="905">
        <f>IF('[2]BASE'!GA37=0,"",'[2]BASE'!GA37)</f>
      </c>
      <c r="I37" s="905">
        <f>IF('[2]BASE'!GB37=0,"",'[2]BASE'!GB37)</f>
      </c>
      <c r="J37" s="905">
        <f>IF('[2]BASE'!GC37=0,"",'[2]BASE'!GC37)</f>
      </c>
      <c r="K37" s="905">
        <f>IF('[2]BASE'!GD37=0,"",'[2]BASE'!GD37)</f>
      </c>
      <c r="L37" s="905">
        <f>IF('[2]BASE'!GE37=0,"",'[2]BASE'!GE37)</f>
      </c>
      <c r="M37" s="905">
        <f>IF('[2]BASE'!GF37=0,"",'[2]BASE'!GF37)</f>
      </c>
      <c r="N37" s="905">
        <f>IF('[2]BASE'!GG37=0,"",'[2]BASE'!GG37)</f>
      </c>
      <c r="O37" s="905">
        <f>IF('[2]BASE'!GH37=0,"",'[2]BASE'!GH37)</f>
      </c>
      <c r="P37" s="905">
        <f>IF('[2]BASE'!GI37=0,"",'[2]BASE'!GI37)</f>
      </c>
      <c r="Q37" s="905">
        <f>IF('[2]BASE'!GJ37=0,"",'[2]BASE'!GJ37)</f>
      </c>
      <c r="R37" s="905">
        <f>IF('[2]BASE'!GK37=0,"",'[2]BASE'!GK37)</f>
      </c>
      <c r="S37" s="905">
        <f>IF('[2]BASE'!GL37=0,"",'[2]BASE'!GL37)</f>
      </c>
      <c r="T37" s="906"/>
      <c r="U37" s="902"/>
    </row>
    <row r="38" spans="2:21" s="896" customFormat="1" ht="19.5" customHeight="1">
      <c r="B38" s="897"/>
      <c r="C38" s="907">
        <f>IF('[2]BASE'!C38=0,"",'[2]BASE'!C38)</f>
        <v>22</v>
      </c>
      <c r="D38" s="907" t="str">
        <f>IF('[2]BASE'!D38=0,"",'[2]BASE'!D38)</f>
        <v>EL BRACHO - RECREO(5)</v>
      </c>
      <c r="E38" s="907">
        <f>IF('[2]BASE'!E38=0,"",'[2]BASE'!E38)</f>
        <v>500</v>
      </c>
      <c r="F38" s="907">
        <f>IF('[2]BASE'!F38=0,"",'[2]BASE'!F38)</f>
        <v>255</v>
      </c>
      <c r="G38" s="908" t="str">
        <f>IF('[2]BASE'!G38=0,"",'[2]BASE'!G38)</f>
        <v>C</v>
      </c>
      <c r="H38" s="905">
        <f>IF('[2]BASE'!GA38=0,"",'[2]BASE'!GA38)</f>
      </c>
      <c r="I38" s="905">
        <f>IF('[2]BASE'!GB38=0,"",'[2]BASE'!GB38)</f>
      </c>
      <c r="J38" s="905">
        <f>IF('[2]BASE'!GC38=0,"",'[2]BASE'!GC38)</f>
      </c>
      <c r="K38" s="905">
        <f>IF('[2]BASE'!GD38=0,"",'[2]BASE'!GD38)</f>
      </c>
      <c r="L38" s="905">
        <f>IF('[2]BASE'!GE38=0,"",'[2]BASE'!GE38)</f>
      </c>
      <c r="M38" s="905">
        <f>IF('[2]BASE'!GF38=0,"",'[2]BASE'!GF38)</f>
        <v>1</v>
      </c>
      <c r="N38" s="905">
        <f>IF('[2]BASE'!GG38=0,"",'[2]BASE'!GG38)</f>
      </c>
      <c r="O38" s="905">
        <f>IF('[2]BASE'!GH38=0,"",'[2]BASE'!GH38)</f>
      </c>
      <c r="P38" s="905">
        <f>IF('[2]BASE'!GI38=0,"",'[2]BASE'!GI38)</f>
      </c>
      <c r="Q38" s="905">
        <f>IF('[2]BASE'!GJ38=0,"",'[2]BASE'!GJ38)</f>
      </c>
      <c r="R38" s="905">
        <f>IF('[2]BASE'!GK38=0,"",'[2]BASE'!GK38)</f>
      </c>
      <c r="S38" s="905">
        <f>IF('[2]BASE'!GL38=0,"",'[2]BASE'!GL38)</f>
      </c>
      <c r="T38" s="906"/>
      <c r="U38" s="902"/>
    </row>
    <row r="39" spans="2:21" s="896" customFormat="1" ht="19.5" customHeight="1">
      <c r="B39" s="897"/>
      <c r="C39" s="909">
        <f>IF('[2]BASE'!C39=0,"",'[2]BASE'!C39)</f>
        <v>23</v>
      </c>
      <c r="D39" s="909" t="str">
        <f>IF('[2]BASE'!D39=0,"",'[2]BASE'!D39)</f>
        <v>EZEIZA - ABASTO 1</v>
      </c>
      <c r="E39" s="909">
        <f>IF('[2]BASE'!E39=0,"",'[2]BASE'!E39)</f>
        <v>500</v>
      </c>
      <c r="F39" s="909">
        <f>IF('[2]BASE'!F39=0,"",'[2]BASE'!F39)</f>
        <v>58</v>
      </c>
      <c r="G39" s="910" t="str">
        <f>IF('[2]BASE'!G39=0,"",'[2]BASE'!G39)</f>
        <v>C</v>
      </c>
      <c r="H39" s="905">
        <f>IF('[2]BASE'!GA39=0,"",'[2]BASE'!GA39)</f>
      </c>
      <c r="I39" s="905">
        <f>IF('[2]BASE'!GB39=0,"",'[2]BASE'!GB39)</f>
      </c>
      <c r="J39" s="905">
        <f>IF('[2]BASE'!GC39=0,"",'[2]BASE'!GC39)</f>
      </c>
      <c r="K39" s="905">
        <f>IF('[2]BASE'!GD39=0,"",'[2]BASE'!GD39)</f>
      </c>
      <c r="L39" s="905">
        <f>IF('[2]BASE'!GE39=0,"",'[2]BASE'!GE39)</f>
      </c>
      <c r="M39" s="905">
        <f>IF('[2]BASE'!GF39=0,"",'[2]BASE'!GF39)</f>
      </c>
      <c r="N39" s="905">
        <f>IF('[2]BASE'!GG39=0,"",'[2]BASE'!GG39)</f>
      </c>
      <c r="O39" s="905">
        <f>IF('[2]BASE'!GH39=0,"",'[2]BASE'!GH39)</f>
      </c>
      <c r="P39" s="905">
        <f>IF('[2]BASE'!GI39=0,"",'[2]BASE'!GI39)</f>
      </c>
      <c r="Q39" s="905">
        <f>IF('[2]BASE'!GJ39=0,"",'[2]BASE'!GJ39)</f>
      </c>
      <c r="R39" s="905">
        <f>IF('[2]BASE'!GK39=0,"",'[2]BASE'!GK39)</f>
      </c>
      <c r="S39" s="905">
        <f>IF('[2]BASE'!GL39=0,"",'[2]BASE'!GL39)</f>
      </c>
      <c r="T39" s="906"/>
      <c r="U39" s="902"/>
    </row>
    <row r="40" spans="2:21" s="896" customFormat="1" ht="19.5" customHeight="1">
      <c r="B40" s="897"/>
      <c r="C40" s="907">
        <f>IF('[2]BASE'!C40=0,"",'[2]BASE'!C40)</f>
        <v>24</v>
      </c>
      <c r="D40" s="907" t="str">
        <f>IF('[2]BASE'!D40=0,"",'[2]BASE'!D40)</f>
        <v>EZEIZA - ABASTO 2</v>
      </c>
      <c r="E40" s="907">
        <f>IF('[2]BASE'!E40=0,"",'[2]BASE'!E40)</f>
        <v>500</v>
      </c>
      <c r="F40" s="907">
        <f>IF('[2]BASE'!F40=0,"",'[2]BASE'!F40)</f>
        <v>58</v>
      </c>
      <c r="G40" s="908" t="str">
        <f>IF('[2]BASE'!G40=0,"",'[2]BASE'!G40)</f>
        <v>C</v>
      </c>
      <c r="H40" s="905">
        <f>IF('[2]BASE'!GA40=0,"",'[2]BASE'!GA40)</f>
      </c>
      <c r="I40" s="905">
        <f>IF('[2]BASE'!GB40=0,"",'[2]BASE'!GB40)</f>
      </c>
      <c r="J40" s="905">
        <f>IF('[2]BASE'!GC40=0,"",'[2]BASE'!GC40)</f>
      </c>
      <c r="K40" s="905">
        <f>IF('[2]BASE'!GD40=0,"",'[2]BASE'!GD40)</f>
      </c>
      <c r="L40" s="905">
        <f>IF('[2]BASE'!GE40=0,"",'[2]BASE'!GE40)</f>
      </c>
      <c r="M40" s="905">
        <f>IF('[2]BASE'!GF40=0,"",'[2]BASE'!GF40)</f>
      </c>
      <c r="N40" s="905">
        <f>IF('[2]BASE'!GG40=0,"",'[2]BASE'!GG40)</f>
      </c>
      <c r="O40" s="905">
        <f>IF('[2]BASE'!GH40=0,"",'[2]BASE'!GH40)</f>
      </c>
      <c r="P40" s="905">
        <f>IF('[2]BASE'!GI40=0,"",'[2]BASE'!GI40)</f>
      </c>
      <c r="Q40" s="905">
        <f>IF('[2]BASE'!GJ40=0,"",'[2]BASE'!GJ40)</f>
      </c>
      <c r="R40" s="905">
        <f>IF('[2]BASE'!GK40=0,"",'[2]BASE'!GK40)</f>
      </c>
      <c r="S40" s="905">
        <f>IF('[2]BASE'!GL40=0,"",'[2]BASE'!GL40)</f>
      </c>
      <c r="T40" s="906"/>
      <c r="U40" s="902"/>
    </row>
    <row r="41" spans="2:21" s="896" customFormat="1" ht="19.5" customHeight="1">
      <c r="B41" s="897"/>
      <c r="C41" s="909">
        <f>IF('[2]BASE'!C41=0,"",'[2]BASE'!C41)</f>
        <v>25</v>
      </c>
      <c r="D41" s="909" t="str">
        <f>IF('[2]BASE'!D41=0,"",'[2]BASE'!D41)</f>
        <v>EZEIZA - RODRIGUEZ 1</v>
      </c>
      <c r="E41" s="909">
        <f>IF('[2]BASE'!E41=0,"",'[2]BASE'!E41)</f>
        <v>500</v>
      </c>
      <c r="F41" s="909">
        <f>IF('[2]BASE'!F41=0,"",'[2]BASE'!F41)</f>
        <v>53</v>
      </c>
      <c r="G41" s="910" t="str">
        <f>IF('[2]BASE'!G41=0,"",'[2]BASE'!G41)</f>
        <v>C</v>
      </c>
      <c r="H41" s="905">
        <f>IF('[2]BASE'!GA41=0,"",'[2]BASE'!GA41)</f>
      </c>
      <c r="I41" s="905">
        <f>IF('[2]BASE'!GB41=0,"",'[2]BASE'!GB41)</f>
      </c>
      <c r="J41" s="905">
        <f>IF('[2]BASE'!GC41=0,"",'[2]BASE'!GC41)</f>
      </c>
      <c r="K41" s="905">
        <f>IF('[2]BASE'!GD41=0,"",'[2]BASE'!GD41)</f>
      </c>
      <c r="L41" s="905">
        <f>IF('[2]BASE'!GE41=0,"",'[2]BASE'!GE41)</f>
      </c>
      <c r="M41" s="905">
        <f>IF('[2]BASE'!GF41=0,"",'[2]BASE'!GF41)</f>
      </c>
      <c r="N41" s="905">
        <f>IF('[2]BASE'!GG41=0,"",'[2]BASE'!GG41)</f>
      </c>
      <c r="O41" s="905">
        <f>IF('[2]BASE'!GH41=0,"",'[2]BASE'!GH41)</f>
      </c>
      <c r="P41" s="905">
        <f>IF('[2]BASE'!GI41=0,"",'[2]BASE'!GI41)</f>
      </c>
      <c r="Q41" s="905">
        <f>IF('[2]BASE'!GJ41=0,"",'[2]BASE'!GJ41)</f>
      </c>
      <c r="R41" s="905">
        <f>IF('[2]BASE'!GK41=0,"",'[2]BASE'!GK41)</f>
      </c>
      <c r="S41" s="905">
        <f>IF('[2]BASE'!GL41=0,"",'[2]BASE'!GL41)</f>
      </c>
      <c r="T41" s="906"/>
      <c r="U41" s="902"/>
    </row>
    <row r="42" spans="2:21" s="896" customFormat="1" ht="19.5" customHeight="1">
      <c r="B42" s="897"/>
      <c r="C42" s="907">
        <f>IF('[2]BASE'!C42=0,"",'[2]BASE'!C42)</f>
        <v>26</v>
      </c>
      <c r="D42" s="907" t="str">
        <f>IF('[2]BASE'!D42=0,"",'[2]BASE'!D42)</f>
        <v>EZEIZA - RODRIGUEZ 2</v>
      </c>
      <c r="E42" s="907">
        <f>IF('[2]BASE'!E42=0,"",'[2]BASE'!E42)</f>
        <v>500</v>
      </c>
      <c r="F42" s="907">
        <f>IF('[2]BASE'!F42=0,"",'[2]BASE'!F42)</f>
        <v>53</v>
      </c>
      <c r="G42" s="908" t="str">
        <f>IF('[2]BASE'!G42=0,"",'[2]BASE'!G42)</f>
        <v>C</v>
      </c>
      <c r="H42" s="905">
        <f>IF('[2]BASE'!GA42=0,"",'[2]BASE'!GA42)</f>
      </c>
      <c r="I42" s="905">
        <f>IF('[2]BASE'!GB42=0,"",'[2]BASE'!GB42)</f>
      </c>
      <c r="J42" s="905">
        <f>IF('[2]BASE'!GC42=0,"",'[2]BASE'!GC42)</f>
      </c>
      <c r="K42" s="905">
        <f>IF('[2]BASE'!GD42=0,"",'[2]BASE'!GD42)</f>
      </c>
      <c r="L42" s="905">
        <f>IF('[2]BASE'!GE42=0,"",'[2]BASE'!GE42)</f>
      </c>
      <c r="M42" s="905">
        <f>IF('[2]BASE'!GF42=0,"",'[2]BASE'!GF42)</f>
      </c>
      <c r="N42" s="905">
        <f>IF('[2]BASE'!GG42=0,"",'[2]BASE'!GG42)</f>
      </c>
      <c r="O42" s="905">
        <f>IF('[2]BASE'!GH42=0,"",'[2]BASE'!GH42)</f>
      </c>
      <c r="P42" s="905">
        <f>IF('[2]BASE'!GI42=0,"",'[2]BASE'!GI42)</f>
      </c>
      <c r="Q42" s="905">
        <f>IF('[2]BASE'!GJ42=0,"",'[2]BASE'!GJ42)</f>
      </c>
      <c r="R42" s="905">
        <f>IF('[2]BASE'!GK42=0,"",'[2]BASE'!GK42)</f>
      </c>
      <c r="S42" s="905">
        <f>IF('[2]BASE'!GL42=0,"",'[2]BASE'!GL42)</f>
      </c>
      <c r="T42" s="906"/>
      <c r="U42" s="902"/>
    </row>
    <row r="43" spans="2:21" s="896" customFormat="1" ht="19.5" customHeight="1">
      <c r="B43" s="897"/>
      <c r="C43" s="909">
        <f>IF('[2]BASE'!C43=0,"",'[2]BASE'!C43)</f>
        <v>27</v>
      </c>
      <c r="D43" s="909" t="str">
        <f>IF('[2]BASE'!D43=0,"",'[2]BASE'!D43)</f>
        <v>EZEIZA- HENDERSON 1</v>
      </c>
      <c r="E43" s="909">
        <f>IF('[2]BASE'!E43=0,"",'[2]BASE'!E43)</f>
        <v>500</v>
      </c>
      <c r="F43" s="909">
        <f>IF('[2]BASE'!F43=0,"",'[2]BASE'!F43)</f>
        <v>313</v>
      </c>
      <c r="G43" s="910" t="str">
        <f>IF('[2]BASE'!G43=0,"",'[2]BASE'!G43)</f>
        <v>A</v>
      </c>
      <c r="H43" s="905">
        <f>IF('[2]BASE'!GA43=0,"",'[2]BASE'!GA43)</f>
      </c>
      <c r="I43" s="905">
        <f>IF('[2]BASE'!GB43=0,"",'[2]BASE'!GB43)</f>
        <v>1</v>
      </c>
      <c r="J43" s="905">
        <f>IF('[2]BASE'!GC43=0,"",'[2]BASE'!GC43)</f>
        <v>1</v>
      </c>
      <c r="K43" s="905">
        <f>IF('[2]BASE'!GD43=0,"",'[2]BASE'!GD43)</f>
      </c>
      <c r="L43" s="905">
        <f>IF('[2]BASE'!GE43=0,"",'[2]BASE'!GE43)</f>
      </c>
      <c r="M43" s="905">
        <f>IF('[2]BASE'!GF43=0,"",'[2]BASE'!GF43)</f>
      </c>
      <c r="N43" s="905">
        <f>IF('[2]BASE'!GG43=0,"",'[2]BASE'!GG43)</f>
      </c>
      <c r="O43" s="905">
        <f>IF('[2]BASE'!GH43=0,"",'[2]BASE'!GH43)</f>
      </c>
      <c r="P43" s="905">
        <f>IF('[2]BASE'!GI43=0,"",'[2]BASE'!GI43)</f>
      </c>
      <c r="Q43" s="905">
        <f>IF('[2]BASE'!GJ43=0,"",'[2]BASE'!GJ43)</f>
      </c>
      <c r="R43" s="905">
        <f>IF('[2]BASE'!GK43=0,"",'[2]BASE'!GK43)</f>
      </c>
      <c r="S43" s="905">
        <f>IF('[2]BASE'!GL43=0,"",'[2]BASE'!GL43)</f>
      </c>
      <c r="T43" s="906"/>
      <c r="U43" s="902"/>
    </row>
    <row r="44" spans="2:21" s="896" customFormat="1" ht="19.5" customHeight="1">
      <c r="B44" s="897"/>
      <c r="C44" s="907">
        <f>IF('[2]BASE'!C44=0,"",'[2]BASE'!C44)</f>
        <v>28</v>
      </c>
      <c r="D44" s="907" t="str">
        <f>IF('[2]BASE'!D44=0,"",'[2]BASE'!D44)</f>
        <v>EZEIZA - HENDERSON 2</v>
      </c>
      <c r="E44" s="907">
        <f>IF('[2]BASE'!E44=0,"",'[2]BASE'!E44)</f>
        <v>500</v>
      </c>
      <c r="F44" s="907">
        <f>IF('[2]BASE'!F44=0,"",'[2]BASE'!F44)</f>
        <v>313</v>
      </c>
      <c r="G44" s="908" t="str">
        <f>IF('[2]BASE'!G44=0,"",'[2]BASE'!G44)</f>
        <v>A</v>
      </c>
      <c r="H44" s="905">
        <f>IF('[2]BASE'!GA44=0,"",'[2]BASE'!GA44)</f>
      </c>
      <c r="I44" s="905">
        <f>IF('[2]BASE'!GB44=0,"",'[2]BASE'!GB44)</f>
        <v>2</v>
      </c>
      <c r="J44" s="905">
        <f>IF('[2]BASE'!GC44=0,"",'[2]BASE'!GC44)</f>
      </c>
      <c r="K44" s="905">
        <f>IF('[2]BASE'!GD44=0,"",'[2]BASE'!GD44)</f>
      </c>
      <c r="L44" s="905">
        <f>IF('[2]BASE'!GE44=0,"",'[2]BASE'!GE44)</f>
      </c>
      <c r="M44" s="905">
        <f>IF('[2]BASE'!GF44=0,"",'[2]BASE'!GF44)</f>
      </c>
      <c r="N44" s="905">
        <f>IF('[2]BASE'!GG44=0,"",'[2]BASE'!GG44)</f>
      </c>
      <c r="O44" s="905">
        <f>IF('[2]BASE'!GH44=0,"",'[2]BASE'!GH44)</f>
      </c>
      <c r="P44" s="905">
        <f>IF('[2]BASE'!GI44=0,"",'[2]BASE'!GI44)</f>
      </c>
      <c r="Q44" s="905">
        <f>IF('[2]BASE'!GJ44=0,"",'[2]BASE'!GJ44)</f>
      </c>
      <c r="R44" s="905">
        <f>IF('[2]BASE'!GK44=0,"",'[2]BASE'!GK44)</f>
      </c>
      <c r="S44" s="905">
        <f>IF('[2]BASE'!GL44=0,"",'[2]BASE'!GL44)</f>
      </c>
      <c r="T44" s="906"/>
      <c r="U44" s="902"/>
    </row>
    <row r="45" spans="2:21" s="896" customFormat="1" ht="19.5" customHeight="1">
      <c r="B45" s="897"/>
      <c r="C45" s="909">
        <f>IF('[2]BASE'!C45=0,"",'[2]BASE'!C45)</f>
        <v>29</v>
      </c>
      <c r="D45" s="909" t="str">
        <f>IF('[2]BASE'!D45=0,"",'[2]BASE'!D45)</f>
        <v>GRAL. RODRIGUEZ - CAMPANA </v>
      </c>
      <c r="E45" s="909">
        <f>IF('[2]BASE'!E45=0,"",'[2]BASE'!E45)</f>
        <v>500</v>
      </c>
      <c r="F45" s="909">
        <f>IF('[2]BASE'!F45=0,"",'[2]BASE'!F45)</f>
        <v>42</v>
      </c>
      <c r="G45" s="910" t="str">
        <f>IF('[2]BASE'!G45=0,"",'[2]BASE'!G45)</f>
        <v>B</v>
      </c>
      <c r="H45" s="905">
        <f>IF('[2]BASE'!GA45=0,"",'[2]BASE'!GA45)</f>
      </c>
      <c r="I45" s="905">
        <f>IF('[2]BASE'!GB45=0,"",'[2]BASE'!GB45)</f>
        <v>1</v>
      </c>
      <c r="J45" s="905">
        <f>IF('[2]BASE'!GC45=0,"",'[2]BASE'!GC45)</f>
      </c>
      <c r="K45" s="905">
        <f>IF('[2]BASE'!GD45=0,"",'[2]BASE'!GD45)</f>
      </c>
      <c r="L45" s="905">
        <f>IF('[2]BASE'!GE45=0,"",'[2]BASE'!GE45)</f>
      </c>
      <c r="M45" s="905">
        <f>IF('[2]BASE'!GF45=0,"",'[2]BASE'!GF45)</f>
      </c>
      <c r="N45" s="905">
        <f>IF('[2]BASE'!GG45=0,"",'[2]BASE'!GG45)</f>
      </c>
      <c r="O45" s="905">
        <f>IF('[2]BASE'!GH45=0,"",'[2]BASE'!GH45)</f>
      </c>
      <c r="P45" s="905">
        <f>IF('[2]BASE'!GI45=0,"",'[2]BASE'!GI45)</f>
      </c>
      <c r="Q45" s="905">
        <f>IF('[2]BASE'!GJ45=0,"",'[2]BASE'!GJ45)</f>
      </c>
      <c r="R45" s="905">
        <f>IF('[2]BASE'!GK45=0,"",'[2]BASE'!GK45)</f>
      </c>
      <c r="S45" s="905">
        <f>IF('[2]BASE'!GL45=0,"",'[2]BASE'!GL45)</f>
      </c>
      <c r="T45" s="906"/>
      <c r="U45" s="902"/>
    </row>
    <row r="46" spans="2:21" s="896" customFormat="1" ht="19.5" customHeight="1">
      <c r="B46" s="897"/>
      <c r="C46" s="907">
        <f>IF('[2]BASE'!C46=0,"",'[2]BASE'!C46)</f>
        <v>30</v>
      </c>
      <c r="D46" s="907" t="str">
        <f>IF('[2]BASE'!D46=0,"",'[2]BASE'!D46)</f>
        <v>GRAL. RODRIGUEZ- ROSARIO OESTE </v>
      </c>
      <c r="E46" s="907">
        <f>IF('[2]BASE'!E46=0,"",'[2]BASE'!E46)</f>
        <v>500</v>
      </c>
      <c r="F46" s="907">
        <f>IF('[2]BASE'!F46=0,"",'[2]BASE'!F46)</f>
        <v>258</v>
      </c>
      <c r="G46" s="908" t="str">
        <f>IF('[2]BASE'!G46=0,"",'[2]BASE'!G46)</f>
        <v>C</v>
      </c>
      <c r="H46" s="905" t="str">
        <f>IF('[2]BASE'!GA46=0,"",'[2]BASE'!GA46)</f>
        <v>XXXX</v>
      </c>
      <c r="I46" s="905" t="str">
        <f>IF('[2]BASE'!GB46=0,"",'[2]BASE'!GB46)</f>
        <v>XXXX</v>
      </c>
      <c r="J46" s="905" t="str">
        <f>IF('[2]BASE'!GC46=0,"",'[2]BASE'!GC46)</f>
        <v>XXXX</v>
      </c>
      <c r="K46" s="905" t="str">
        <f>IF('[2]BASE'!GD46=0,"",'[2]BASE'!GD46)</f>
        <v>XXXX</v>
      </c>
      <c r="L46" s="905" t="str">
        <f>IF('[2]BASE'!GE46=0,"",'[2]BASE'!GE46)</f>
        <v>XXXX</v>
      </c>
      <c r="M46" s="905" t="str">
        <f>IF('[2]BASE'!GF46=0,"",'[2]BASE'!GF46)</f>
        <v>XXXX</v>
      </c>
      <c r="N46" s="905" t="str">
        <f>IF('[2]BASE'!GG46=0,"",'[2]BASE'!GG46)</f>
        <v>XXXX</v>
      </c>
      <c r="O46" s="905" t="str">
        <f>IF('[2]BASE'!GH46=0,"",'[2]BASE'!GH46)</f>
        <v>XXXX</v>
      </c>
      <c r="P46" s="905" t="str">
        <f>IF('[2]BASE'!GI46=0,"",'[2]BASE'!GI46)</f>
        <v>XXXX</v>
      </c>
      <c r="Q46" s="905" t="str">
        <f>IF('[2]BASE'!GJ46=0,"",'[2]BASE'!GJ46)</f>
        <v>XXXX</v>
      </c>
      <c r="R46" s="905" t="str">
        <f>IF('[2]BASE'!GK46=0,"",'[2]BASE'!GK46)</f>
        <v>XXXX</v>
      </c>
      <c r="S46" s="905" t="str">
        <f>IF('[2]BASE'!GL46=0,"",'[2]BASE'!GL46)</f>
        <v>XXXX</v>
      </c>
      <c r="T46" s="906"/>
      <c r="U46" s="902"/>
    </row>
    <row r="47" spans="2:21" s="896" customFormat="1" ht="19.5" customHeight="1">
      <c r="B47" s="897"/>
      <c r="C47" s="909">
        <f>IF('[2]BASE'!C47=0,"",'[2]BASE'!C47)</f>
        <v>31</v>
      </c>
      <c r="D47" s="909" t="str">
        <f>IF('[2]BASE'!D47=0,"",'[2]BASE'!D47)</f>
        <v>MALVINAS ARG. - ALMAFUERTE </v>
      </c>
      <c r="E47" s="909">
        <f>IF('[2]BASE'!E47=0,"",'[2]BASE'!E47)</f>
        <v>500</v>
      </c>
      <c r="F47" s="909">
        <f>IF('[2]BASE'!F47=0,"",'[2]BASE'!F47)</f>
        <v>105</v>
      </c>
      <c r="G47" s="910" t="str">
        <f>IF('[2]BASE'!G47=0,"",'[2]BASE'!G47)</f>
        <v>B</v>
      </c>
      <c r="H47" s="905">
        <f>IF('[2]BASE'!GA47=0,"",'[2]BASE'!GA47)</f>
      </c>
      <c r="I47" s="905">
        <f>IF('[2]BASE'!GB47=0,"",'[2]BASE'!GB47)</f>
      </c>
      <c r="J47" s="905">
        <f>IF('[2]BASE'!GC47=0,"",'[2]BASE'!GC47)</f>
      </c>
      <c r="K47" s="905">
        <f>IF('[2]BASE'!GD47=0,"",'[2]BASE'!GD47)</f>
      </c>
      <c r="L47" s="905">
        <f>IF('[2]BASE'!GE47=0,"",'[2]BASE'!GE47)</f>
      </c>
      <c r="M47" s="905">
        <f>IF('[2]BASE'!GF47=0,"",'[2]BASE'!GF47)</f>
      </c>
      <c r="N47" s="905">
        <f>IF('[2]BASE'!GG47=0,"",'[2]BASE'!GG47)</f>
      </c>
      <c r="O47" s="905">
        <f>IF('[2]BASE'!GH47=0,"",'[2]BASE'!GH47)</f>
      </c>
      <c r="P47" s="905">
        <f>IF('[2]BASE'!GI47=0,"",'[2]BASE'!GI47)</f>
      </c>
      <c r="Q47" s="905">
        <f>IF('[2]BASE'!GJ47=0,"",'[2]BASE'!GJ47)</f>
      </c>
      <c r="R47" s="905">
        <f>IF('[2]BASE'!GK47=0,"",'[2]BASE'!GK47)</f>
      </c>
      <c r="S47" s="905">
        <f>IF('[2]BASE'!GL47=0,"",'[2]BASE'!GL47)</f>
      </c>
      <c r="T47" s="906"/>
      <c r="U47" s="902"/>
    </row>
    <row r="48" spans="2:21" s="896" customFormat="1" ht="19.5" customHeight="1">
      <c r="B48" s="897"/>
      <c r="C48" s="907">
        <f>IF('[2]BASE'!C48=0,"",'[2]BASE'!C48)</f>
        <v>32</v>
      </c>
      <c r="D48" s="907" t="str">
        <f>IF('[2]BASE'!D48=0,"",'[2]BASE'!D48)</f>
        <v>OLAVARRIA - BAHIA BLANCA 1</v>
      </c>
      <c r="E48" s="907">
        <f>IF('[2]BASE'!E48=0,"",'[2]BASE'!E48)</f>
        <v>500</v>
      </c>
      <c r="F48" s="907">
        <f>IF('[2]BASE'!F48=0,"",'[2]BASE'!F48)</f>
        <v>255</v>
      </c>
      <c r="G48" s="908" t="str">
        <f>IF('[2]BASE'!G48=0,"",'[2]BASE'!G48)</f>
        <v>B</v>
      </c>
      <c r="H48" s="905">
        <f>IF('[2]BASE'!GA48=0,"",'[2]BASE'!GA48)</f>
      </c>
      <c r="I48" s="905">
        <f>IF('[2]BASE'!GB48=0,"",'[2]BASE'!GB48)</f>
      </c>
      <c r="J48" s="905">
        <f>IF('[2]BASE'!GC48=0,"",'[2]BASE'!GC48)</f>
      </c>
      <c r="K48" s="905">
        <f>IF('[2]BASE'!GD48=0,"",'[2]BASE'!GD48)</f>
      </c>
      <c r="L48" s="905">
        <f>IF('[2]BASE'!GE48=0,"",'[2]BASE'!GE48)</f>
      </c>
      <c r="M48" s="905">
        <f>IF('[2]BASE'!GF48=0,"",'[2]BASE'!GF48)</f>
      </c>
      <c r="N48" s="905">
        <f>IF('[2]BASE'!GG48=0,"",'[2]BASE'!GG48)</f>
      </c>
      <c r="O48" s="905">
        <f>IF('[2]BASE'!GH48=0,"",'[2]BASE'!GH48)</f>
        <v>2</v>
      </c>
      <c r="P48" s="905">
        <f>IF('[2]BASE'!GI48=0,"",'[2]BASE'!GI48)</f>
      </c>
      <c r="Q48" s="905">
        <f>IF('[2]BASE'!GJ48=0,"",'[2]BASE'!GJ48)</f>
      </c>
      <c r="R48" s="905">
        <f>IF('[2]BASE'!GK48=0,"",'[2]BASE'!GK48)</f>
      </c>
      <c r="S48" s="905">
        <f>IF('[2]BASE'!GL48=0,"",'[2]BASE'!GL48)</f>
      </c>
      <c r="T48" s="906"/>
      <c r="U48" s="902"/>
    </row>
    <row r="49" spans="2:21" s="896" customFormat="1" ht="19.5" customHeight="1">
      <c r="B49" s="897"/>
      <c r="C49" s="909">
        <f>IF('[2]BASE'!C49=0,"",'[2]BASE'!C49)</f>
        <v>33</v>
      </c>
      <c r="D49" s="909" t="str">
        <f>IF('[2]BASE'!D49=0,"",'[2]BASE'!D49)</f>
        <v>OLAVARRIA - BAHIA BLANCA 2</v>
      </c>
      <c r="E49" s="909">
        <f>IF('[2]BASE'!E49=0,"",'[2]BASE'!E49)</f>
        <v>500</v>
      </c>
      <c r="F49" s="909">
        <f>IF('[2]BASE'!F49=0,"",'[2]BASE'!F49)</f>
        <v>254.8</v>
      </c>
      <c r="G49" s="910">
        <f>IF('[2]BASE'!G49=0,"",'[2]BASE'!G49)</f>
      </c>
      <c r="H49" s="905">
        <f>IF('[2]BASE'!GA49=0,"",'[2]BASE'!GA49)</f>
      </c>
      <c r="I49" s="905">
        <f>IF('[2]BASE'!GB49=0,"",'[2]BASE'!GB49)</f>
      </c>
      <c r="J49" s="905">
        <f>IF('[2]BASE'!GC49=0,"",'[2]BASE'!GC49)</f>
      </c>
      <c r="K49" s="905">
        <f>IF('[2]BASE'!GD49=0,"",'[2]BASE'!GD49)</f>
      </c>
      <c r="L49" s="905">
        <f>IF('[2]BASE'!GE49=0,"",'[2]BASE'!GE49)</f>
      </c>
      <c r="M49" s="905">
        <f>IF('[2]BASE'!GF49=0,"",'[2]BASE'!GF49)</f>
      </c>
      <c r="N49" s="905">
        <f>IF('[2]BASE'!GG49=0,"",'[2]BASE'!GG49)</f>
      </c>
      <c r="O49" s="905">
        <f>IF('[2]BASE'!GH49=0,"",'[2]BASE'!GH49)</f>
      </c>
      <c r="P49" s="905">
        <f>IF('[2]BASE'!GI49=0,"",'[2]BASE'!GI49)</f>
      </c>
      <c r="Q49" s="905">
        <f>IF('[2]BASE'!GJ49=0,"",'[2]BASE'!GJ49)</f>
      </c>
      <c r="R49" s="905">
        <f>IF('[2]BASE'!GK49=0,"",'[2]BASE'!GK49)</f>
      </c>
      <c r="S49" s="905">
        <f>IF('[2]BASE'!GL49=0,"",'[2]BASE'!GL49)</f>
      </c>
      <c r="T49" s="906"/>
      <c r="U49" s="902"/>
    </row>
    <row r="50" spans="2:21" s="896" customFormat="1" ht="19.5" customHeight="1">
      <c r="B50" s="897"/>
      <c r="C50" s="907">
        <f>IF('[2]BASE'!C50=0,"",'[2]BASE'!C50)</f>
        <v>34</v>
      </c>
      <c r="D50" s="907" t="str">
        <f>IF('[2]BASE'!D50=0,"",'[2]BASE'!D50)</f>
        <v>P.del AGUILA  - CHOELE CHOEL</v>
      </c>
      <c r="E50" s="907">
        <f>IF('[2]BASE'!E50=0,"",'[2]BASE'!E50)</f>
        <v>500</v>
      </c>
      <c r="F50" s="907">
        <f>IF('[2]BASE'!F50=0,"",'[2]BASE'!F50)</f>
        <v>386.7</v>
      </c>
      <c r="G50" s="908">
        <f>IF('[2]BASE'!G50=0,"",'[2]BASE'!G50)</f>
      </c>
      <c r="H50" s="905">
        <f>IF('[2]BASE'!GA50=0,"",'[2]BASE'!GA50)</f>
      </c>
      <c r="I50" s="905">
        <f>IF('[2]BASE'!GB50=0,"",'[2]BASE'!GB50)</f>
      </c>
      <c r="J50" s="905">
        <f>IF('[2]BASE'!GC50=0,"",'[2]BASE'!GC50)</f>
      </c>
      <c r="K50" s="905">
        <f>IF('[2]BASE'!GD50=0,"",'[2]BASE'!GD50)</f>
      </c>
      <c r="L50" s="905">
        <f>IF('[2]BASE'!GE50=0,"",'[2]BASE'!GE50)</f>
      </c>
      <c r="M50" s="905">
        <f>IF('[2]BASE'!GF50=0,"",'[2]BASE'!GF50)</f>
      </c>
      <c r="N50" s="905">
        <f>IF('[2]BASE'!GG50=0,"",'[2]BASE'!GG50)</f>
      </c>
      <c r="O50" s="905">
        <f>IF('[2]BASE'!GH50=0,"",'[2]BASE'!GH50)</f>
      </c>
      <c r="P50" s="905">
        <f>IF('[2]BASE'!GI50=0,"",'[2]BASE'!GI50)</f>
      </c>
      <c r="Q50" s="905">
        <f>IF('[2]BASE'!GJ50=0,"",'[2]BASE'!GJ50)</f>
      </c>
      <c r="R50" s="905">
        <f>IF('[2]BASE'!GK50=0,"",'[2]BASE'!GK50)</f>
      </c>
      <c r="S50" s="905">
        <f>IF('[2]BASE'!GL50=0,"",'[2]BASE'!GL50)</f>
      </c>
      <c r="T50" s="906"/>
      <c r="U50" s="902"/>
    </row>
    <row r="51" spans="2:21" s="896" customFormat="1" ht="19.5" customHeight="1">
      <c r="B51" s="897"/>
      <c r="C51" s="909">
        <f>IF('[2]BASE'!C51=0,"",'[2]BASE'!C51)</f>
        <v>35</v>
      </c>
      <c r="D51" s="909" t="str">
        <f>IF('[2]BASE'!D51=0,"",'[2]BASE'!D51)</f>
        <v>P.del AGUILA  - CHO. W. 1 (5GW1)</v>
      </c>
      <c r="E51" s="909">
        <f>IF('[2]BASE'!E51=0,"",'[2]BASE'!E51)</f>
        <v>500</v>
      </c>
      <c r="F51" s="909">
        <f>IF('[2]BASE'!F51=0,"",'[2]BASE'!F51)</f>
        <v>165</v>
      </c>
      <c r="G51" s="910" t="str">
        <f>IF('[2]BASE'!G51=0,"",'[2]BASE'!G51)</f>
        <v>A</v>
      </c>
      <c r="H51" s="905">
        <f>IF('[2]BASE'!GA51=0,"",'[2]BASE'!GA51)</f>
      </c>
      <c r="I51" s="905">
        <f>IF('[2]BASE'!GB51=0,"",'[2]BASE'!GB51)</f>
      </c>
      <c r="J51" s="905">
        <f>IF('[2]BASE'!GC51=0,"",'[2]BASE'!GC51)</f>
      </c>
      <c r="K51" s="905">
        <f>IF('[2]BASE'!GD51=0,"",'[2]BASE'!GD51)</f>
      </c>
      <c r="L51" s="905">
        <f>IF('[2]BASE'!GE51=0,"",'[2]BASE'!GE51)</f>
        <v>2</v>
      </c>
      <c r="M51" s="905">
        <f>IF('[2]BASE'!GF51=0,"",'[2]BASE'!GF51)</f>
      </c>
      <c r="N51" s="905">
        <f>IF('[2]BASE'!GG51=0,"",'[2]BASE'!GG51)</f>
      </c>
      <c r="O51" s="905">
        <f>IF('[2]BASE'!GH51=0,"",'[2]BASE'!GH51)</f>
      </c>
      <c r="P51" s="905">
        <f>IF('[2]BASE'!GI51=0,"",'[2]BASE'!GI51)</f>
      </c>
      <c r="Q51" s="905">
        <f>IF('[2]BASE'!GJ51=0,"",'[2]BASE'!GJ51)</f>
      </c>
      <c r="R51" s="905">
        <f>IF('[2]BASE'!GK51=0,"",'[2]BASE'!GK51)</f>
      </c>
      <c r="S51" s="905">
        <f>IF('[2]BASE'!GL51=0,"",'[2]BASE'!GL51)</f>
      </c>
      <c r="T51" s="906"/>
      <c r="U51" s="902"/>
    </row>
    <row r="52" spans="2:21" s="896" customFormat="1" ht="19.5" customHeight="1">
      <c r="B52" s="897"/>
      <c r="C52" s="907">
        <f>IF('[2]BASE'!C52=0,"",'[2]BASE'!C52)</f>
        <v>36</v>
      </c>
      <c r="D52" s="907" t="str">
        <f>IF('[2]BASE'!D52=0,"",'[2]BASE'!D52)</f>
        <v>P.del AGUILA  - CHO. W. 2 (5GW2)</v>
      </c>
      <c r="E52" s="907">
        <f>IF('[2]BASE'!E52=0,"",'[2]BASE'!E52)</f>
        <v>500</v>
      </c>
      <c r="F52" s="907">
        <f>IF('[2]BASE'!F52=0,"",'[2]BASE'!F52)</f>
        <v>170</v>
      </c>
      <c r="G52" s="908" t="str">
        <f>IF('[2]BASE'!G52=0,"",'[2]BASE'!G52)</f>
        <v>A</v>
      </c>
      <c r="H52" s="905">
        <f>IF('[2]BASE'!GA52=0,"",'[2]BASE'!GA52)</f>
      </c>
      <c r="I52" s="905">
        <f>IF('[2]BASE'!GB52=0,"",'[2]BASE'!GB52)</f>
      </c>
      <c r="J52" s="905">
        <f>IF('[2]BASE'!GC52=0,"",'[2]BASE'!GC52)</f>
      </c>
      <c r="K52" s="905">
        <f>IF('[2]BASE'!GD52=0,"",'[2]BASE'!GD52)</f>
      </c>
      <c r="L52" s="905">
        <f>IF('[2]BASE'!GE52=0,"",'[2]BASE'!GE52)</f>
      </c>
      <c r="M52" s="905">
        <f>IF('[2]BASE'!GF52=0,"",'[2]BASE'!GF52)</f>
      </c>
      <c r="N52" s="905">
        <f>IF('[2]BASE'!GG52=0,"",'[2]BASE'!GG52)</f>
      </c>
      <c r="O52" s="905">
        <f>IF('[2]BASE'!GH52=0,"",'[2]BASE'!GH52)</f>
      </c>
      <c r="P52" s="905">
        <f>IF('[2]BASE'!GI52=0,"",'[2]BASE'!GI52)</f>
      </c>
      <c r="Q52" s="905">
        <f>IF('[2]BASE'!GJ52=0,"",'[2]BASE'!GJ52)</f>
      </c>
      <c r="R52" s="905">
        <f>IF('[2]BASE'!GK52=0,"",'[2]BASE'!GK52)</f>
      </c>
      <c r="S52" s="905">
        <f>IF('[2]BASE'!GL52=0,"",'[2]BASE'!GL52)</f>
      </c>
      <c r="T52" s="906"/>
      <c r="U52" s="902"/>
    </row>
    <row r="53" spans="2:21" s="896" customFormat="1" ht="19.5" customHeight="1">
      <c r="B53" s="897"/>
      <c r="C53" s="909">
        <f>IF('[2]BASE'!C53=0,"",'[2]BASE'!C53)</f>
        <v>37</v>
      </c>
      <c r="D53" s="909" t="str">
        <f>IF('[2]BASE'!D53=0,"",'[2]BASE'!D53)</f>
        <v>PUELCHES - HENDERSON 1 (B1)</v>
      </c>
      <c r="E53" s="909">
        <f>IF('[2]BASE'!E53=0,"",'[2]BASE'!E53)</f>
        <v>500</v>
      </c>
      <c r="F53" s="909">
        <f>IF('[2]BASE'!F53=0,"",'[2]BASE'!F53)</f>
        <v>421</v>
      </c>
      <c r="G53" s="910" t="str">
        <f>IF('[2]BASE'!G53=0,"",'[2]BASE'!G53)</f>
        <v>A</v>
      </c>
      <c r="H53" s="905">
        <f>IF('[2]BASE'!GA53=0,"",'[2]BASE'!GA53)</f>
      </c>
      <c r="I53" s="905">
        <f>IF('[2]BASE'!GB53=0,"",'[2]BASE'!GB53)</f>
      </c>
      <c r="J53" s="905">
        <f>IF('[2]BASE'!GC53=0,"",'[2]BASE'!GC53)</f>
      </c>
      <c r="K53" s="905">
        <f>IF('[2]BASE'!GD53=0,"",'[2]BASE'!GD53)</f>
      </c>
      <c r="L53" s="905">
        <f>IF('[2]BASE'!GE53=0,"",'[2]BASE'!GE53)</f>
      </c>
      <c r="M53" s="905">
        <f>IF('[2]BASE'!GF53=0,"",'[2]BASE'!GF53)</f>
      </c>
      <c r="N53" s="905">
        <f>IF('[2]BASE'!GG53=0,"",'[2]BASE'!GG53)</f>
      </c>
      <c r="O53" s="905">
        <f>IF('[2]BASE'!GH53=0,"",'[2]BASE'!GH53)</f>
      </c>
      <c r="P53" s="905">
        <f>IF('[2]BASE'!GI53=0,"",'[2]BASE'!GI53)</f>
      </c>
      <c r="Q53" s="905">
        <f>IF('[2]BASE'!GJ53=0,"",'[2]BASE'!GJ53)</f>
      </c>
      <c r="R53" s="905">
        <f>IF('[2]BASE'!GK53=0,"",'[2]BASE'!GK53)</f>
      </c>
      <c r="S53" s="905">
        <f>IF('[2]BASE'!GL53=0,"",'[2]BASE'!GL53)</f>
      </c>
      <c r="T53" s="906"/>
      <c r="U53" s="902"/>
    </row>
    <row r="54" spans="2:21" s="896" customFormat="1" ht="19.5" customHeight="1">
      <c r="B54" s="897"/>
      <c r="C54" s="907">
        <f>IF('[2]BASE'!C54=0,"",'[2]BASE'!C54)</f>
        <v>38</v>
      </c>
      <c r="D54" s="907" t="str">
        <f>IF('[2]BASE'!D54=0,"",'[2]BASE'!D54)</f>
        <v>PUELCHES - HENDERSON 2 (B2)</v>
      </c>
      <c r="E54" s="907">
        <f>IF('[2]BASE'!E54=0,"",'[2]BASE'!E54)</f>
        <v>500</v>
      </c>
      <c r="F54" s="907">
        <f>IF('[2]BASE'!F54=0,"",'[2]BASE'!F54)</f>
        <v>421</v>
      </c>
      <c r="G54" s="908" t="str">
        <f>IF('[2]BASE'!G54=0,"",'[2]BASE'!G54)</f>
        <v>A</v>
      </c>
      <c r="H54" s="905" t="str">
        <f>IF('[2]BASE'!GA54=0,"",'[2]BASE'!GA54)</f>
        <v>XXXX</v>
      </c>
      <c r="I54" s="905" t="str">
        <f>IF('[2]BASE'!GB54=0,"",'[2]BASE'!GB54)</f>
        <v>XXXX</v>
      </c>
      <c r="J54" s="905" t="str">
        <f>IF('[2]BASE'!GC54=0,"",'[2]BASE'!GC54)</f>
        <v>XXXX</v>
      </c>
      <c r="K54" s="905" t="str">
        <f>IF('[2]BASE'!GD54=0,"",'[2]BASE'!GD54)</f>
        <v>XXXX</v>
      </c>
      <c r="L54" s="905" t="str">
        <f>IF('[2]BASE'!GE54=0,"",'[2]BASE'!GE54)</f>
        <v>XXXX</v>
      </c>
      <c r="M54" s="905" t="str">
        <f>IF('[2]BASE'!GF54=0,"",'[2]BASE'!GF54)</f>
        <v>XXXX</v>
      </c>
      <c r="N54" s="905" t="str">
        <f>IF('[2]BASE'!GG54=0,"",'[2]BASE'!GG54)</f>
        <v>XXXX</v>
      </c>
      <c r="O54" s="905" t="str">
        <f>IF('[2]BASE'!GH54=0,"",'[2]BASE'!GH54)</f>
        <v>XXXX</v>
      </c>
      <c r="P54" s="905" t="str">
        <f>IF('[2]BASE'!GI54=0,"",'[2]BASE'!GI54)</f>
        <v>XXXX</v>
      </c>
      <c r="Q54" s="905" t="str">
        <f>IF('[2]BASE'!GJ54=0,"",'[2]BASE'!GJ54)</f>
        <v>XXXX</v>
      </c>
      <c r="R54" s="905" t="str">
        <f>IF('[2]BASE'!GK54=0,"",'[2]BASE'!GK54)</f>
        <v>XXXX</v>
      </c>
      <c r="S54" s="905" t="str">
        <f>IF('[2]BASE'!GL54=0,"",'[2]BASE'!GL54)</f>
        <v>XXXX</v>
      </c>
      <c r="T54" s="906"/>
      <c r="U54" s="902"/>
    </row>
    <row r="55" spans="2:21" s="896" customFormat="1" ht="19.5" customHeight="1">
      <c r="B55" s="897"/>
      <c r="C55" s="909">
        <f>IF('[2]BASE'!C55=0,"",'[2]BASE'!C55)</f>
        <v>39</v>
      </c>
      <c r="D55" s="909" t="str">
        <f>IF('[2]BASE'!D55=0,"",'[2]BASE'!D55)</f>
        <v>RECREO - MALVINAS ARG. </v>
      </c>
      <c r="E55" s="909">
        <f>IF('[2]BASE'!E55=0,"",'[2]BASE'!E55)</f>
        <v>500</v>
      </c>
      <c r="F55" s="909">
        <f>IF('[2]BASE'!F55=0,"",'[2]BASE'!F55)</f>
        <v>259</v>
      </c>
      <c r="G55" s="910" t="str">
        <f>IF('[2]BASE'!G55=0,"",'[2]BASE'!G55)</f>
        <v>C</v>
      </c>
      <c r="H55" s="905">
        <f>IF('[2]BASE'!GA55=0,"",'[2]BASE'!GA55)</f>
      </c>
      <c r="I55" s="905">
        <f>IF('[2]BASE'!GB55=0,"",'[2]BASE'!GB55)</f>
      </c>
      <c r="J55" s="905">
        <f>IF('[2]BASE'!GC55=0,"",'[2]BASE'!GC55)</f>
      </c>
      <c r="K55" s="905">
        <f>IF('[2]BASE'!GD55=0,"",'[2]BASE'!GD55)</f>
      </c>
      <c r="L55" s="905">
        <f>IF('[2]BASE'!GE55=0,"",'[2]BASE'!GE55)</f>
      </c>
      <c r="M55" s="905">
        <f>IF('[2]BASE'!GF55=0,"",'[2]BASE'!GF55)</f>
      </c>
      <c r="N55" s="905">
        <f>IF('[2]BASE'!GG55=0,"",'[2]BASE'!GG55)</f>
      </c>
      <c r="O55" s="905">
        <f>IF('[2]BASE'!GH55=0,"",'[2]BASE'!GH55)</f>
      </c>
      <c r="P55" s="905">
        <f>IF('[2]BASE'!GI55=0,"",'[2]BASE'!GI55)</f>
      </c>
      <c r="Q55" s="905">
        <f>IF('[2]BASE'!GJ55=0,"",'[2]BASE'!GJ55)</f>
      </c>
      <c r="R55" s="905">
        <f>IF('[2]BASE'!GK55=0,"",'[2]BASE'!GK55)</f>
      </c>
      <c r="S55" s="905">
        <f>IF('[2]BASE'!GL55=0,"",'[2]BASE'!GL55)</f>
      </c>
      <c r="T55" s="906"/>
      <c r="U55" s="902"/>
    </row>
    <row r="56" spans="2:21" s="896" customFormat="1" ht="19.5" customHeight="1">
      <c r="B56" s="897"/>
      <c r="C56" s="907">
        <f>IF('[2]BASE'!C56=0,"",'[2]BASE'!C56)</f>
        <v>40</v>
      </c>
      <c r="D56" s="907" t="str">
        <f>IF('[2]BASE'!D56=0,"",'[2]BASE'!D56)</f>
        <v>RIO GRANDE - EMBALSE</v>
      </c>
      <c r="E56" s="907">
        <f>IF('[2]BASE'!E56=0,"",'[2]BASE'!E56)</f>
        <v>500</v>
      </c>
      <c r="F56" s="907">
        <f>IF('[2]BASE'!F56=0,"",'[2]BASE'!F56)</f>
        <v>30</v>
      </c>
      <c r="G56" s="908" t="str">
        <f>IF('[2]BASE'!G56=0,"",'[2]BASE'!G56)</f>
        <v>B</v>
      </c>
      <c r="H56" s="905">
        <f>IF('[2]BASE'!GA56=0,"",'[2]BASE'!GA56)</f>
      </c>
      <c r="I56" s="905">
        <f>IF('[2]BASE'!GB56=0,"",'[2]BASE'!GB56)</f>
      </c>
      <c r="J56" s="905">
        <f>IF('[2]BASE'!GC56=0,"",'[2]BASE'!GC56)</f>
      </c>
      <c r="K56" s="905">
        <f>IF('[2]BASE'!GD56=0,"",'[2]BASE'!GD56)</f>
        <v>1</v>
      </c>
      <c r="L56" s="905">
        <f>IF('[2]BASE'!GE56=0,"",'[2]BASE'!GE56)</f>
      </c>
      <c r="M56" s="905">
        <f>IF('[2]BASE'!GF56=0,"",'[2]BASE'!GF56)</f>
      </c>
      <c r="N56" s="905">
        <f>IF('[2]BASE'!GG56=0,"",'[2]BASE'!GG56)</f>
      </c>
      <c r="O56" s="905">
        <f>IF('[2]BASE'!GH56=0,"",'[2]BASE'!GH56)</f>
      </c>
      <c r="P56" s="905">
        <f>IF('[2]BASE'!GI56=0,"",'[2]BASE'!GI56)</f>
      </c>
      <c r="Q56" s="905">
        <f>IF('[2]BASE'!GJ56=0,"",'[2]BASE'!GJ56)</f>
      </c>
      <c r="R56" s="905">
        <f>IF('[2]BASE'!GK56=0,"",'[2]BASE'!GK56)</f>
      </c>
      <c r="S56" s="905">
        <f>IF('[2]BASE'!GL56=0,"",'[2]BASE'!GL56)</f>
      </c>
      <c r="T56" s="906"/>
      <c r="U56" s="902"/>
    </row>
    <row r="57" spans="2:21" s="896" customFormat="1" ht="19.5" customHeight="1">
      <c r="B57" s="897"/>
      <c r="C57" s="909">
        <f>IF('[2]BASE'!C57=0,"",'[2]BASE'!C57)</f>
        <v>41</v>
      </c>
      <c r="D57" s="909" t="str">
        <f>IF('[2]BASE'!D57=0,"",'[2]BASE'!D57)</f>
        <v>RIO GRANDE - GRAN MENDOZA</v>
      </c>
      <c r="E57" s="909">
        <f>IF('[2]BASE'!E57=0,"",'[2]BASE'!E57)</f>
        <v>500</v>
      </c>
      <c r="F57" s="909">
        <f>IF('[2]BASE'!F57=0,"",'[2]BASE'!F57)</f>
        <v>407</v>
      </c>
      <c r="G57" s="910" t="str">
        <f>IF('[2]BASE'!G57=0,"",'[2]BASE'!G57)</f>
        <v>B</v>
      </c>
      <c r="H57" s="905" t="str">
        <f>IF('[2]BASE'!GA57=0,"",'[2]BASE'!GA57)</f>
        <v>XXXX</v>
      </c>
      <c r="I57" s="905" t="str">
        <f>IF('[2]BASE'!GB57=0,"",'[2]BASE'!GB57)</f>
        <v>XXXX</v>
      </c>
      <c r="J57" s="905" t="str">
        <f>IF('[2]BASE'!GC57=0,"",'[2]BASE'!GC57)</f>
        <v>XXXX</v>
      </c>
      <c r="K57" s="905" t="str">
        <f>IF('[2]BASE'!GD57=0,"",'[2]BASE'!GD57)</f>
        <v>XXXX</v>
      </c>
      <c r="L57" s="905" t="str">
        <f>IF('[2]BASE'!GE57=0,"",'[2]BASE'!GE57)</f>
        <v>XXXX</v>
      </c>
      <c r="M57" s="905" t="str">
        <f>IF('[2]BASE'!GF57=0,"",'[2]BASE'!GF57)</f>
        <v>XXXX</v>
      </c>
      <c r="N57" s="905" t="str">
        <f>IF('[2]BASE'!GG57=0,"",'[2]BASE'!GG57)</f>
        <v>XXXX</v>
      </c>
      <c r="O57" s="905" t="str">
        <f>IF('[2]BASE'!GH57=0,"",'[2]BASE'!GH57)</f>
        <v>XXXX</v>
      </c>
      <c r="P57" s="905" t="str">
        <f>IF('[2]BASE'!GI57=0,"",'[2]BASE'!GI57)</f>
        <v>XXXX</v>
      </c>
      <c r="Q57" s="905" t="str">
        <f>IF('[2]BASE'!GJ57=0,"",'[2]BASE'!GJ57)</f>
        <v>XXXX</v>
      </c>
      <c r="R57" s="905" t="str">
        <f>IF('[2]BASE'!GK57=0,"",'[2]BASE'!GK57)</f>
        <v>XXXX</v>
      </c>
      <c r="S57" s="905" t="str">
        <f>IF('[2]BASE'!GL57=0,"",'[2]BASE'!GL57)</f>
        <v>XXXX</v>
      </c>
      <c r="T57" s="906"/>
      <c r="U57" s="902"/>
    </row>
    <row r="58" spans="2:21" s="896" customFormat="1" ht="19.5" customHeight="1">
      <c r="B58" s="897"/>
      <c r="C58" s="907">
        <f>IF('[2]BASE'!C58=0,"",'[2]BASE'!C58)</f>
        <v>42</v>
      </c>
      <c r="D58" s="907" t="str">
        <f>IF('[2]BASE'!D58=0,"",'[2]BASE'!D58)</f>
        <v>RIO GRANDE - LUJAN</v>
      </c>
      <c r="E58" s="907">
        <f>IF('[2]BASE'!E58=0,"",'[2]BASE'!E58)</f>
        <v>500</v>
      </c>
      <c r="F58" s="907">
        <f>IF('[2]BASE'!F58=0,"",'[2]BASE'!F58)</f>
        <v>150</v>
      </c>
      <c r="G58" s="908" t="str">
        <f>IF('[2]BASE'!G58=0,"",'[2]BASE'!G58)</f>
        <v>A</v>
      </c>
      <c r="H58" s="905">
        <f>IF('[2]BASE'!GA58=0,"",'[2]BASE'!GA58)</f>
      </c>
      <c r="I58" s="905">
        <f>IF('[2]BASE'!GB58=0,"",'[2]BASE'!GB58)</f>
      </c>
      <c r="J58" s="905">
        <f>IF('[2]BASE'!GC58=0,"",'[2]BASE'!GC58)</f>
      </c>
      <c r="K58" s="905">
        <f>IF('[2]BASE'!GD58=0,"",'[2]BASE'!GD58)</f>
      </c>
      <c r="L58" s="905">
        <f>IF('[2]BASE'!GE58=0,"",'[2]BASE'!GE58)</f>
        <v>3</v>
      </c>
      <c r="M58" s="905">
        <f>IF('[2]BASE'!GF58=0,"",'[2]BASE'!GF58)</f>
      </c>
      <c r="N58" s="905">
        <f>IF('[2]BASE'!GG58=0,"",'[2]BASE'!GG58)</f>
      </c>
      <c r="O58" s="905">
        <f>IF('[2]BASE'!GH58=0,"",'[2]BASE'!GH58)</f>
      </c>
      <c r="P58" s="905">
        <f>IF('[2]BASE'!GI58=0,"",'[2]BASE'!GI58)</f>
      </c>
      <c r="Q58" s="905">
        <f>IF('[2]BASE'!GJ58=0,"",'[2]BASE'!GJ58)</f>
      </c>
      <c r="R58" s="905">
        <f>IF('[2]BASE'!GK58=0,"",'[2]BASE'!GK58)</f>
      </c>
      <c r="S58" s="905">
        <f>IF('[2]BASE'!GL58=0,"",'[2]BASE'!GL58)</f>
      </c>
      <c r="T58" s="906"/>
      <c r="U58" s="902"/>
    </row>
    <row r="59" spans="2:21" s="896" customFormat="1" ht="19.5" customHeight="1">
      <c r="B59" s="897"/>
      <c r="C59" s="909">
        <f>IF('[2]BASE'!C59=0,"",'[2]BASE'!C59)</f>
        <v>43</v>
      </c>
      <c r="D59" s="909" t="str">
        <f>IF('[2]BASE'!D59=0,"",'[2]BASE'!D59)</f>
        <v>LUJAN - GRAN MENDOZA</v>
      </c>
      <c r="E59" s="909">
        <f>IF('[2]BASE'!E59=0,"",'[2]BASE'!E59)</f>
        <v>500</v>
      </c>
      <c r="F59" s="909">
        <f>IF('[2]BASE'!F59=0,"",'[2]BASE'!F59)</f>
        <v>257</v>
      </c>
      <c r="G59" s="910" t="str">
        <f>IF('[2]BASE'!G59=0,"",'[2]BASE'!G59)</f>
        <v>B</v>
      </c>
      <c r="H59" s="905">
        <f>IF('[2]BASE'!GA59=0,"",'[2]BASE'!GA59)</f>
      </c>
      <c r="I59" s="905">
        <f>IF('[2]BASE'!GB59=0,"",'[2]BASE'!GB59)</f>
      </c>
      <c r="J59" s="905">
        <f>IF('[2]BASE'!GC59=0,"",'[2]BASE'!GC59)</f>
      </c>
      <c r="K59" s="905">
        <f>IF('[2]BASE'!GD59=0,"",'[2]BASE'!GD59)</f>
      </c>
      <c r="L59" s="905">
        <f>IF('[2]BASE'!GE59=0,"",'[2]BASE'!GE59)</f>
        <v>1</v>
      </c>
      <c r="M59" s="905">
        <f>IF('[2]BASE'!GF59=0,"",'[2]BASE'!GF59)</f>
      </c>
      <c r="N59" s="905">
        <f>IF('[2]BASE'!GG59=0,"",'[2]BASE'!GG59)</f>
      </c>
      <c r="O59" s="905">
        <f>IF('[2]BASE'!GH59=0,"",'[2]BASE'!GH59)</f>
      </c>
      <c r="P59" s="905">
        <f>IF('[2]BASE'!GI59=0,"",'[2]BASE'!GI59)</f>
      </c>
      <c r="Q59" s="905">
        <f>IF('[2]BASE'!GJ59=0,"",'[2]BASE'!GJ59)</f>
      </c>
      <c r="R59" s="905">
        <f>IF('[2]BASE'!GK59=0,"",'[2]BASE'!GK59)</f>
      </c>
      <c r="S59" s="905">
        <f>IF('[2]BASE'!GL59=0,"",'[2]BASE'!GL59)</f>
      </c>
      <c r="T59" s="906"/>
      <c r="U59" s="902"/>
    </row>
    <row r="60" spans="2:21" s="896" customFormat="1" ht="19.5" customHeight="1">
      <c r="B60" s="897"/>
      <c r="C60" s="907">
        <f>IF('[2]BASE'!C60=0,"",'[2]BASE'!C60)</f>
        <v>44</v>
      </c>
      <c r="D60" s="907" t="str">
        <f>IF('[2]BASE'!D60=0,"",'[2]BASE'!D60)</f>
        <v>ROMANG - RESISTENCIA</v>
      </c>
      <c r="E60" s="907">
        <f>IF('[2]BASE'!E60=0,"",'[2]BASE'!E60)</f>
        <v>500</v>
      </c>
      <c r="F60" s="907">
        <f>IF('[2]BASE'!F60=0,"",'[2]BASE'!F60)</f>
        <v>256</v>
      </c>
      <c r="G60" s="908" t="str">
        <f>IF('[2]BASE'!G60=0,"",'[2]BASE'!G60)</f>
        <v>A</v>
      </c>
      <c r="H60" s="905">
        <f>IF('[2]BASE'!GA60=0,"",'[2]BASE'!GA60)</f>
        <v>1</v>
      </c>
      <c r="I60" s="905">
        <f>IF('[2]BASE'!GB60=0,"",'[2]BASE'!GB60)</f>
        <v>1</v>
      </c>
      <c r="J60" s="905">
        <f>IF('[2]BASE'!GC60=0,"",'[2]BASE'!GC60)</f>
      </c>
      <c r="K60" s="905">
        <f>IF('[2]BASE'!GD60=0,"",'[2]BASE'!GD60)</f>
        <v>1</v>
      </c>
      <c r="L60" s="905">
        <f>IF('[2]BASE'!GE60=0,"",'[2]BASE'!GE60)</f>
      </c>
      <c r="M60" s="905">
        <f>IF('[2]BASE'!GF60=0,"",'[2]BASE'!GF60)</f>
      </c>
      <c r="N60" s="905">
        <f>IF('[2]BASE'!GG60=0,"",'[2]BASE'!GG60)</f>
      </c>
      <c r="O60" s="905">
        <f>IF('[2]BASE'!GH60=0,"",'[2]BASE'!GH60)</f>
      </c>
      <c r="P60" s="905">
        <f>IF('[2]BASE'!GI60=0,"",'[2]BASE'!GI60)</f>
      </c>
      <c r="Q60" s="905">
        <f>IF('[2]BASE'!GJ60=0,"",'[2]BASE'!GJ60)</f>
      </c>
      <c r="R60" s="905">
        <f>IF('[2]BASE'!GK60=0,"",'[2]BASE'!GK60)</f>
      </c>
      <c r="S60" s="905">
        <f>IF('[2]BASE'!GL60=0,"",'[2]BASE'!GL60)</f>
      </c>
      <c r="T60" s="906"/>
      <c r="U60" s="902"/>
    </row>
    <row r="61" spans="2:21" s="896" customFormat="1" ht="19.5" customHeight="1">
      <c r="B61" s="897"/>
      <c r="C61" s="909">
        <f>IF('[2]BASE'!C61=0,"",'[2]BASE'!C61)</f>
        <v>45</v>
      </c>
      <c r="D61" s="909" t="str">
        <f>IF('[2]BASE'!D61=0,"",'[2]BASE'!D61)</f>
        <v>ROSARIO OESTE -SANTO TOME</v>
      </c>
      <c r="E61" s="909">
        <f>IF('[2]BASE'!E61=0,"",'[2]BASE'!E61)</f>
        <v>500</v>
      </c>
      <c r="F61" s="909">
        <f>IF('[2]BASE'!F61=0,"",'[2]BASE'!F61)</f>
        <v>159</v>
      </c>
      <c r="G61" s="910" t="str">
        <f>IF('[2]BASE'!G61=0,"",'[2]BASE'!G61)</f>
        <v>C</v>
      </c>
      <c r="H61" s="905">
        <f>IF('[2]BASE'!GA61=0,"",'[2]BASE'!GA61)</f>
      </c>
      <c r="I61" s="905">
        <f>IF('[2]BASE'!GB61=0,"",'[2]BASE'!GB61)</f>
        <v>1</v>
      </c>
      <c r="J61" s="905">
        <f>IF('[2]BASE'!GC61=0,"",'[2]BASE'!GC61)</f>
      </c>
      <c r="K61" s="905">
        <f>IF('[2]BASE'!GD61=0,"",'[2]BASE'!GD61)</f>
      </c>
      <c r="L61" s="905">
        <f>IF('[2]BASE'!GE61=0,"",'[2]BASE'!GE61)</f>
      </c>
      <c r="M61" s="905">
        <f>IF('[2]BASE'!GF61=0,"",'[2]BASE'!GF61)</f>
      </c>
      <c r="N61" s="905">
        <f>IF('[2]BASE'!GG61=0,"",'[2]BASE'!GG61)</f>
      </c>
      <c r="O61" s="905">
        <f>IF('[2]BASE'!GH61=0,"",'[2]BASE'!GH61)</f>
      </c>
      <c r="P61" s="905">
        <f>IF('[2]BASE'!GI61=0,"",'[2]BASE'!GI61)</f>
      </c>
      <c r="Q61" s="905">
        <f>IF('[2]BASE'!GJ61=0,"",'[2]BASE'!GJ61)</f>
      </c>
      <c r="R61" s="905">
        <f>IF('[2]BASE'!GK61=0,"",'[2]BASE'!GK61)</f>
      </c>
      <c r="S61" s="905">
        <f>IF('[2]BASE'!GL61=0,"",'[2]BASE'!GL61)</f>
      </c>
      <c r="T61" s="906"/>
      <c r="U61" s="902"/>
    </row>
    <row r="62" spans="2:21" s="896" customFormat="1" ht="19.5" customHeight="1">
      <c r="B62" s="897"/>
      <c r="C62" s="907">
        <f>IF('[2]BASE'!C62=0,"",'[2]BASE'!C62)</f>
        <v>46</v>
      </c>
      <c r="D62" s="907" t="str">
        <f>IF('[2]BASE'!D62=0,"",'[2]BASE'!D62)</f>
        <v>SALTO GRANDE - SANTO TOME </v>
      </c>
      <c r="E62" s="907">
        <f>IF('[2]BASE'!E62=0,"",'[2]BASE'!E62)</f>
        <v>500</v>
      </c>
      <c r="F62" s="907">
        <f>IF('[2]BASE'!F62=0,"",'[2]BASE'!F62)</f>
        <v>289</v>
      </c>
      <c r="G62" s="908" t="str">
        <f>IF('[2]BASE'!G62=0,"",'[2]BASE'!G62)</f>
        <v>C</v>
      </c>
      <c r="H62" s="905">
        <f>IF('[2]BASE'!GA62=0,"",'[2]BASE'!GA62)</f>
        <v>1</v>
      </c>
      <c r="I62" s="905">
        <f>IF('[2]BASE'!GB62=0,"",'[2]BASE'!GB62)</f>
      </c>
      <c r="J62" s="905">
        <f>IF('[2]BASE'!GC62=0,"",'[2]BASE'!GC62)</f>
      </c>
      <c r="K62" s="905">
        <f>IF('[2]BASE'!GD62=0,"",'[2]BASE'!GD62)</f>
      </c>
      <c r="L62" s="905">
        <f>IF('[2]BASE'!GE62=0,"",'[2]BASE'!GE62)</f>
      </c>
      <c r="M62" s="905">
        <f>IF('[2]BASE'!GF62=0,"",'[2]BASE'!GF62)</f>
      </c>
      <c r="N62" s="905">
        <f>IF('[2]BASE'!GG62=0,"",'[2]BASE'!GG62)</f>
      </c>
      <c r="O62" s="905">
        <f>IF('[2]BASE'!GH62=0,"",'[2]BASE'!GH62)</f>
      </c>
      <c r="P62" s="905">
        <f>IF('[2]BASE'!GI62=0,"",'[2]BASE'!GI62)</f>
      </c>
      <c r="Q62" s="905">
        <f>IF('[2]BASE'!GJ62=0,"",'[2]BASE'!GJ62)</f>
      </c>
      <c r="R62" s="905">
        <f>IF('[2]BASE'!GK62=0,"",'[2]BASE'!GK62)</f>
      </c>
      <c r="S62" s="905">
        <f>IF('[2]BASE'!GL62=0,"",'[2]BASE'!GL62)</f>
        <v>1</v>
      </c>
      <c r="T62" s="906"/>
      <c r="U62" s="902"/>
    </row>
    <row r="63" spans="2:21" s="896" customFormat="1" ht="19.5" customHeight="1">
      <c r="B63" s="897"/>
      <c r="C63" s="909">
        <f>IF('[2]BASE'!C63=0,"",'[2]BASE'!C63)</f>
        <v>47</v>
      </c>
      <c r="D63" s="909" t="str">
        <f>IF('[2]BASE'!D63=0,"",'[2]BASE'!D63)</f>
        <v>SANTO TOME - ROMANG </v>
      </c>
      <c r="E63" s="909">
        <f>IF('[2]BASE'!E63=0,"",'[2]BASE'!E63)</f>
        <v>500</v>
      </c>
      <c r="F63" s="909">
        <f>IF('[2]BASE'!F63=0,"",'[2]BASE'!F63)</f>
        <v>270</v>
      </c>
      <c r="G63" s="910" t="str">
        <f>IF('[2]BASE'!G63=0,"",'[2]BASE'!G63)</f>
        <v>A</v>
      </c>
      <c r="H63" s="905">
        <f>IF('[2]BASE'!GA63=0,"",'[2]BASE'!GA63)</f>
      </c>
      <c r="I63" s="905">
        <f>IF('[2]BASE'!GB63=0,"",'[2]BASE'!GB63)</f>
      </c>
      <c r="J63" s="905">
        <f>IF('[2]BASE'!GC63=0,"",'[2]BASE'!GC63)</f>
      </c>
      <c r="K63" s="905">
        <f>IF('[2]BASE'!GD63=0,"",'[2]BASE'!GD63)</f>
      </c>
      <c r="L63" s="905">
        <f>IF('[2]BASE'!GE63=0,"",'[2]BASE'!GE63)</f>
      </c>
      <c r="M63" s="905">
        <f>IF('[2]BASE'!GF63=0,"",'[2]BASE'!GF63)</f>
      </c>
      <c r="N63" s="905">
        <f>IF('[2]BASE'!GG63=0,"",'[2]BASE'!GG63)</f>
      </c>
      <c r="O63" s="905">
        <f>IF('[2]BASE'!GH63=0,"",'[2]BASE'!GH63)</f>
      </c>
      <c r="P63" s="905">
        <f>IF('[2]BASE'!GI63=0,"",'[2]BASE'!GI63)</f>
      </c>
      <c r="Q63" s="905">
        <f>IF('[2]BASE'!GJ63=0,"",'[2]BASE'!GJ63)</f>
      </c>
      <c r="R63" s="905">
        <f>IF('[2]BASE'!GK63=0,"",'[2]BASE'!GK63)</f>
      </c>
      <c r="S63" s="905">
        <f>IF('[2]BASE'!GL63=0,"",'[2]BASE'!GL63)</f>
      </c>
      <c r="T63" s="906"/>
      <c r="U63" s="902"/>
    </row>
    <row r="64" spans="2:21" s="896" customFormat="1" ht="9.75" customHeight="1">
      <c r="B64" s="897"/>
      <c r="C64" s="907">
        <f>IF('[2]BASE'!C64=0,"",'[2]BASE'!C64)</f>
      </c>
      <c r="D64" s="907">
        <f>IF('[2]BASE'!D64=0,"",'[2]BASE'!D64)</f>
      </c>
      <c r="E64" s="907">
        <f>IF('[2]BASE'!E64=0,"",'[2]BASE'!E64)</f>
      </c>
      <c r="F64" s="907">
        <f>IF('[2]BASE'!F64=0,"",'[2]BASE'!F64)</f>
      </c>
      <c r="G64" s="908">
        <f>IF('[2]BASE'!G64=0,"",'[2]BASE'!G64)</f>
      </c>
      <c r="H64" s="905">
        <f>IF('[2]BASE'!GA64=0,"",'[2]BASE'!GA64)</f>
      </c>
      <c r="I64" s="905">
        <f>IF('[2]BASE'!GB64=0,"",'[2]BASE'!GB64)</f>
      </c>
      <c r="J64" s="905">
        <f>IF('[2]BASE'!GC64=0,"",'[2]BASE'!GC64)</f>
      </c>
      <c r="K64" s="905">
        <f>IF('[2]BASE'!GD64=0,"",'[2]BASE'!GD64)</f>
      </c>
      <c r="L64" s="905">
        <f>IF('[2]BASE'!GE64=0,"",'[2]BASE'!GE64)</f>
      </c>
      <c r="M64" s="905">
        <f>IF('[2]BASE'!GF64=0,"",'[2]BASE'!GF64)</f>
      </c>
      <c r="N64" s="905">
        <f>IF('[2]BASE'!GG64=0,"",'[2]BASE'!GG64)</f>
      </c>
      <c r="O64" s="905">
        <f>IF('[2]BASE'!GH64=0,"",'[2]BASE'!GH64)</f>
      </c>
      <c r="P64" s="905">
        <f>IF('[2]BASE'!GI64=0,"",'[2]BASE'!GI64)</f>
      </c>
      <c r="Q64" s="905">
        <f>IF('[2]BASE'!GJ64=0,"",'[2]BASE'!GJ64)</f>
      </c>
      <c r="R64" s="905">
        <f>IF('[2]BASE'!GK64=0,"",'[2]BASE'!GK64)</f>
      </c>
      <c r="S64" s="905">
        <f>IF('[2]BASE'!GL64=0,"",'[2]BASE'!GL64)</f>
      </c>
      <c r="T64" s="906"/>
      <c r="U64" s="902"/>
    </row>
    <row r="65" spans="2:21" s="896" customFormat="1" ht="19.5" customHeight="1">
      <c r="B65" s="897"/>
      <c r="C65" s="909">
        <f>IF('[2]BASE'!C65=0,"",'[2]BASE'!C65)</f>
        <v>48</v>
      </c>
      <c r="D65" s="909" t="str">
        <f>IF('[2]BASE'!D65=0,"",'[2]BASE'!D65)</f>
        <v>GRAL. RODRIGUEZ - VILLA  LIA 1</v>
      </c>
      <c r="E65" s="909">
        <f>IF('[2]BASE'!E65=0,"",'[2]BASE'!E65)</f>
        <v>220</v>
      </c>
      <c r="F65" s="909">
        <f>IF('[2]BASE'!F65=0,"",'[2]BASE'!F65)</f>
        <v>61</v>
      </c>
      <c r="G65" s="910" t="str">
        <f>IF('[2]BASE'!G65=0,"",'[2]BASE'!G65)</f>
        <v>C</v>
      </c>
      <c r="H65" s="905">
        <f>IF('[2]BASE'!GA65=0,"",'[2]BASE'!GA65)</f>
      </c>
      <c r="I65" s="905">
        <f>IF('[2]BASE'!GB65=0,"",'[2]BASE'!GB65)</f>
      </c>
      <c r="J65" s="905">
        <f>IF('[2]BASE'!GC65=0,"",'[2]BASE'!GC65)</f>
      </c>
      <c r="K65" s="905">
        <f>IF('[2]BASE'!GD65=0,"",'[2]BASE'!GD65)</f>
        <v>1</v>
      </c>
      <c r="L65" s="905">
        <f>IF('[2]BASE'!GE65=0,"",'[2]BASE'!GE65)</f>
      </c>
      <c r="M65" s="905">
        <f>IF('[2]BASE'!GF65=0,"",'[2]BASE'!GF65)</f>
      </c>
      <c r="N65" s="905">
        <f>IF('[2]BASE'!GG65=0,"",'[2]BASE'!GG65)</f>
      </c>
      <c r="O65" s="905">
        <f>IF('[2]BASE'!GH65=0,"",'[2]BASE'!GH65)</f>
      </c>
      <c r="P65" s="905">
        <f>IF('[2]BASE'!GI65=0,"",'[2]BASE'!GI65)</f>
      </c>
      <c r="Q65" s="905">
        <f>IF('[2]BASE'!GJ65=0,"",'[2]BASE'!GJ65)</f>
      </c>
      <c r="R65" s="905">
        <f>IF('[2]BASE'!GK65=0,"",'[2]BASE'!GK65)</f>
      </c>
      <c r="S65" s="905">
        <f>IF('[2]BASE'!GL65=0,"",'[2]BASE'!GL65)</f>
      </c>
      <c r="T65" s="906"/>
      <c r="U65" s="902"/>
    </row>
    <row r="66" spans="2:21" s="896" customFormat="1" ht="19.5" customHeight="1">
      <c r="B66" s="897"/>
      <c r="C66" s="907">
        <f>IF('[2]BASE'!C66=0,"",'[2]BASE'!C66)</f>
        <v>49</v>
      </c>
      <c r="D66" s="907" t="str">
        <f>IF('[2]BASE'!D66=0,"",'[2]BASE'!D66)</f>
        <v>GRAL. RODRIGUEZ - VILLA  LIA 2</v>
      </c>
      <c r="E66" s="907">
        <f>IF('[2]BASE'!E66=0,"",'[2]BASE'!E66)</f>
        <v>220</v>
      </c>
      <c r="F66" s="907">
        <f>IF('[2]BASE'!F66=0,"",'[2]BASE'!F66)</f>
        <v>61</v>
      </c>
      <c r="G66" s="908" t="str">
        <f>IF('[2]BASE'!G66=0,"",'[2]BASE'!G66)</f>
        <v>C</v>
      </c>
      <c r="H66" s="905">
        <f>IF('[2]BASE'!GA66=0,"",'[2]BASE'!GA66)</f>
      </c>
      <c r="I66" s="905">
        <f>IF('[2]BASE'!GB66=0,"",'[2]BASE'!GB66)</f>
      </c>
      <c r="J66" s="905">
        <f>IF('[2]BASE'!GC66=0,"",'[2]BASE'!GC66)</f>
      </c>
      <c r="K66" s="905">
        <f>IF('[2]BASE'!GD66=0,"",'[2]BASE'!GD66)</f>
      </c>
      <c r="L66" s="905">
        <f>IF('[2]BASE'!GE66=0,"",'[2]BASE'!GE66)</f>
      </c>
      <c r="M66" s="905">
        <f>IF('[2]BASE'!GF66=0,"",'[2]BASE'!GF66)</f>
      </c>
      <c r="N66" s="905">
        <f>IF('[2]BASE'!GG66=0,"",'[2]BASE'!GG66)</f>
      </c>
      <c r="O66" s="905">
        <f>IF('[2]BASE'!GH66=0,"",'[2]BASE'!GH66)</f>
      </c>
      <c r="P66" s="905">
        <f>IF('[2]BASE'!GI66=0,"",'[2]BASE'!GI66)</f>
      </c>
      <c r="Q66" s="905">
        <f>IF('[2]BASE'!GJ66=0,"",'[2]BASE'!GJ66)</f>
      </c>
      <c r="R66" s="905">
        <f>IF('[2]BASE'!GK66=0,"",'[2]BASE'!GK66)</f>
      </c>
      <c r="S66" s="905">
        <f>IF('[2]BASE'!GL66=0,"",'[2]BASE'!GL66)</f>
      </c>
      <c r="T66" s="906"/>
      <c r="U66" s="902"/>
    </row>
    <row r="67" spans="2:21" s="896" customFormat="1" ht="19.5" customHeight="1">
      <c r="B67" s="897"/>
      <c r="C67" s="909">
        <f>IF('[2]BASE'!C67=0,"",'[2]BASE'!C67)</f>
        <v>50</v>
      </c>
      <c r="D67" s="909" t="str">
        <f>IF('[2]BASE'!D67=0,"",'[2]BASE'!D67)</f>
        <v>RAMALLO - SAN NICOLAS (2)</v>
      </c>
      <c r="E67" s="909">
        <f>IF('[2]BASE'!E67=0,"",'[2]BASE'!E67)</f>
        <v>220</v>
      </c>
      <c r="F67" s="909">
        <f>IF('[2]BASE'!F67=0,"",'[2]BASE'!F67)</f>
        <v>6</v>
      </c>
      <c r="G67" s="910" t="str">
        <f>IF('[2]BASE'!G67=0,"",'[2]BASE'!G67)</f>
        <v>C</v>
      </c>
      <c r="H67" s="905">
        <f>IF('[2]BASE'!GA67=0,"",'[2]BASE'!GA67)</f>
      </c>
      <c r="I67" s="905">
        <f>IF('[2]BASE'!GB67=0,"",'[2]BASE'!GB67)</f>
      </c>
      <c r="J67" s="905">
        <f>IF('[2]BASE'!GC67=0,"",'[2]BASE'!GC67)</f>
      </c>
      <c r="K67" s="905">
        <f>IF('[2]BASE'!GD67=0,"",'[2]BASE'!GD67)</f>
      </c>
      <c r="L67" s="905">
        <f>IF('[2]BASE'!GE67=0,"",'[2]BASE'!GE67)</f>
      </c>
      <c r="M67" s="905">
        <f>IF('[2]BASE'!GF67=0,"",'[2]BASE'!GF67)</f>
      </c>
      <c r="N67" s="905">
        <f>IF('[2]BASE'!GG67=0,"",'[2]BASE'!GG67)</f>
      </c>
      <c r="O67" s="905">
        <f>IF('[2]BASE'!GH67=0,"",'[2]BASE'!GH67)</f>
      </c>
      <c r="P67" s="905">
        <f>IF('[2]BASE'!GI67=0,"",'[2]BASE'!GI67)</f>
      </c>
      <c r="Q67" s="905">
        <f>IF('[2]BASE'!GJ67=0,"",'[2]BASE'!GJ67)</f>
      </c>
      <c r="R67" s="905">
        <f>IF('[2]BASE'!GK67=0,"",'[2]BASE'!GK67)</f>
      </c>
      <c r="S67" s="905">
        <f>IF('[2]BASE'!GL67=0,"",'[2]BASE'!GL67)</f>
      </c>
      <c r="T67" s="906"/>
      <c r="U67" s="902"/>
    </row>
    <row r="68" spans="2:21" s="896" customFormat="1" ht="19.5" customHeight="1">
      <c r="B68" s="897"/>
      <c r="C68" s="907">
        <f>IF('[2]BASE'!C68=0,"",'[2]BASE'!C68)</f>
        <v>51</v>
      </c>
      <c r="D68" s="907" t="str">
        <f>IF('[2]BASE'!D68=0,"",'[2]BASE'!D68)</f>
        <v>RAMALLO - SAN NICOLAS (1)</v>
      </c>
      <c r="E68" s="907">
        <f>IF('[2]BASE'!E68=0,"",'[2]BASE'!E68)</f>
        <v>220</v>
      </c>
      <c r="F68" s="907">
        <f>IF('[2]BASE'!F68=0,"",'[2]BASE'!F68)</f>
        <v>6</v>
      </c>
      <c r="G68" s="908" t="str">
        <f>IF('[2]BASE'!G68=0,"",'[2]BASE'!G68)</f>
        <v>C</v>
      </c>
      <c r="H68" s="905">
        <f>IF('[2]BASE'!GA68=0,"",'[2]BASE'!GA68)</f>
      </c>
      <c r="I68" s="905">
        <f>IF('[2]BASE'!GB68=0,"",'[2]BASE'!GB68)</f>
      </c>
      <c r="J68" s="905">
        <f>IF('[2]BASE'!GC68=0,"",'[2]BASE'!GC68)</f>
      </c>
      <c r="K68" s="905">
        <f>IF('[2]BASE'!GD68=0,"",'[2]BASE'!GD68)</f>
      </c>
      <c r="L68" s="905">
        <f>IF('[2]BASE'!GE68=0,"",'[2]BASE'!GE68)</f>
      </c>
      <c r="M68" s="905">
        <f>IF('[2]BASE'!GF68=0,"",'[2]BASE'!GF68)</f>
      </c>
      <c r="N68" s="905">
        <f>IF('[2]BASE'!GG68=0,"",'[2]BASE'!GG68)</f>
      </c>
      <c r="O68" s="905">
        <f>IF('[2]BASE'!GH68=0,"",'[2]BASE'!GH68)</f>
      </c>
      <c r="P68" s="905">
        <f>IF('[2]BASE'!GI68=0,"",'[2]BASE'!GI68)</f>
      </c>
      <c r="Q68" s="905">
        <f>IF('[2]BASE'!GJ68=0,"",'[2]BASE'!GJ68)</f>
      </c>
      <c r="R68" s="905">
        <f>IF('[2]BASE'!GK68=0,"",'[2]BASE'!GK68)</f>
      </c>
      <c r="S68" s="905">
        <f>IF('[2]BASE'!GL68=0,"",'[2]BASE'!GL68)</f>
      </c>
      <c r="T68" s="906"/>
      <c r="U68" s="902"/>
    </row>
    <row r="69" spans="2:21" s="896" customFormat="1" ht="19.5" customHeight="1">
      <c r="B69" s="897"/>
      <c r="C69" s="909">
        <f>IF('[2]BASE'!C69=0,"",'[2]BASE'!C69)</f>
        <v>52</v>
      </c>
      <c r="D69" s="909" t="str">
        <f>IF('[2]BASE'!D69=0,"",'[2]BASE'!D69)</f>
        <v>RAMALLO - VILLA LIA  1</v>
      </c>
      <c r="E69" s="909">
        <f>IF('[2]BASE'!E69=0,"",'[2]BASE'!E69)</f>
        <v>220</v>
      </c>
      <c r="F69" s="910">
        <f>IF('[2]BASE'!F69=0,"",'[2]BASE'!F69)</f>
        <v>114</v>
      </c>
      <c r="G69" s="910" t="str">
        <f>IF('[2]BASE'!G69=0,"",'[2]BASE'!G69)</f>
        <v>C</v>
      </c>
      <c r="H69" s="905">
        <f>IF('[2]BASE'!GA69=0,"",'[2]BASE'!GA69)</f>
        <v>1</v>
      </c>
      <c r="I69" s="905">
        <f>IF('[2]BASE'!GB69=0,"",'[2]BASE'!GB69)</f>
      </c>
      <c r="J69" s="905">
        <f>IF('[2]BASE'!GC69=0,"",'[2]BASE'!GC69)</f>
      </c>
      <c r="K69" s="905">
        <f>IF('[2]BASE'!GD69=0,"",'[2]BASE'!GD69)</f>
        <v>2</v>
      </c>
      <c r="L69" s="905">
        <f>IF('[2]BASE'!GE69=0,"",'[2]BASE'!GE69)</f>
      </c>
      <c r="M69" s="905">
        <f>IF('[2]BASE'!GF69=0,"",'[2]BASE'!GF69)</f>
      </c>
      <c r="N69" s="905">
        <f>IF('[2]BASE'!GG69=0,"",'[2]BASE'!GG69)</f>
      </c>
      <c r="O69" s="905">
        <f>IF('[2]BASE'!GH69=0,"",'[2]BASE'!GH69)</f>
        <v>1</v>
      </c>
      <c r="P69" s="905">
        <f>IF('[2]BASE'!GI69=0,"",'[2]BASE'!GI69)</f>
      </c>
      <c r="Q69" s="905">
        <f>IF('[2]BASE'!GJ69=0,"",'[2]BASE'!GJ69)</f>
        <v>1</v>
      </c>
      <c r="R69" s="905">
        <f>IF('[2]BASE'!GK69=0,"",'[2]BASE'!GK69)</f>
      </c>
      <c r="S69" s="905">
        <f>IF('[2]BASE'!GL69=0,"",'[2]BASE'!GL69)</f>
        <v>1</v>
      </c>
      <c r="T69" s="906"/>
      <c r="U69" s="902"/>
    </row>
    <row r="70" spans="2:21" s="896" customFormat="1" ht="19.5" customHeight="1">
      <c r="B70" s="897"/>
      <c r="C70" s="907">
        <f>IF('[2]BASE'!C70=0,"",'[2]BASE'!C70)</f>
        <v>53</v>
      </c>
      <c r="D70" s="907" t="str">
        <f>IF('[2]BASE'!D70=0,"",'[2]BASE'!D70)</f>
        <v>RAMALLO - VILLA LIA  2</v>
      </c>
      <c r="E70" s="907">
        <f>IF('[2]BASE'!E70=0,"",'[2]BASE'!E70)</f>
        <v>220</v>
      </c>
      <c r="F70" s="908">
        <f>IF('[2]BASE'!F70=0,"",'[2]BASE'!F70)</f>
        <v>114</v>
      </c>
      <c r="G70" s="908" t="str">
        <f>IF('[2]BASE'!G70=0,"",'[2]BASE'!G70)</f>
        <v>C</v>
      </c>
      <c r="H70" s="905">
        <f>IF('[2]BASE'!GA70=0,"",'[2]BASE'!GA70)</f>
      </c>
      <c r="I70" s="905">
        <f>IF('[2]BASE'!GB70=0,"",'[2]BASE'!GB70)</f>
      </c>
      <c r="J70" s="905">
        <f>IF('[2]BASE'!GC70=0,"",'[2]BASE'!GC70)</f>
      </c>
      <c r="K70" s="905">
        <f>IF('[2]BASE'!GD70=0,"",'[2]BASE'!GD70)</f>
      </c>
      <c r="L70" s="905">
        <f>IF('[2]BASE'!GE70=0,"",'[2]BASE'!GE70)</f>
      </c>
      <c r="M70" s="905">
        <f>IF('[2]BASE'!GF70=0,"",'[2]BASE'!GF70)</f>
      </c>
      <c r="N70" s="905">
        <f>IF('[2]BASE'!GG70=0,"",'[2]BASE'!GG70)</f>
      </c>
      <c r="O70" s="905">
        <f>IF('[2]BASE'!GH70=0,"",'[2]BASE'!GH70)</f>
      </c>
      <c r="P70" s="905">
        <f>IF('[2]BASE'!GI70=0,"",'[2]BASE'!GI70)</f>
      </c>
      <c r="Q70" s="905">
        <f>IF('[2]BASE'!GJ70=0,"",'[2]BASE'!GJ70)</f>
      </c>
      <c r="R70" s="905">
        <f>IF('[2]BASE'!GK70=0,"",'[2]BASE'!GK70)</f>
      </c>
      <c r="S70" s="905">
        <f>IF('[2]BASE'!GL70=0,"",'[2]BASE'!GL70)</f>
      </c>
      <c r="T70" s="906"/>
      <c r="U70" s="902"/>
    </row>
    <row r="71" spans="2:21" s="896" customFormat="1" ht="19.5" customHeight="1">
      <c r="B71" s="897"/>
      <c r="C71" s="909">
        <f>IF('[2]BASE'!C71=0,"",'[2]BASE'!C71)</f>
        <v>54</v>
      </c>
      <c r="D71" s="909" t="str">
        <f>IF('[2]BASE'!D71=0,"",'[2]BASE'!D71)</f>
        <v>ROSARIO OESTE - RAMALLO  1</v>
      </c>
      <c r="E71" s="909">
        <f>IF('[2]BASE'!E71=0,"",'[2]BASE'!E71)</f>
        <v>220</v>
      </c>
      <c r="F71" s="910">
        <f>IF('[2]BASE'!F71=0,"",'[2]BASE'!F71)</f>
        <v>77</v>
      </c>
      <c r="G71" s="910" t="str">
        <f>IF('[2]BASE'!G71=0,"",'[2]BASE'!G71)</f>
        <v>C</v>
      </c>
      <c r="H71" s="905">
        <f>IF('[2]BASE'!GA71=0,"",'[2]BASE'!GA71)</f>
      </c>
      <c r="I71" s="905">
        <f>IF('[2]BASE'!GB71=0,"",'[2]BASE'!GB71)</f>
      </c>
      <c r="J71" s="905">
        <f>IF('[2]BASE'!GC71=0,"",'[2]BASE'!GC71)</f>
      </c>
      <c r="K71" s="905">
        <f>IF('[2]BASE'!GD71=0,"",'[2]BASE'!GD71)</f>
      </c>
      <c r="L71" s="905">
        <f>IF('[2]BASE'!GE71=0,"",'[2]BASE'!GE71)</f>
      </c>
      <c r="M71" s="905">
        <f>IF('[2]BASE'!GF71=0,"",'[2]BASE'!GF71)</f>
      </c>
      <c r="N71" s="905">
        <f>IF('[2]BASE'!GG71=0,"",'[2]BASE'!GG71)</f>
      </c>
      <c r="O71" s="905">
        <f>IF('[2]BASE'!GH71=0,"",'[2]BASE'!GH71)</f>
        <v>1</v>
      </c>
      <c r="P71" s="905">
        <f>IF('[2]BASE'!GI71=0,"",'[2]BASE'!GI71)</f>
      </c>
      <c r="Q71" s="905">
        <f>IF('[2]BASE'!GJ71=0,"",'[2]BASE'!GJ71)</f>
      </c>
      <c r="R71" s="905">
        <f>IF('[2]BASE'!GK71=0,"",'[2]BASE'!GK71)</f>
      </c>
      <c r="S71" s="905">
        <f>IF('[2]BASE'!GL71=0,"",'[2]BASE'!GL71)</f>
      </c>
      <c r="T71" s="906"/>
      <c r="U71" s="902"/>
    </row>
    <row r="72" spans="2:21" s="896" customFormat="1" ht="19.5" customHeight="1">
      <c r="B72" s="897"/>
      <c r="C72" s="907">
        <f>IF('[2]BASE'!C72=0,"",'[2]BASE'!C72)</f>
        <v>55</v>
      </c>
      <c r="D72" s="907" t="str">
        <f>IF('[2]BASE'!D72=0,"",'[2]BASE'!D72)</f>
        <v>ROSARIO OESTE - RAMALLO  2</v>
      </c>
      <c r="E72" s="907">
        <f>IF('[2]BASE'!E72=0,"",'[2]BASE'!E72)</f>
        <v>220</v>
      </c>
      <c r="F72" s="908">
        <f>IF('[2]BASE'!F72=0,"",'[2]BASE'!F72)</f>
        <v>77</v>
      </c>
      <c r="G72" s="908" t="str">
        <f>IF('[2]BASE'!G72=0,"",'[2]BASE'!G72)</f>
        <v>C</v>
      </c>
      <c r="H72" s="905">
        <f>IF('[2]BASE'!GA72=0,"",'[2]BASE'!GA72)</f>
      </c>
      <c r="I72" s="905">
        <f>IF('[2]BASE'!GB72=0,"",'[2]BASE'!GB72)</f>
      </c>
      <c r="J72" s="905">
        <f>IF('[2]BASE'!GC72=0,"",'[2]BASE'!GC72)</f>
      </c>
      <c r="K72" s="905">
        <f>IF('[2]BASE'!GD72=0,"",'[2]BASE'!GD72)</f>
      </c>
      <c r="L72" s="905">
        <f>IF('[2]BASE'!GE72=0,"",'[2]BASE'!GE72)</f>
      </c>
      <c r="M72" s="905">
        <f>IF('[2]BASE'!GF72=0,"",'[2]BASE'!GF72)</f>
      </c>
      <c r="N72" s="905">
        <f>IF('[2]BASE'!GG72=0,"",'[2]BASE'!GG72)</f>
        <v>1</v>
      </c>
      <c r="O72" s="905">
        <f>IF('[2]BASE'!GH72=0,"",'[2]BASE'!GH72)</f>
        <v>1</v>
      </c>
      <c r="P72" s="905">
        <f>IF('[2]BASE'!GI72=0,"",'[2]BASE'!GI72)</f>
      </c>
      <c r="Q72" s="905">
        <f>IF('[2]BASE'!GJ72=0,"",'[2]BASE'!GJ72)</f>
        <v>1</v>
      </c>
      <c r="R72" s="905">
        <f>IF('[2]BASE'!GK72=0,"",'[2]BASE'!GK72)</f>
      </c>
      <c r="S72" s="905">
        <f>IF('[2]BASE'!GL72=0,"",'[2]BASE'!GL72)</f>
        <v>1</v>
      </c>
      <c r="T72" s="906"/>
      <c r="U72" s="902"/>
    </row>
    <row r="73" spans="2:21" s="896" customFormat="1" ht="19.5" customHeight="1">
      <c r="B73" s="897"/>
      <c r="C73" s="909">
        <f>IF('[2]BASE'!C73=0,"",'[2]BASE'!C73)</f>
        <v>56</v>
      </c>
      <c r="D73" s="909" t="str">
        <f>IF('[2]BASE'!D73=0,"",'[2]BASE'!D73)</f>
        <v>VILLA LIA - ATUCHA 1</v>
      </c>
      <c r="E73" s="909">
        <f>IF('[2]BASE'!E73=0,"",'[2]BASE'!E73)</f>
        <v>220</v>
      </c>
      <c r="F73" s="909">
        <f>IF('[2]BASE'!F73=0,"",'[2]BASE'!F73)</f>
        <v>26</v>
      </c>
      <c r="G73" s="910" t="str">
        <f>IF('[2]BASE'!G73=0,"",'[2]BASE'!G73)</f>
        <v>C</v>
      </c>
      <c r="H73" s="905">
        <f>IF('[2]BASE'!GA73=0,"",'[2]BASE'!GA73)</f>
      </c>
      <c r="I73" s="905">
        <f>IF('[2]BASE'!GB73=0,"",'[2]BASE'!GB73)</f>
      </c>
      <c r="J73" s="905">
        <f>IF('[2]BASE'!GC73=0,"",'[2]BASE'!GC73)</f>
      </c>
      <c r="K73" s="905">
        <f>IF('[2]BASE'!GD73=0,"",'[2]BASE'!GD73)</f>
        <v>1</v>
      </c>
      <c r="L73" s="905">
        <f>IF('[2]BASE'!GE73=0,"",'[2]BASE'!GE73)</f>
      </c>
      <c r="M73" s="905">
        <f>IF('[2]BASE'!GF73=0,"",'[2]BASE'!GF73)</f>
      </c>
      <c r="N73" s="905">
        <f>IF('[2]BASE'!GG73=0,"",'[2]BASE'!GG73)</f>
      </c>
      <c r="O73" s="905">
        <f>IF('[2]BASE'!GH73=0,"",'[2]BASE'!GH73)</f>
      </c>
      <c r="P73" s="905">
        <f>IF('[2]BASE'!GI73=0,"",'[2]BASE'!GI73)</f>
        <v>1</v>
      </c>
      <c r="Q73" s="905">
        <f>IF('[2]BASE'!GJ73=0,"",'[2]BASE'!GJ73)</f>
        <v>1</v>
      </c>
      <c r="R73" s="905">
        <f>IF('[2]BASE'!GK73=0,"",'[2]BASE'!GK73)</f>
      </c>
      <c r="S73" s="905">
        <f>IF('[2]BASE'!GL73=0,"",'[2]BASE'!GL73)</f>
      </c>
      <c r="T73" s="906"/>
      <c r="U73" s="902"/>
    </row>
    <row r="74" spans="2:21" s="896" customFormat="1" ht="19.5" customHeight="1">
      <c r="B74" s="897"/>
      <c r="C74" s="907">
        <f>IF('[2]BASE'!C74=0,"",'[2]BASE'!C74)</f>
        <v>57</v>
      </c>
      <c r="D74" s="907" t="str">
        <f>IF('[2]BASE'!D74=0,"",'[2]BASE'!D74)</f>
        <v>VILLA LIA - ATUCHA 2</v>
      </c>
      <c r="E74" s="907">
        <f>IF('[2]BASE'!E74=0,"",'[2]BASE'!E74)</f>
        <v>220</v>
      </c>
      <c r="F74" s="907">
        <f>IF('[2]BASE'!F74=0,"",'[2]BASE'!F74)</f>
        <v>26</v>
      </c>
      <c r="G74" s="908" t="str">
        <f>IF('[2]BASE'!G74=0,"",'[2]BASE'!G74)</f>
        <v>C</v>
      </c>
      <c r="H74" s="905">
        <f>IF('[2]BASE'!GA74=0,"",'[2]BASE'!GA74)</f>
      </c>
      <c r="I74" s="905">
        <f>IF('[2]BASE'!GB74=0,"",'[2]BASE'!GB74)</f>
      </c>
      <c r="J74" s="905">
        <f>IF('[2]BASE'!GC74=0,"",'[2]BASE'!GC74)</f>
      </c>
      <c r="K74" s="905">
        <f>IF('[2]BASE'!GD74=0,"",'[2]BASE'!GD74)</f>
      </c>
      <c r="L74" s="905">
        <f>IF('[2]BASE'!GE74=0,"",'[2]BASE'!GE74)</f>
      </c>
      <c r="M74" s="905">
        <f>IF('[2]BASE'!GF74=0,"",'[2]BASE'!GF74)</f>
      </c>
      <c r="N74" s="905">
        <f>IF('[2]BASE'!GG74=0,"",'[2]BASE'!GG74)</f>
      </c>
      <c r="O74" s="905">
        <f>IF('[2]BASE'!GH74=0,"",'[2]BASE'!GH74)</f>
      </c>
      <c r="P74" s="905">
        <f>IF('[2]BASE'!GI74=0,"",'[2]BASE'!GI74)</f>
      </c>
      <c r="Q74" s="905">
        <f>IF('[2]BASE'!GJ74=0,"",'[2]BASE'!GJ74)</f>
      </c>
      <c r="R74" s="905">
        <f>IF('[2]BASE'!GK74=0,"",'[2]BASE'!GK74)</f>
      </c>
      <c r="S74" s="905">
        <f>IF('[2]BASE'!GL74=0,"",'[2]BASE'!GL74)</f>
      </c>
      <c r="T74" s="906"/>
      <c r="U74" s="902"/>
    </row>
    <row r="75" spans="2:21" s="896" customFormat="1" ht="9.75" customHeight="1">
      <c r="B75" s="897"/>
      <c r="C75" s="909">
        <f>IF('[2]BASE'!C75=0,"",'[2]BASE'!C75)</f>
      </c>
      <c r="D75" s="909">
        <f>IF('[2]BASE'!D75=0,"",'[2]BASE'!D75)</f>
      </c>
      <c r="E75" s="909">
        <f>IF('[2]BASE'!E75=0,"",'[2]BASE'!E75)</f>
      </c>
      <c r="F75" s="909">
        <f>IF('[2]BASE'!F75=0,"",'[2]BASE'!F75)</f>
      </c>
      <c r="G75" s="910">
        <f>IF('[2]BASE'!G75=0,"",'[2]BASE'!G75)</f>
      </c>
      <c r="H75" s="905">
        <f>IF('[2]BASE'!GA75=0,"",'[2]BASE'!GA75)</f>
      </c>
      <c r="I75" s="905">
        <f>IF('[2]BASE'!GB75=0,"",'[2]BASE'!GB75)</f>
      </c>
      <c r="J75" s="905">
        <f>IF('[2]BASE'!GC75=0,"",'[2]BASE'!GC75)</f>
      </c>
      <c r="K75" s="905">
        <f>IF('[2]BASE'!GD75=0,"",'[2]BASE'!GD75)</f>
      </c>
      <c r="L75" s="905">
        <f>IF('[2]BASE'!GE75=0,"",'[2]BASE'!GE75)</f>
      </c>
      <c r="M75" s="905">
        <f>IF('[2]BASE'!GF75=0,"",'[2]BASE'!GF75)</f>
      </c>
      <c r="N75" s="905">
        <f>IF('[2]BASE'!GG75=0,"",'[2]BASE'!GG75)</f>
      </c>
      <c r="O75" s="905">
        <f>IF('[2]BASE'!GH75=0,"",'[2]BASE'!GH75)</f>
      </c>
      <c r="P75" s="905">
        <f>IF('[2]BASE'!GI75=0,"",'[2]BASE'!GI75)</f>
      </c>
      <c r="Q75" s="905">
        <f>IF('[2]BASE'!GJ75=0,"",'[2]BASE'!GJ75)</f>
      </c>
      <c r="R75" s="905">
        <f>IF('[2]BASE'!GK75=0,"",'[2]BASE'!GK75)</f>
      </c>
      <c r="S75" s="905">
        <f>IF('[2]BASE'!GL75=0,"",'[2]BASE'!GL75)</f>
      </c>
      <c r="T75" s="906"/>
      <c r="U75" s="902"/>
    </row>
    <row r="76" spans="2:21" s="896" customFormat="1" ht="19.5" customHeight="1">
      <c r="B76" s="897"/>
      <c r="C76" s="907">
        <f>IF('[2]BASE'!C76=0,"",'[2]BASE'!C76)</f>
        <v>58</v>
      </c>
      <c r="D76" s="907" t="str">
        <f>IF('[2]BASE'!D76=0,"",'[2]BASE'!D76)</f>
        <v>GRAL RODRIGUEZ - RAMALLO</v>
      </c>
      <c r="E76" s="907">
        <f>IF('[2]BASE'!E76=0,"",'[2]BASE'!E76)</f>
        <v>500</v>
      </c>
      <c r="F76" s="908">
        <f>IF('[2]BASE'!F76=0,"",'[2]BASE'!F76)</f>
        <v>183.9</v>
      </c>
      <c r="G76" s="908" t="str">
        <f>IF('[2]BASE'!G76=0,"",'[2]BASE'!G76)</f>
        <v>C</v>
      </c>
      <c r="H76" s="905">
        <f>IF('[2]BASE'!GA76=0,"",'[2]BASE'!GA76)</f>
      </c>
      <c r="I76" s="905">
        <f>IF('[2]BASE'!GB76=0,"",'[2]BASE'!GB76)</f>
      </c>
      <c r="J76" s="905">
        <f>IF('[2]BASE'!GC76=0,"",'[2]BASE'!GC76)</f>
        <v>1</v>
      </c>
      <c r="K76" s="905">
        <f>IF('[2]BASE'!GD76=0,"",'[2]BASE'!GD76)</f>
      </c>
      <c r="L76" s="905">
        <f>IF('[2]BASE'!GE76=0,"",'[2]BASE'!GE76)</f>
        <v>2</v>
      </c>
      <c r="M76" s="905">
        <f>IF('[2]BASE'!GF76=0,"",'[2]BASE'!GF76)</f>
      </c>
      <c r="N76" s="905">
        <f>IF('[2]BASE'!GG76=0,"",'[2]BASE'!GG76)</f>
      </c>
      <c r="O76" s="905">
        <f>IF('[2]BASE'!GH76=0,"",'[2]BASE'!GH76)</f>
      </c>
      <c r="P76" s="905">
        <f>IF('[2]BASE'!GI76=0,"",'[2]BASE'!GI76)</f>
      </c>
      <c r="Q76" s="905">
        <f>IF('[2]BASE'!GJ76=0,"",'[2]BASE'!GJ76)</f>
      </c>
      <c r="R76" s="905">
        <f>IF('[2]BASE'!GK76=0,"",'[2]BASE'!GK76)</f>
      </c>
      <c r="S76" s="905">
        <f>IF('[2]BASE'!GL76=0,"",'[2]BASE'!GL76)</f>
        <v>1</v>
      </c>
      <c r="T76" s="906"/>
      <c r="U76" s="902"/>
    </row>
    <row r="77" spans="2:21" s="896" customFormat="1" ht="19.5" customHeight="1">
      <c r="B77" s="897"/>
      <c r="C77" s="909">
        <f>IF('[2]BASE'!C77=0,"",'[2]BASE'!C77)</f>
        <v>59</v>
      </c>
      <c r="D77" s="909" t="str">
        <f>IF('[2]BASE'!D77=0,"",'[2]BASE'!D77)</f>
        <v>RAMALLO - ROSARIO OESTE</v>
      </c>
      <c r="E77" s="909">
        <f>IF('[2]BASE'!E77=0,"",'[2]BASE'!E77)</f>
        <v>500</v>
      </c>
      <c r="F77" s="910">
        <f>IF('[2]BASE'!F77=0,"",'[2]BASE'!F77)</f>
        <v>77</v>
      </c>
      <c r="G77" s="910" t="str">
        <f>IF('[2]BASE'!G77=0,"",'[2]BASE'!G77)</f>
        <v>C</v>
      </c>
      <c r="H77" s="905">
        <f>IF('[2]BASE'!GA77=0,"",'[2]BASE'!GA77)</f>
      </c>
      <c r="I77" s="905">
        <f>IF('[2]BASE'!GB77=0,"",'[2]BASE'!GB77)</f>
      </c>
      <c r="J77" s="905">
        <f>IF('[2]BASE'!GC77=0,"",'[2]BASE'!GC77)</f>
      </c>
      <c r="K77" s="905">
        <f>IF('[2]BASE'!GD77=0,"",'[2]BASE'!GD77)</f>
      </c>
      <c r="L77" s="905">
        <f>IF('[2]BASE'!GE77=0,"",'[2]BASE'!GE77)</f>
      </c>
      <c r="M77" s="905">
        <f>IF('[2]BASE'!GF77=0,"",'[2]BASE'!GF77)</f>
      </c>
      <c r="N77" s="905">
        <f>IF('[2]BASE'!GG77=0,"",'[2]BASE'!GG77)</f>
      </c>
      <c r="O77" s="905">
        <f>IF('[2]BASE'!GH77=0,"",'[2]BASE'!GH77)</f>
      </c>
      <c r="P77" s="905">
        <f>IF('[2]BASE'!GI77=0,"",'[2]BASE'!GI77)</f>
      </c>
      <c r="Q77" s="905">
        <f>IF('[2]BASE'!GJ77=0,"",'[2]BASE'!GJ77)</f>
        <v>1</v>
      </c>
      <c r="R77" s="905">
        <f>IF('[2]BASE'!GK77=0,"",'[2]BASE'!GK77)</f>
        <v>2</v>
      </c>
      <c r="S77" s="905">
        <f>IF('[2]BASE'!GL77=0,"",'[2]BASE'!GL77)</f>
        <v>1</v>
      </c>
      <c r="T77" s="906"/>
      <c r="U77" s="902"/>
    </row>
    <row r="78" spans="2:21" s="896" customFormat="1" ht="19.5" customHeight="1">
      <c r="B78" s="897"/>
      <c r="C78" s="907">
        <f>IF('[2]BASE'!C78=0,"",'[2]BASE'!C78)</f>
        <v>60</v>
      </c>
      <c r="D78" s="907" t="str">
        <f>IF('[2]BASE'!D78=0,"",'[2]BASE'!D78)</f>
        <v>MACACHIN - HENDERSON</v>
      </c>
      <c r="E78" s="907">
        <f>IF('[2]BASE'!E78=0,"",'[2]BASE'!E78)</f>
        <v>500</v>
      </c>
      <c r="F78" s="908">
        <f>IF('[2]BASE'!F78=0,"",'[2]BASE'!F78)</f>
        <v>194</v>
      </c>
      <c r="G78" s="908" t="str">
        <f>IF('[2]BASE'!G78=0,"",'[2]BASE'!G78)</f>
        <v>A</v>
      </c>
      <c r="H78" s="905">
        <f>IF('[2]BASE'!GA78=0,"",'[2]BASE'!GA78)</f>
      </c>
      <c r="I78" s="905">
        <f>IF('[2]BASE'!GB78=0,"",'[2]BASE'!GB78)</f>
      </c>
      <c r="J78" s="905">
        <f>IF('[2]BASE'!GC78=0,"",'[2]BASE'!GC78)</f>
      </c>
      <c r="K78" s="905">
        <f>IF('[2]BASE'!GD78=0,"",'[2]BASE'!GD78)</f>
      </c>
      <c r="L78" s="905">
        <f>IF('[2]BASE'!GE78=0,"",'[2]BASE'!GE78)</f>
      </c>
      <c r="M78" s="905">
        <f>IF('[2]BASE'!GF78=0,"",'[2]BASE'!GF78)</f>
      </c>
      <c r="N78" s="905">
        <f>IF('[2]BASE'!GG78=0,"",'[2]BASE'!GG78)</f>
      </c>
      <c r="O78" s="905">
        <f>IF('[2]BASE'!GH78=0,"",'[2]BASE'!GH78)</f>
      </c>
      <c r="P78" s="905">
        <f>IF('[2]BASE'!GI78=0,"",'[2]BASE'!GI78)</f>
      </c>
      <c r="Q78" s="905">
        <f>IF('[2]BASE'!GJ78=0,"",'[2]BASE'!GJ78)</f>
      </c>
      <c r="R78" s="905">
        <f>IF('[2]BASE'!GK78=0,"",'[2]BASE'!GK78)</f>
      </c>
      <c r="S78" s="905">
        <f>IF('[2]BASE'!GL78=0,"",'[2]BASE'!GL78)</f>
      </c>
      <c r="T78" s="906"/>
      <c r="U78" s="902"/>
    </row>
    <row r="79" spans="2:21" s="896" customFormat="1" ht="19.5" customHeight="1">
      <c r="B79" s="897"/>
      <c r="C79" s="909">
        <f>IF('[2]BASE'!C79=0,"",'[2]BASE'!C79)</f>
        <v>61</v>
      </c>
      <c r="D79" s="909" t="str">
        <f>IF('[2]BASE'!D79=0,"",'[2]BASE'!D79)</f>
        <v>PUELCHES - MACACHIN</v>
      </c>
      <c r="E79" s="909">
        <f>IF('[2]BASE'!E79=0,"",'[2]BASE'!E79)</f>
        <v>500</v>
      </c>
      <c r="F79" s="909">
        <f>IF('[2]BASE'!F79=0,"",'[2]BASE'!F79)</f>
        <v>227</v>
      </c>
      <c r="G79" s="910" t="str">
        <f>IF('[2]BASE'!G79=0,"",'[2]BASE'!G79)</f>
        <v>A</v>
      </c>
      <c r="H79" s="905">
        <f>IF('[2]BASE'!GA79=0,"",'[2]BASE'!GA79)</f>
      </c>
      <c r="I79" s="905">
        <f>IF('[2]BASE'!GB79=0,"",'[2]BASE'!GB79)</f>
      </c>
      <c r="J79" s="905">
        <f>IF('[2]BASE'!GC79=0,"",'[2]BASE'!GC79)</f>
        <v>1</v>
      </c>
      <c r="K79" s="905">
        <f>IF('[2]BASE'!GD79=0,"",'[2]BASE'!GD79)</f>
      </c>
      <c r="L79" s="905">
        <f>IF('[2]BASE'!GE79=0,"",'[2]BASE'!GE79)</f>
      </c>
      <c r="M79" s="905">
        <f>IF('[2]BASE'!GF79=0,"",'[2]BASE'!GF79)</f>
      </c>
      <c r="N79" s="905">
        <f>IF('[2]BASE'!GG79=0,"",'[2]BASE'!GG79)</f>
      </c>
      <c r="O79" s="905">
        <f>IF('[2]BASE'!GH79=0,"",'[2]BASE'!GH79)</f>
      </c>
      <c r="P79" s="905">
        <f>IF('[2]BASE'!GI79=0,"",'[2]BASE'!GI79)</f>
      </c>
      <c r="Q79" s="905">
        <f>IF('[2]BASE'!GJ79=0,"",'[2]BASE'!GJ79)</f>
      </c>
      <c r="R79" s="905">
        <f>IF('[2]BASE'!GK79=0,"",'[2]BASE'!GK79)</f>
      </c>
      <c r="S79" s="905">
        <f>IF('[2]BASE'!GL79=0,"",'[2]BASE'!GL79)</f>
      </c>
      <c r="T79" s="906"/>
      <c r="U79" s="902"/>
    </row>
    <row r="80" spans="2:21" s="896" customFormat="1" ht="9.75" customHeight="1">
      <c r="B80" s="897"/>
      <c r="C80" s="907">
        <f>IF('[2]BASE'!C80=0,"",'[2]BASE'!C80)</f>
      </c>
      <c r="D80" s="907">
        <f>IF('[2]BASE'!D80=0,"",'[2]BASE'!D80)</f>
      </c>
      <c r="E80" s="907">
        <f>IF('[2]BASE'!E80=0,"",'[2]BASE'!E80)</f>
      </c>
      <c r="F80" s="908">
        <f>IF('[2]BASE'!F80=0,"",'[2]BASE'!F80)</f>
      </c>
      <c r="G80" s="908">
        <f>IF('[2]BASE'!G80=0,"",'[2]BASE'!G80)</f>
      </c>
      <c r="H80" s="905">
        <f>IF('[2]BASE'!GA80=0,"",'[2]BASE'!GA80)</f>
      </c>
      <c r="I80" s="905">
        <f>IF('[2]BASE'!GB80=0,"",'[2]BASE'!GB80)</f>
      </c>
      <c r="J80" s="905">
        <f>IF('[2]BASE'!GC80=0,"",'[2]BASE'!GC80)</f>
      </c>
      <c r="K80" s="905">
        <f>IF('[2]BASE'!GD80=0,"",'[2]BASE'!GD80)</f>
      </c>
      <c r="L80" s="905">
        <f>IF('[2]BASE'!GE80=0,"",'[2]BASE'!GE80)</f>
      </c>
      <c r="M80" s="905">
        <f>IF('[2]BASE'!GF80=0,"",'[2]BASE'!GF80)</f>
      </c>
      <c r="N80" s="905">
        <f>IF('[2]BASE'!GG80=0,"",'[2]BASE'!GG80)</f>
      </c>
      <c r="O80" s="905">
        <f>IF('[2]BASE'!GH80=0,"",'[2]BASE'!GH80)</f>
      </c>
      <c r="P80" s="905">
        <f>IF('[2]BASE'!GI80=0,"",'[2]BASE'!GI80)</f>
      </c>
      <c r="Q80" s="905">
        <f>IF('[2]BASE'!GJ80=0,"",'[2]BASE'!GJ80)</f>
      </c>
      <c r="R80" s="905">
        <f>IF('[2]BASE'!GK80=0,"",'[2]BASE'!GK80)</f>
      </c>
      <c r="S80" s="905">
        <f>IF('[2]BASE'!GL80=0,"",'[2]BASE'!GL80)</f>
      </c>
      <c r="T80" s="906"/>
      <c r="U80" s="902"/>
    </row>
    <row r="81" spans="2:21" s="896" customFormat="1" ht="9.75" customHeight="1">
      <c r="B81" s="897"/>
      <c r="C81" s="909">
        <f>IF('[2]BASE'!C81=0,"",'[2]BASE'!C81)</f>
      </c>
      <c r="D81" s="909">
        <f>IF('[2]BASE'!D81=0,"",'[2]BASE'!D81)</f>
      </c>
      <c r="E81" s="909">
        <f>IF('[2]BASE'!E81=0,"",'[2]BASE'!E81)</f>
      </c>
      <c r="F81" s="910">
        <f>IF('[2]BASE'!F81=0,"",'[2]BASE'!F81)</f>
      </c>
      <c r="G81" s="910">
        <f>IF('[2]BASE'!G81=0,"",'[2]BASE'!G81)</f>
      </c>
      <c r="H81" s="905">
        <f>IF('[2]BASE'!GA81=0,"",'[2]BASE'!GA81)</f>
      </c>
      <c r="I81" s="905">
        <f>IF('[2]BASE'!GB81=0,"",'[2]BASE'!GB81)</f>
      </c>
      <c r="J81" s="905">
        <f>IF('[2]BASE'!GC81=0,"",'[2]BASE'!GC81)</f>
      </c>
      <c r="K81" s="905">
        <f>IF('[2]BASE'!GD81=0,"",'[2]BASE'!GD81)</f>
      </c>
      <c r="L81" s="905">
        <f>IF('[2]BASE'!GE81=0,"",'[2]BASE'!GE81)</f>
      </c>
      <c r="M81" s="905">
        <f>IF('[2]BASE'!GF81=0,"",'[2]BASE'!GF81)</f>
      </c>
      <c r="N81" s="905">
        <f>IF('[2]BASE'!GG81=0,"",'[2]BASE'!GG81)</f>
      </c>
      <c r="O81" s="905">
        <f>IF('[2]BASE'!GH81=0,"",'[2]BASE'!GH81)</f>
      </c>
      <c r="P81" s="905">
        <f>IF('[2]BASE'!GI81=0,"",'[2]BASE'!GI81)</f>
      </c>
      <c r="Q81" s="905">
        <f>IF('[2]BASE'!GJ81=0,"",'[2]BASE'!GJ81)</f>
      </c>
      <c r="R81" s="905">
        <f>IF('[2]BASE'!GK81=0,"",'[2]BASE'!GK81)</f>
      </c>
      <c r="S81" s="905">
        <f>IF('[2]BASE'!GL81=0,"",'[2]BASE'!GL81)</f>
      </c>
      <c r="T81" s="906"/>
      <c r="U81" s="902"/>
    </row>
    <row r="82" spans="2:21" s="896" customFormat="1" ht="19.5" customHeight="1">
      <c r="B82" s="897"/>
      <c r="C82" s="907">
        <f>IF('[2]BASE'!C82=0,"",'[2]BASE'!C82)</f>
        <v>62</v>
      </c>
      <c r="D82" s="907" t="str">
        <f>IF('[2]BASE'!D82=0,"",'[2]BASE'!D82)</f>
        <v>YACYRETÁ - RINCON I</v>
      </c>
      <c r="E82" s="907">
        <f>IF('[2]BASE'!E82=0,"",'[2]BASE'!E82)</f>
        <v>500</v>
      </c>
      <c r="F82" s="908">
        <f>IF('[2]BASE'!F82=0,"",'[2]BASE'!F82)</f>
        <v>3.6</v>
      </c>
      <c r="G82" s="908" t="str">
        <f>IF('[2]BASE'!G82=0,"",'[2]BASE'!G82)</f>
        <v>B</v>
      </c>
      <c r="H82" s="905">
        <f>IF('[2]BASE'!GA82=0,"",'[2]BASE'!GA82)</f>
      </c>
      <c r="I82" s="905">
        <f>IF('[2]BASE'!GB82=0,"",'[2]BASE'!GB82)</f>
      </c>
      <c r="J82" s="905">
        <f>IF('[2]BASE'!GC82=0,"",'[2]BASE'!GC82)</f>
      </c>
      <c r="K82" s="905">
        <f>IF('[2]BASE'!GD82=0,"",'[2]BASE'!GD82)</f>
      </c>
      <c r="L82" s="905">
        <f>IF('[2]BASE'!GE82=0,"",'[2]BASE'!GE82)</f>
      </c>
      <c r="M82" s="905">
        <f>IF('[2]BASE'!GF82=0,"",'[2]BASE'!GF82)</f>
      </c>
      <c r="N82" s="905">
        <f>IF('[2]BASE'!GG82=0,"",'[2]BASE'!GG82)</f>
      </c>
      <c r="O82" s="905">
        <f>IF('[2]BASE'!GH82=0,"",'[2]BASE'!GH82)</f>
      </c>
      <c r="P82" s="905">
        <f>IF('[2]BASE'!GI82=0,"",'[2]BASE'!GI82)</f>
      </c>
      <c r="Q82" s="905">
        <f>IF('[2]BASE'!GJ82=0,"",'[2]BASE'!GJ82)</f>
      </c>
      <c r="R82" s="905">
        <f>IF('[2]BASE'!GK82=0,"",'[2]BASE'!GK82)</f>
      </c>
      <c r="S82" s="905">
        <f>IF('[2]BASE'!GL82=0,"",'[2]BASE'!GL82)</f>
      </c>
      <c r="T82" s="906"/>
      <c r="U82" s="902"/>
    </row>
    <row r="83" spans="2:21" s="896" customFormat="1" ht="19.5" customHeight="1">
      <c r="B83" s="897"/>
      <c r="C83" s="909">
        <f>IF('[2]BASE'!C83=0,"",'[2]BASE'!C83)</f>
        <v>63</v>
      </c>
      <c r="D83" s="909" t="str">
        <f>IF('[2]BASE'!D83=0,"",'[2]BASE'!D83)</f>
        <v>YACYRETÁ - RINCON II</v>
      </c>
      <c r="E83" s="909">
        <f>IF('[2]BASE'!E83=0,"",'[2]BASE'!E83)</f>
        <v>500</v>
      </c>
      <c r="F83" s="909">
        <f>IF('[2]BASE'!F83=0,"",'[2]BASE'!F83)</f>
        <v>3.6</v>
      </c>
      <c r="G83" s="910" t="str">
        <f>IF('[2]BASE'!G83=0,"",'[2]BASE'!G83)</f>
        <v>B</v>
      </c>
      <c r="H83" s="905">
        <f>IF('[2]BASE'!GA83=0,"",'[2]BASE'!GA83)</f>
      </c>
      <c r="I83" s="905">
        <f>IF('[2]BASE'!GB83=0,"",'[2]BASE'!GB83)</f>
      </c>
      <c r="J83" s="905">
        <f>IF('[2]BASE'!GC83=0,"",'[2]BASE'!GC83)</f>
      </c>
      <c r="K83" s="905">
        <f>IF('[2]BASE'!GD83=0,"",'[2]BASE'!GD83)</f>
      </c>
      <c r="L83" s="905">
        <f>IF('[2]BASE'!GE83=0,"",'[2]BASE'!GE83)</f>
      </c>
      <c r="M83" s="905">
        <f>IF('[2]BASE'!GF83=0,"",'[2]BASE'!GF83)</f>
      </c>
      <c r="N83" s="905">
        <f>IF('[2]BASE'!GG83=0,"",'[2]BASE'!GG83)</f>
      </c>
      <c r="O83" s="905">
        <f>IF('[2]BASE'!GH83=0,"",'[2]BASE'!GH83)</f>
      </c>
      <c r="P83" s="905">
        <f>IF('[2]BASE'!GI83=0,"",'[2]BASE'!GI83)</f>
      </c>
      <c r="Q83" s="905">
        <f>IF('[2]BASE'!GJ83=0,"",'[2]BASE'!GJ83)</f>
      </c>
      <c r="R83" s="905">
        <f>IF('[2]BASE'!GK83=0,"",'[2]BASE'!GK83)</f>
      </c>
      <c r="S83" s="905">
        <f>IF('[2]BASE'!GL83=0,"",'[2]BASE'!GL83)</f>
      </c>
      <c r="T83" s="906"/>
      <c r="U83" s="902"/>
    </row>
    <row r="84" spans="2:21" s="896" customFormat="1" ht="19.5" customHeight="1">
      <c r="B84" s="897"/>
      <c r="C84" s="907">
        <f>IF('[2]BASE'!C84=0,"",'[2]BASE'!C84)</f>
        <v>64</v>
      </c>
      <c r="D84" s="907" t="str">
        <f>IF('[2]BASE'!D84=0,"",'[2]BASE'!D84)</f>
        <v>YACYRETÁ - RINCON III</v>
      </c>
      <c r="E84" s="907">
        <f>IF('[2]BASE'!E84=0,"",'[2]BASE'!E84)</f>
        <v>500</v>
      </c>
      <c r="F84" s="908">
        <f>IF('[2]BASE'!F84=0,"",'[2]BASE'!F84)</f>
        <v>3.6</v>
      </c>
      <c r="G84" s="908" t="str">
        <f>IF('[2]BASE'!G84=0,"",'[2]BASE'!G84)</f>
        <v>B</v>
      </c>
      <c r="H84" s="905">
        <f>IF('[2]BASE'!GA84=0,"",'[2]BASE'!GA84)</f>
      </c>
      <c r="I84" s="905">
        <f>IF('[2]BASE'!GB84=0,"",'[2]BASE'!GB84)</f>
      </c>
      <c r="J84" s="905">
        <f>IF('[2]BASE'!GC84=0,"",'[2]BASE'!GC84)</f>
      </c>
      <c r="K84" s="905">
        <f>IF('[2]BASE'!GD84=0,"",'[2]BASE'!GD84)</f>
      </c>
      <c r="L84" s="905">
        <f>IF('[2]BASE'!GE84=0,"",'[2]BASE'!GE84)</f>
      </c>
      <c r="M84" s="905">
        <f>IF('[2]BASE'!GF84=0,"",'[2]BASE'!GF84)</f>
      </c>
      <c r="N84" s="905">
        <f>IF('[2]BASE'!GG84=0,"",'[2]BASE'!GG84)</f>
      </c>
      <c r="O84" s="905">
        <f>IF('[2]BASE'!GH84=0,"",'[2]BASE'!GH84)</f>
      </c>
      <c r="P84" s="905">
        <f>IF('[2]BASE'!GI84=0,"",'[2]BASE'!GI84)</f>
      </c>
      <c r="Q84" s="905">
        <f>IF('[2]BASE'!GJ84=0,"",'[2]BASE'!GJ84)</f>
      </c>
      <c r="R84" s="905">
        <f>IF('[2]BASE'!GK84=0,"",'[2]BASE'!GK84)</f>
      </c>
      <c r="S84" s="905">
        <f>IF('[2]BASE'!GL84=0,"",'[2]BASE'!GL84)</f>
      </c>
      <c r="T84" s="906"/>
      <c r="U84" s="902"/>
    </row>
    <row r="85" spans="2:21" s="896" customFormat="1" ht="19.5" customHeight="1">
      <c r="B85" s="897"/>
      <c r="C85" s="909">
        <f>IF('[2]BASE'!C85=0,"",'[2]BASE'!C85)</f>
        <v>65</v>
      </c>
      <c r="D85" s="909" t="str">
        <f>IF('[2]BASE'!D85=0,"",'[2]BASE'!D85)</f>
        <v>RINCON - PASO DE LA PATRIA</v>
      </c>
      <c r="E85" s="909">
        <f>IF('[2]BASE'!E85=0,"",'[2]BASE'!E85)</f>
        <v>500</v>
      </c>
      <c r="F85" s="910">
        <f>IF('[2]BASE'!F85=0,"",'[2]BASE'!F85)</f>
        <v>227</v>
      </c>
      <c r="G85" s="910" t="str">
        <f>IF('[2]BASE'!G85=0,"",'[2]BASE'!G85)</f>
        <v>A</v>
      </c>
      <c r="H85" s="905">
        <f>IF('[2]BASE'!GA85=0,"",'[2]BASE'!GA85)</f>
      </c>
      <c r="I85" s="905">
        <f>IF('[2]BASE'!GB85=0,"",'[2]BASE'!GB85)</f>
      </c>
      <c r="J85" s="905">
        <f>IF('[2]BASE'!GC85=0,"",'[2]BASE'!GC85)</f>
      </c>
      <c r="K85" s="905">
        <f>IF('[2]BASE'!GD85=0,"",'[2]BASE'!GD85)</f>
      </c>
      <c r="L85" s="905">
        <f>IF('[2]BASE'!GE85=0,"",'[2]BASE'!GE85)</f>
      </c>
      <c r="M85" s="905">
        <f>IF('[2]BASE'!GF85=0,"",'[2]BASE'!GF85)</f>
      </c>
      <c r="N85" s="905">
        <f>IF('[2]BASE'!GG85=0,"",'[2]BASE'!GG85)</f>
      </c>
      <c r="O85" s="905">
        <f>IF('[2]BASE'!GH85=0,"",'[2]BASE'!GH85)</f>
      </c>
      <c r="P85" s="905">
        <f>IF('[2]BASE'!GI85=0,"",'[2]BASE'!GI85)</f>
      </c>
      <c r="Q85" s="905">
        <f>IF('[2]BASE'!GJ85=0,"",'[2]BASE'!GJ85)</f>
      </c>
      <c r="R85" s="905">
        <f>IF('[2]BASE'!GK85=0,"",'[2]BASE'!GK85)</f>
      </c>
      <c r="S85" s="905">
        <f>IF('[2]BASE'!GL85=0,"",'[2]BASE'!GL85)</f>
      </c>
      <c r="T85" s="906"/>
      <c r="U85" s="902"/>
    </row>
    <row r="86" spans="2:21" s="896" customFormat="1" ht="19.5" customHeight="1">
      <c r="B86" s="897"/>
      <c r="C86" s="907">
        <f>IF('[2]BASE'!C86=0,"",'[2]BASE'!C86)</f>
        <v>66</v>
      </c>
      <c r="D86" s="907" t="str">
        <f>IF('[2]BASE'!D86=0,"",'[2]BASE'!D86)</f>
        <v>PASO DE LA PATRIA - RESISTENCIA</v>
      </c>
      <c r="E86" s="907">
        <f>IF('[2]BASE'!E86=0,"",'[2]BASE'!E86)</f>
        <v>500</v>
      </c>
      <c r="F86" s="908">
        <f>IF('[2]BASE'!F86=0,"",'[2]BASE'!F86)</f>
        <v>40</v>
      </c>
      <c r="G86" s="908" t="str">
        <f>IF('[2]BASE'!G86=0,"",'[2]BASE'!G86)</f>
        <v>C</v>
      </c>
      <c r="H86" s="905">
        <f>IF('[2]BASE'!GA86=0,"",'[2]BASE'!GA86)</f>
      </c>
      <c r="I86" s="905">
        <f>IF('[2]BASE'!GB86=0,"",'[2]BASE'!GB86)</f>
      </c>
      <c r="J86" s="905">
        <f>IF('[2]BASE'!GC86=0,"",'[2]BASE'!GC86)</f>
      </c>
      <c r="K86" s="905">
        <f>IF('[2]BASE'!GD86=0,"",'[2]BASE'!GD86)</f>
      </c>
      <c r="L86" s="905">
        <f>IF('[2]BASE'!GE86=0,"",'[2]BASE'!GE86)</f>
      </c>
      <c r="M86" s="905">
        <f>IF('[2]BASE'!GF86=0,"",'[2]BASE'!GF86)</f>
      </c>
      <c r="N86" s="905">
        <f>IF('[2]BASE'!GG86=0,"",'[2]BASE'!GG86)</f>
      </c>
      <c r="O86" s="905">
        <f>IF('[2]BASE'!GH86=0,"",'[2]BASE'!GH86)</f>
      </c>
      <c r="P86" s="905">
        <f>IF('[2]BASE'!GI86=0,"",'[2]BASE'!GI86)</f>
      </c>
      <c r="Q86" s="905">
        <f>IF('[2]BASE'!GJ86=0,"",'[2]BASE'!GJ86)</f>
      </c>
      <c r="R86" s="905">
        <f>IF('[2]BASE'!GK86=0,"",'[2]BASE'!GK86)</f>
      </c>
      <c r="S86" s="905">
        <f>IF('[2]BASE'!GL86=0,"",'[2]BASE'!GL86)</f>
      </c>
      <c r="T86" s="906"/>
      <c r="U86" s="902"/>
    </row>
    <row r="87" spans="2:21" s="896" customFormat="1" ht="19.5" customHeight="1">
      <c r="B87" s="897"/>
      <c r="C87" s="909">
        <f>IF('[2]BASE'!C87=0,"",'[2]BASE'!C87)</f>
        <v>67</v>
      </c>
      <c r="D87" s="909" t="str">
        <f>IF('[2]BASE'!D87=0,"",'[2]BASE'!D87)</f>
        <v>RINCON - RESISTENCIA</v>
      </c>
      <c r="E87" s="909">
        <f>IF('[2]BASE'!E87=0,"",'[2]BASE'!E87)</f>
        <v>500</v>
      </c>
      <c r="F87" s="909">
        <f>IF('[2]BASE'!F87=0,"",'[2]BASE'!F87)</f>
        <v>267</v>
      </c>
      <c r="G87" s="910" t="str">
        <f>IF('[2]BASE'!G87=0,"",'[2]BASE'!G87)</f>
        <v>B</v>
      </c>
      <c r="H87" s="905" t="str">
        <f>IF('[2]BASE'!GA87=0,"",'[2]BASE'!GA87)</f>
        <v>XXXX</v>
      </c>
      <c r="I87" s="905" t="str">
        <f>IF('[2]BASE'!GB87=0,"",'[2]BASE'!GB87)</f>
        <v>XXXX</v>
      </c>
      <c r="J87" s="905" t="str">
        <f>IF('[2]BASE'!GC87=0,"",'[2]BASE'!GC87)</f>
        <v>XXXX</v>
      </c>
      <c r="K87" s="905" t="str">
        <f>IF('[2]BASE'!GD87=0,"",'[2]BASE'!GD87)</f>
        <v>XXXX</v>
      </c>
      <c r="L87" s="905" t="str">
        <f>IF('[2]BASE'!GE87=0,"",'[2]BASE'!GE87)</f>
        <v>XXXX</v>
      </c>
      <c r="M87" s="905" t="str">
        <f>IF('[2]BASE'!GF87=0,"",'[2]BASE'!GF87)</f>
        <v>XXXX</v>
      </c>
      <c r="N87" s="905" t="str">
        <f>IF('[2]BASE'!GG87=0,"",'[2]BASE'!GG87)</f>
        <v>XXXX</v>
      </c>
      <c r="O87" s="905" t="str">
        <f>IF('[2]BASE'!GH87=0,"",'[2]BASE'!GH87)</f>
        <v>XXXX</v>
      </c>
      <c r="P87" s="905" t="str">
        <f>IF('[2]BASE'!GI87=0,"",'[2]BASE'!GI87)</f>
        <v>XXXX</v>
      </c>
      <c r="Q87" s="905" t="str">
        <f>IF('[2]BASE'!GJ87=0,"",'[2]BASE'!GJ87)</f>
        <v>XXXX</v>
      </c>
      <c r="R87" s="905" t="str">
        <f>IF('[2]BASE'!GK87=0,"",'[2]BASE'!GK87)</f>
        <v>XXXX</v>
      </c>
      <c r="S87" s="905" t="str">
        <f>IF('[2]BASE'!GL87=0,"",'[2]BASE'!GL87)</f>
        <v>XXXX</v>
      </c>
      <c r="T87" s="906"/>
      <c r="U87" s="902"/>
    </row>
    <row r="88" spans="2:21" s="896" customFormat="1" ht="9.75" customHeight="1">
      <c r="B88" s="897"/>
      <c r="C88" s="907">
        <f>IF('[2]BASE'!C88=0,"",'[2]BASE'!C88)</f>
      </c>
      <c r="D88" s="907">
        <f>IF('[2]BASE'!D88=0,"",'[2]BASE'!D88)</f>
      </c>
      <c r="E88" s="907">
        <f>IF('[2]BASE'!E88=0,"",'[2]BASE'!E88)</f>
      </c>
      <c r="F88" s="908">
        <f>IF('[2]BASE'!F88=0,"",'[2]BASE'!F88)</f>
      </c>
      <c r="G88" s="908">
        <f>IF('[2]BASE'!G88=0,"",'[2]BASE'!G88)</f>
      </c>
      <c r="H88" s="905">
        <f>IF('[2]BASE'!GA88=0,"",'[2]BASE'!GA88)</f>
      </c>
      <c r="I88" s="905">
        <f>IF('[2]BASE'!GB88=0,"",'[2]BASE'!GB88)</f>
      </c>
      <c r="J88" s="905">
        <f>IF('[2]BASE'!GC88=0,"",'[2]BASE'!GC88)</f>
      </c>
      <c r="K88" s="905">
        <f>IF('[2]BASE'!GD88=0,"",'[2]BASE'!GD88)</f>
      </c>
      <c r="L88" s="905">
        <f>IF('[2]BASE'!GE88=0,"",'[2]BASE'!GE88)</f>
      </c>
      <c r="M88" s="905">
        <f>IF('[2]BASE'!GF88=0,"",'[2]BASE'!GF88)</f>
      </c>
      <c r="N88" s="905">
        <f>IF('[2]BASE'!GG88=0,"",'[2]BASE'!GG88)</f>
      </c>
      <c r="O88" s="905">
        <f>IF('[2]BASE'!GH88=0,"",'[2]BASE'!GH88)</f>
      </c>
      <c r="P88" s="905">
        <f>IF('[2]BASE'!GI88=0,"",'[2]BASE'!GI88)</f>
      </c>
      <c r="Q88" s="905">
        <f>IF('[2]BASE'!GJ88=0,"",'[2]BASE'!GJ88)</f>
      </c>
      <c r="R88" s="905">
        <f>IF('[2]BASE'!GK88=0,"",'[2]BASE'!GK88)</f>
      </c>
      <c r="S88" s="905">
        <f>IF('[2]BASE'!GL88=0,"",'[2]BASE'!GL88)</f>
      </c>
      <c r="T88" s="906"/>
      <c r="U88" s="902"/>
    </row>
    <row r="89" spans="2:21" s="896" customFormat="1" ht="19.5" customHeight="1">
      <c r="B89" s="897"/>
      <c r="C89" s="909">
        <f>IF('[2]BASE'!C89=0,"",'[2]BASE'!C89)</f>
        <v>68</v>
      </c>
      <c r="D89" s="909" t="str">
        <f>IF('[2]BASE'!D89=0,"",'[2]BASE'!D89)</f>
        <v>RINCON - SALTO GRANDE</v>
      </c>
      <c r="E89" s="909">
        <f>IF('[2]BASE'!E89=0,"",'[2]BASE'!E89)</f>
        <v>500</v>
      </c>
      <c r="F89" s="910">
        <f>IF('[2]BASE'!F89=0,"",'[2]BASE'!F89)</f>
        <v>506</v>
      </c>
      <c r="G89" s="910" t="str">
        <f>IF('[2]BASE'!G89=0,"",'[2]BASE'!G89)</f>
        <v>A</v>
      </c>
      <c r="H89" s="905">
        <f>IF('[2]BASE'!GA89=0,"",'[2]BASE'!GA89)</f>
      </c>
      <c r="I89" s="905">
        <f>IF('[2]BASE'!GB89=0,"",'[2]BASE'!GB89)</f>
      </c>
      <c r="J89" s="905">
        <f>IF('[2]BASE'!GC89=0,"",'[2]BASE'!GC89)</f>
      </c>
      <c r="K89" s="905">
        <f>IF('[2]BASE'!GD89=0,"",'[2]BASE'!GD89)</f>
      </c>
      <c r="L89" s="905">
        <f>IF('[2]BASE'!GE89=0,"",'[2]BASE'!GE89)</f>
      </c>
      <c r="M89" s="905">
        <f>IF('[2]BASE'!GF89=0,"",'[2]BASE'!GF89)</f>
      </c>
      <c r="N89" s="905">
        <f>IF('[2]BASE'!GG89=0,"",'[2]BASE'!GG89)</f>
      </c>
      <c r="O89" s="905">
        <f>IF('[2]BASE'!GH89=0,"",'[2]BASE'!GH89)</f>
      </c>
      <c r="P89" s="905">
        <f>IF('[2]BASE'!GI89=0,"",'[2]BASE'!GI89)</f>
      </c>
      <c r="Q89" s="905">
        <f>IF('[2]BASE'!GJ89=0,"",'[2]BASE'!GJ89)</f>
      </c>
      <c r="R89" s="905">
        <f>IF('[2]BASE'!GK89=0,"",'[2]BASE'!GK89)</f>
      </c>
      <c r="S89" s="905">
        <f>IF('[2]BASE'!GL89=0,"",'[2]BASE'!GL89)</f>
      </c>
      <c r="T89" s="906"/>
      <c r="U89" s="902"/>
    </row>
    <row r="90" spans="2:21" s="896" customFormat="1" ht="19.5" customHeight="1">
      <c r="B90" s="897"/>
      <c r="C90" s="907">
        <f>IF('[2]BASE'!C90=0,"",'[2]BASE'!C90)</f>
        <v>69</v>
      </c>
      <c r="D90" s="907" t="str">
        <f>IF('[2]BASE'!D90=0,"",'[2]BASE'!D90)</f>
        <v>RINCON - SAN ISIDRO</v>
      </c>
      <c r="E90" s="907">
        <f>IF('[2]BASE'!E90=0,"",'[2]BASE'!E90)</f>
        <v>500</v>
      </c>
      <c r="F90" s="908">
        <f>IF('[2]BASE'!F90=0,"",'[2]BASE'!F90)</f>
        <v>85</v>
      </c>
      <c r="G90" s="908" t="str">
        <f>IF('[2]BASE'!G90=0,"",'[2]BASE'!G90)</f>
        <v>C</v>
      </c>
      <c r="H90" s="905">
        <f>IF('[2]BASE'!GA90=0,"",'[2]BASE'!GA90)</f>
      </c>
      <c r="I90" s="905">
        <f>IF('[2]BASE'!GB90=0,"",'[2]BASE'!GB90)</f>
      </c>
      <c r="J90" s="905">
        <f>IF('[2]BASE'!GC90=0,"",'[2]BASE'!GC90)</f>
      </c>
      <c r="K90" s="905">
        <f>IF('[2]BASE'!GD90=0,"",'[2]BASE'!GD90)</f>
      </c>
      <c r="L90" s="905">
        <f>IF('[2]BASE'!GE90=0,"",'[2]BASE'!GE90)</f>
      </c>
      <c r="M90" s="905">
        <f>IF('[2]BASE'!GF90=0,"",'[2]BASE'!GF90)</f>
      </c>
      <c r="N90" s="905">
        <f>IF('[2]BASE'!GG90=0,"",'[2]BASE'!GG90)</f>
      </c>
      <c r="O90" s="905">
        <f>IF('[2]BASE'!GH90=0,"",'[2]BASE'!GH90)</f>
      </c>
      <c r="P90" s="905">
        <f>IF('[2]BASE'!GI90=0,"",'[2]BASE'!GI90)</f>
      </c>
      <c r="Q90" s="905">
        <f>IF('[2]BASE'!GJ90=0,"",'[2]BASE'!GJ90)</f>
      </c>
      <c r="R90" s="905">
        <f>IF('[2]BASE'!GK90=0,"",'[2]BASE'!GK90)</f>
      </c>
      <c r="S90" s="905">
        <f>IF('[2]BASE'!GL90=0,"",'[2]BASE'!GL90)</f>
      </c>
      <c r="T90" s="906"/>
      <c r="U90" s="902"/>
    </row>
    <row r="91" spans="2:21" s="896" customFormat="1" ht="9.75" customHeight="1">
      <c r="B91" s="897"/>
      <c r="C91" s="909">
        <f>IF('[2]BASE'!C91=0,"",'[2]BASE'!C91)</f>
      </c>
      <c r="D91" s="909">
        <f>IF('[2]BASE'!D91=0,"",'[2]BASE'!D91)</f>
      </c>
      <c r="E91" s="909">
        <f>IF('[2]BASE'!E91=0,"",'[2]BASE'!E91)</f>
      </c>
      <c r="F91" s="909">
        <f>IF('[2]BASE'!F91=0,"",'[2]BASE'!F91)</f>
      </c>
      <c r="G91" s="910">
        <f>IF('[2]BASE'!G91=0,"",'[2]BASE'!G91)</f>
      </c>
      <c r="H91" s="905">
        <f>IF('[2]BASE'!GA91=0,"",'[2]BASE'!GA91)</f>
      </c>
      <c r="I91" s="905">
        <f>IF('[2]BASE'!GB91=0,"",'[2]BASE'!GB91)</f>
      </c>
      <c r="J91" s="905">
        <f>IF('[2]BASE'!GC91=0,"",'[2]BASE'!GC91)</f>
      </c>
      <c r="K91" s="905">
        <f>IF('[2]BASE'!GD91=0,"",'[2]BASE'!GD91)</f>
      </c>
      <c r="L91" s="905">
        <f>IF('[2]BASE'!GE91=0,"",'[2]BASE'!GE91)</f>
      </c>
      <c r="M91" s="905">
        <f>IF('[2]BASE'!GF91=0,"",'[2]BASE'!GF91)</f>
      </c>
      <c r="N91" s="905">
        <f>IF('[2]BASE'!GG91=0,"",'[2]BASE'!GG91)</f>
      </c>
      <c r="O91" s="905">
        <f>IF('[2]BASE'!GH91=0,"",'[2]BASE'!GH91)</f>
      </c>
      <c r="P91" s="905">
        <f>IF('[2]BASE'!GI91=0,"",'[2]BASE'!GI91)</f>
      </c>
      <c r="Q91" s="905">
        <f>IF('[2]BASE'!GJ91=0,"",'[2]BASE'!GJ91)</f>
      </c>
      <c r="R91" s="905">
        <f>IF('[2]BASE'!GK91=0,"",'[2]BASE'!GK91)</f>
      </c>
      <c r="S91" s="905">
        <f>IF('[2]BASE'!GL91=0,"",'[2]BASE'!GL91)</f>
      </c>
      <c r="T91" s="906"/>
      <c r="U91" s="902"/>
    </row>
    <row r="92" spans="2:21" s="896" customFormat="1" ht="9.75" customHeight="1" thickBot="1">
      <c r="B92" s="897"/>
      <c r="C92" s="911"/>
      <c r="D92" s="911"/>
      <c r="E92" s="911"/>
      <c r="F92" s="911"/>
      <c r="G92" s="912"/>
      <c r="H92" s="913"/>
      <c r="I92" s="913"/>
      <c r="J92" s="913"/>
      <c r="K92" s="913"/>
      <c r="L92" s="913"/>
      <c r="M92" s="913"/>
      <c r="N92" s="913"/>
      <c r="O92" s="913"/>
      <c r="P92" s="913"/>
      <c r="Q92" s="913"/>
      <c r="R92" s="913"/>
      <c r="S92" s="913"/>
      <c r="T92" s="906"/>
      <c r="U92" s="902"/>
    </row>
    <row r="93" spans="2:21" s="896" customFormat="1" ht="19.5" customHeight="1" thickBot="1" thickTop="1">
      <c r="B93" s="897"/>
      <c r="C93" s="914"/>
      <c r="D93" s="915"/>
      <c r="E93" s="916" t="s">
        <v>274</v>
      </c>
      <c r="F93" s="917">
        <f>SUM(F16:F92)-F46-F57-F78-F79-F87</f>
        <v>9666.7</v>
      </c>
      <c r="G93" s="918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19"/>
      <c r="T93" s="906"/>
      <c r="U93" s="902"/>
    </row>
    <row r="94" spans="2:21" s="896" customFormat="1" ht="19.5" customHeight="1" thickBot="1" thickTop="1">
      <c r="B94" s="897"/>
      <c r="C94" s="920"/>
      <c r="D94" s="921"/>
      <c r="E94" s="922"/>
      <c r="F94" s="923" t="s">
        <v>275</v>
      </c>
      <c r="H94" s="924">
        <f aca="true" t="shared" si="0" ref="H94:S94">SUM(H17:H92)</f>
        <v>5</v>
      </c>
      <c r="I94" s="924">
        <f t="shared" si="0"/>
        <v>6</v>
      </c>
      <c r="J94" s="924">
        <f t="shared" si="0"/>
        <v>6</v>
      </c>
      <c r="K94" s="924">
        <f t="shared" si="0"/>
        <v>6</v>
      </c>
      <c r="L94" s="924">
        <f t="shared" si="0"/>
        <v>9</v>
      </c>
      <c r="M94" s="924">
        <f t="shared" si="0"/>
        <v>2</v>
      </c>
      <c r="N94" s="924">
        <f t="shared" si="0"/>
        <v>1</v>
      </c>
      <c r="O94" s="924">
        <f t="shared" si="0"/>
        <v>5</v>
      </c>
      <c r="P94" s="924">
        <f t="shared" si="0"/>
        <v>2</v>
      </c>
      <c r="Q94" s="924">
        <f t="shared" si="0"/>
        <v>4</v>
      </c>
      <c r="R94" s="924">
        <f t="shared" si="0"/>
        <v>2</v>
      </c>
      <c r="S94" s="924">
        <f t="shared" si="0"/>
        <v>6</v>
      </c>
      <c r="T94" s="906"/>
      <c r="U94" s="902"/>
    </row>
    <row r="95" spans="2:21" s="896" customFormat="1" ht="19.5" customHeight="1" thickBot="1" thickTop="1">
      <c r="B95" s="897"/>
      <c r="E95" s="922"/>
      <c r="F95" s="923" t="s">
        <v>276</v>
      </c>
      <c r="H95" s="925">
        <f>'[2]BASE'!GA100</f>
        <v>0.35</v>
      </c>
      <c r="I95" s="925">
        <f>'[2]BASE'!GB100</f>
        <v>0.35</v>
      </c>
      <c r="J95" s="925">
        <f>'[2]BASE'!GC100</f>
        <v>0.37</v>
      </c>
      <c r="K95" s="925">
        <f>'[2]BASE'!GD100</f>
        <v>0.43</v>
      </c>
      <c r="L95" s="925">
        <f>'[2]BASE'!GE100</f>
        <v>0.46</v>
      </c>
      <c r="M95" s="925">
        <f>'[2]BASE'!GF100</f>
        <v>0.51</v>
      </c>
      <c r="N95" s="925">
        <f>'[2]BASE'!GG100</f>
        <v>0.5</v>
      </c>
      <c r="O95" s="925">
        <f>'[2]BASE'!GH100</f>
        <v>0.5</v>
      </c>
      <c r="P95" s="925">
        <f>'[2]BASE'!GI100</f>
        <v>0.53</v>
      </c>
      <c r="Q95" s="925">
        <f>'[2]BASE'!GJ100</f>
        <v>0.54</v>
      </c>
      <c r="R95" s="925">
        <f>'[2]BASE'!GK100</f>
        <v>0.5</v>
      </c>
      <c r="S95" s="925">
        <f>'[2]BASE'!GL100</f>
        <v>0.5</v>
      </c>
      <c r="T95" s="925">
        <f>'[2]BASE'!GM100</f>
        <v>0.56</v>
      </c>
      <c r="U95" s="902"/>
    </row>
    <row r="96" spans="2:21" s="703" customFormat="1" ht="9.75" customHeight="1" thickBot="1" thickTop="1">
      <c r="B96" s="926"/>
      <c r="C96"/>
      <c r="D96" s="927"/>
      <c r="E96" s="928"/>
      <c r="F96" s="929"/>
      <c r="G96"/>
      <c r="H96" s="930"/>
      <c r="I96" s="930"/>
      <c r="J96" s="930"/>
      <c r="K96" s="930"/>
      <c r="L96" s="930"/>
      <c r="M96" s="930"/>
      <c r="N96" s="930"/>
      <c r="O96" s="930"/>
      <c r="P96" s="930"/>
      <c r="Q96" s="930"/>
      <c r="R96" s="930"/>
      <c r="S96" s="930"/>
      <c r="T96" s="930"/>
      <c r="U96" s="931"/>
    </row>
    <row r="97" spans="2:21" ht="15.75" customHeight="1" thickBot="1">
      <c r="B97" s="50"/>
      <c r="C97" s="932"/>
      <c r="D97" s="15" t="s">
        <v>277</v>
      </c>
      <c r="E97" s="4"/>
      <c r="F97" s="4"/>
      <c r="G97" s="66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50"/>
      <c r="C98" s="66"/>
      <c r="D98" s="4"/>
      <c r="H98" s="933" t="s">
        <v>278</v>
      </c>
      <c r="I98" s="934"/>
      <c r="J98" s="935">
        <f>T95</f>
        <v>0.56</v>
      </c>
      <c r="K98" s="936" t="s">
        <v>279</v>
      </c>
      <c r="L98" s="937"/>
      <c r="M98" s="938"/>
      <c r="N98" s="4"/>
      <c r="O98" s="4"/>
      <c r="P98" s="4"/>
      <c r="Q98" s="4"/>
      <c r="R98" s="4"/>
      <c r="S98" s="4"/>
      <c r="T98" s="4"/>
      <c r="U98" s="6"/>
    </row>
    <row r="99" spans="2:21" s="32" customFormat="1" ht="9.75" customHeight="1" thickBot="1" thickTop="1">
      <c r="B99" s="57"/>
      <c r="C99" s="939"/>
      <c r="D99" s="59"/>
      <c r="E99" s="59"/>
      <c r="F99" s="939"/>
      <c r="G99" s="93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</row>
    <row r="100" spans="3:7" ht="13.5" thickTop="1">
      <c r="C100" s="940"/>
      <c r="F100" s="940"/>
      <c r="G100" s="940"/>
    </row>
    <row r="101" spans="3:194" ht="12.75">
      <c r="C101" s="940"/>
      <c r="D101" s="66"/>
      <c r="E101" s="66"/>
      <c r="F101" s="66"/>
      <c r="G101" s="66"/>
      <c r="H101" s="941"/>
      <c r="I101" s="941"/>
      <c r="J101" s="941"/>
      <c r="K101" s="941"/>
      <c r="L101" s="941"/>
      <c r="M101" s="941"/>
      <c r="N101" s="941"/>
      <c r="O101" s="941"/>
      <c r="P101" s="941"/>
      <c r="Q101" s="941"/>
      <c r="R101" s="941"/>
      <c r="S101" s="941"/>
      <c r="T101" s="941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940"/>
      <c r="D102" s="66"/>
      <c r="E102" s="66"/>
      <c r="F102" s="66"/>
      <c r="G102" s="66"/>
      <c r="H102" s="941"/>
      <c r="I102" s="941"/>
      <c r="J102" s="941"/>
      <c r="K102" s="941"/>
      <c r="L102" s="941"/>
      <c r="M102" s="941"/>
      <c r="N102" s="941"/>
      <c r="O102" s="941"/>
      <c r="P102" s="941"/>
      <c r="Q102" s="941"/>
      <c r="R102" s="941"/>
      <c r="S102" s="941"/>
      <c r="T102" s="941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940"/>
      <c r="D103" s="66"/>
      <c r="E103" s="66"/>
      <c r="F103" s="66"/>
      <c r="G103" s="66"/>
      <c r="H103" s="942"/>
      <c r="I103" s="942"/>
      <c r="J103" s="942"/>
      <c r="K103" s="942"/>
      <c r="L103" s="942"/>
      <c r="M103" s="942"/>
      <c r="N103" s="942"/>
      <c r="O103" s="942"/>
      <c r="P103" s="942"/>
      <c r="Q103" s="942"/>
      <c r="R103" s="942"/>
      <c r="S103" s="942"/>
      <c r="T103" s="942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940"/>
      <c r="D104" s="66"/>
      <c r="E104" s="66"/>
      <c r="F104" s="66"/>
      <c r="G104" s="66"/>
      <c r="H104" s="941"/>
      <c r="I104" s="941"/>
      <c r="J104" s="941"/>
      <c r="K104" s="941"/>
      <c r="L104" s="941"/>
      <c r="M104" s="941"/>
      <c r="N104" s="941"/>
      <c r="O104" s="941"/>
      <c r="P104" s="941"/>
      <c r="Q104" s="941"/>
      <c r="R104" s="941"/>
      <c r="S104" s="941"/>
      <c r="T104" s="941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940"/>
      <c r="D105" s="66"/>
      <c r="E105" s="66"/>
      <c r="F105" s="66"/>
      <c r="G105" s="66"/>
      <c r="H105" s="941"/>
      <c r="I105" s="941"/>
      <c r="J105" s="941"/>
      <c r="K105" s="941"/>
      <c r="L105" s="941"/>
      <c r="M105" s="941"/>
      <c r="N105" s="941"/>
      <c r="O105" s="941"/>
      <c r="P105" s="941"/>
      <c r="Q105" s="941"/>
      <c r="R105" s="941"/>
      <c r="S105" s="941"/>
      <c r="T105" s="941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940"/>
      <c r="D106" s="66"/>
      <c r="E106" s="66"/>
      <c r="F106" s="66"/>
      <c r="G106" s="66"/>
      <c r="H106" s="941"/>
      <c r="I106" s="941"/>
      <c r="J106" s="941"/>
      <c r="K106" s="941"/>
      <c r="L106" s="941"/>
      <c r="M106" s="941"/>
      <c r="N106" s="941"/>
      <c r="O106" s="941"/>
      <c r="P106" s="941"/>
      <c r="Q106" s="941"/>
      <c r="R106" s="941"/>
      <c r="S106" s="941"/>
      <c r="T106" s="941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940"/>
      <c r="D107" s="66"/>
      <c r="E107" s="66"/>
      <c r="F107" s="66"/>
      <c r="G107" s="66"/>
      <c r="H107" s="941"/>
      <c r="I107" s="941"/>
      <c r="J107" s="941"/>
      <c r="K107" s="941"/>
      <c r="L107" s="941"/>
      <c r="M107" s="941"/>
      <c r="N107" s="941"/>
      <c r="O107" s="941"/>
      <c r="P107" s="941"/>
      <c r="Q107" s="941"/>
      <c r="R107" s="941"/>
      <c r="S107" s="941"/>
      <c r="T107" s="941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940"/>
      <c r="D108" s="66"/>
      <c r="E108" s="66"/>
      <c r="F108" s="66"/>
      <c r="G108" s="66"/>
      <c r="H108" s="941"/>
      <c r="I108" s="941"/>
      <c r="J108" s="941"/>
      <c r="K108" s="941"/>
      <c r="L108" s="941"/>
      <c r="M108" s="941"/>
      <c r="N108" s="941"/>
      <c r="O108" s="941"/>
      <c r="P108" s="941"/>
      <c r="Q108" s="941"/>
      <c r="R108" s="941"/>
      <c r="S108" s="941"/>
      <c r="T108" s="941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940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940"/>
      <c r="D110" s="4"/>
      <c r="E110" s="4"/>
      <c r="F110" s="66"/>
      <c r="G110" s="6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940"/>
      <c r="F111" s="940"/>
      <c r="G111" s="940"/>
    </row>
    <row r="112" spans="3:7" ht="12.75">
      <c r="C112" s="940"/>
      <c r="F112" s="940"/>
      <c r="G112" s="940"/>
    </row>
    <row r="113" spans="3:7" ht="12.75">
      <c r="C113" s="940"/>
      <c r="F113" s="940"/>
      <c r="G113" s="940"/>
    </row>
    <row r="114" spans="6:7" ht="12.75">
      <c r="F114" s="940"/>
      <c r="G114" s="940"/>
    </row>
  </sheetData>
  <printOptions horizontalCentered="1"/>
  <pageMargins left="0.3937007874015748" right="0.1968503937007874" top="0.2755905511811024" bottom="0.4330708661417323" header="0.2755905511811024" footer="0.31496062992125984"/>
  <pageSetup fitToHeight="1" fitToWidth="1" horizontalDpi="300" verticalDpi="300" orientation="portrait" paperSize="9" scale="39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5"/>
  <sheetViews>
    <sheetView zoomScale="70" zoomScaleNormal="70" workbookViewId="0" topLeftCell="C1">
      <selection activeCell="G16" sqref="G16:H17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7.8515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1"/>
    </row>
    <row r="2" spans="1:32" s="18" customFormat="1" ht="26.25">
      <c r="A2" s="89"/>
      <c r="B2" s="19" t="str">
        <f>+'TOT-0709'!B2</f>
        <v>ANEXO II al Memorándum D.T.E.E. N°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6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2"/>
    </row>
    <row r="8" spans="2:32" s="29" customFormat="1" ht="20.25">
      <c r="B8" s="79"/>
      <c r="C8" s="30"/>
      <c r="D8" s="30"/>
      <c r="E8" s="30"/>
      <c r="F8" s="167" t="s">
        <v>54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5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5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106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5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'TOT-0709'!B14</f>
        <v>Desde el 01 al 31 de julio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89"/>
      <c r="Q14" s="18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5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0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71</v>
      </c>
      <c r="G16" s="675">
        <v>117.179</v>
      </c>
      <c r="H16" s="19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72</v>
      </c>
      <c r="G17" s="675">
        <v>97.649</v>
      </c>
      <c r="H17" s="191"/>
      <c r="I17" s="4"/>
      <c r="J17" s="4"/>
      <c r="K17" s="4"/>
      <c r="L17" s="192"/>
      <c r="M17" s="193"/>
      <c r="N17" s="4"/>
      <c r="O17" s="4"/>
      <c r="P17" s="4"/>
      <c r="Q17" s="4"/>
      <c r="R17" s="4"/>
      <c r="S17" s="4"/>
      <c r="T17" s="4"/>
      <c r="U17" s="4"/>
      <c r="V17" s="4"/>
      <c r="W17" s="4"/>
      <c r="X17" s="113"/>
      <c r="Y17" s="113"/>
      <c r="Z17" s="113"/>
      <c r="AA17" s="113"/>
      <c r="AB17" s="113"/>
      <c r="AC17" s="113"/>
      <c r="AD17" s="113"/>
      <c r="AF17" s="17"/>
    </row>
    <row r="18" spans="2:32" s="5" customFormat="1" ht="16.5" customHeight="1" thickBot="1" thickTop="1">
      <c r="B18" s="50"/>
      <c r="C18" s="726">
        <v>3</v>
      </c>
      <c r="D18" s="726">
        <v>4</v>
      </c>
      <c r="E18" s="726">
        <v>5</v>
      </c>
      <c r="F18" s="726">
        <v>6</v>
      </c>
      <c r="G18" s="726">
        <v>7</v>
      </c>
      <c r="H18" s="726">
        <v>8</v>
      </c>
      <c r="I18" s="726">
        <v>9</v>
      </c>
      <c r="J18" s="726">
        <v>10</v>
      </c>
      <c r="K18" s="726">
        <v>11</v>
      </c>
      <c r="L18" s="726">
        <v>12</v>
      </c>
      <c r="M18" s="726">
        <v>13</v>
      </c>
      <c r="N18" s="726">
        <v>14</v>
      </c>
      <c r="O18" s="726">
        <v>15</v>
      </c>
      <c r="P18" s="726">
        <v>16</v>
      </c>
      <c r="Q18" s="726">
        <v>17</v>
      </c>
      <c r="R18" s="726">
        <v>18</v>
      </c>
      <c r="S18" s="726">
        <v>19</v>
      </c>
      <c r="T18" s="726">
        <v>20</v>
      </c>
      <c r="U18" s="726">
        <v>21</v>
      </c>
      <c r="V18" s="726">
        <v>22</v>
      </c>
      <c r="W18" s="726">
        <v>23</v>
      </c>
      <c r="X18" s="726">
        <v>24</v>
      </c>
      <c r="Y18" s="726">
        <v>25</v>
      </c>
      <c r="Z18" s="726">
        <v>26</v>
      </c>
      <c r="AA18" s="726">
        <v>27</v>
      </c>
      <c r="AB18" s="726">
        <v>28</v>
      </c>
      <c r="AC18" s="726">
        <v>29</v>
      </c>
      <c r="AD18" s="726">
        <v>30</v>
      </c>
      <c r="AE18" s="726">
        <v>31</v>
      </c>
      <c r="AF18" s="17"/>
    </row>
    <row r="19" spans="2:32" s="5" customFormat="1" ht="33.75" customHeight="1" thickBot="1" thickTop="1">
      <c r="B19" s="50"/>
      <c r="C19" s="84" t="s">
        <v>12</v>
      </c>
      <c r="D19" s="84" t="s">
        <v>128</v>
      </c>
      <c r="E19" s="84" t="s">
        <v>129</v>
      </c>
      <c r="F19" s="85" t="s">
        <v>0</v>
      </c>
      <c r="G19" s="609" t="s">
        <v>13</v>
      </c>
      <c r="H19" s="86" t="s">
        <v>14</v>
      </c>
      <c r="I19" s="195" t="s">
        <v>56</v>
      </c>
      <c r="J19" s="610" t="s">
        <v>35</v>
      </c>
      <c r="K19" s="611" t="s">
        <v>15</v>
      </c>
      <c r="L19" s="85" t="s">
        <v>16</v>
      </c>
      <c r="M19" s="171" t="s">
        <v>17</v>
      </c>
      <c r="N19" s="87" t="s">
        <v>34</v>
      </c>
      <c r="O19" s="86" t="s">
        <v>29</v>
      </c>
      <c r="P19" s="87" t="s">
        <v>18</v>
      </c>
      <c r="Q19" s="86" t="s">
        <v>44</v>
      </c>
      <c r="R19" s="171" t="s">
        <v>45</v>
      </c>
      <c r="S19" s="85" t="s">
        <v>30</v>
      </c>
      <c r="T19" s="134" t="s">
        <v>19</v>
      </c>
      <c r="U19" s="612" t="s">
        <v>20</v>
      </c>
      <c r="V19" s="196" t="s">
        <v>46</v>
      </c>
      <c r="W19" s="197"/>
      <c r="X19" s="198"/>
      <c r="Y19" s="613" t="s">
        <v>107</v>
      </c>
      <c r="Z19" s="614"/>
      <c r="AA19" s="615"/>
      <c r="AB19" s="199" t="s">
        <v>21</v>
      </c>
      <c r="AC19" s="200" t="s">
        <v>57</v>
      </c>
      <c r="AD19" s="130" t="s">
        <v>58</v>
      </c>
      <c r="AE19" s="130" t="s">
        <v>22</v>
      </c>
      <c r="AF19" s="201"/>
    </row>
    <row r="20" spans="2:32" s="5" customFormat="1" ht="16.5" customHeight="1" thickTop="1">
      <c r="B20" s="50"/>
      <c r="C20" s="173"/>
      <c r="D20" s="173"/>
      <c r="E20" s="173"/>
      <c r="F20" s="658"/>
      <c r="G20" s="658"/>
      <c r="H20" s="676"/>
      <c r="I20" s="657"/>
      <c r="J20" s="659"/>
      <c r="K20" s="660"/>
      <c r="L20" s="671"/>
      <c r="M20" s="671"/>
      <c r="N20" s="657"/>
      <c r="O20" s="657"/>
      <c r="P20" s="657"/>
      <c r="Q20" s="657"/>
      <c r="R20" s="657"/>
      <c r="S20" s="657"/>
      <c r="T20" s="661"/>
      <c r="U20" s="662"/>
      <c r="V20" s="663"/>
      <c r="W20" s="664"/>
      <c r="X20" s="665"/>
      <c r="Y20" s="666"/>
      <c r="Z20" s="667"/>
      <c r="AA20" s="668"/>
      <c r="AB20" s="669"/>
      <c r="AC20" s="670"/>
      <c r="AD20" s="657"/>
      <c r="AE20" s="616"/>
      <c r="AF20" s="17"/>
    </row>
    <row r="21" spans="2:32" s="5" customFormat="1" ht="16.5" customHeight="1">
      <c r="B21" s="50"/>
      <c r="C21" s="262"/>
      <c r="D21" s="262"/>
      <c r="E21" s="262"/>
      <c r="F21" s="174"/>
      <c r="G21" s="7"/>
      <c r="H21" s="677"/>
      <c r="I21" s="174"/>
      <c r="J21" s="617"/>
      <c r="K21" s="618"/>
      <c r="L21" s="202"/>
      <c r="M21" s="113"/>
      <c r="N21" s="174"/>
      <c r="O21" s="174"/>
      <c r="P21" s="175"/>
      <c r="Q21" s="174"/>
      <c r="R21" s="174"/>
      <c r="S21" s="174"/>
      <c r="T21" s="619"/>
      <c r="U21" s="620"/>
      <c r="V21" s="621"/>
      <c r="W21" s="622"/>
      <c r="X21" s="623"/>
      <c r="Y21" s="624"/>
      <c r="Z21" s="625"/>
      <c r="AA21" s="626"/>
      <c r="AB21" s="203"/>
      <c r="AC21" s="204"/>
      <c r="AD21" s="174"/>
      <c r="AE21" s="205"/>
      <c r="AF21" s="17"/>
    </row>
    <row r="22" spans="2:32" s="5" customFormat="1" ht="16.5" customHeight="1">
      <c r="B22" s="50"/>
      <c r="C22" s="149">
        <v>1</v>
      </c>
      <c r="D22" s="149">
        <v>208500</v>
      </c>
      <c r="E22" s="149">
        <v>4733</v>
      </c>
      <c r="F22" s="149" t="s">
        <v>132</v>
      </c>
      <c r="G22" s="176">
        <v>220</v>
      </c>
      <c r="H22" s="678">
        <v>77</v>
      </c>
      <c r="I22" s="176" t="s">
        <v>133</v>
      </c>
      <c r="J22" s="627">
        <f aca="true" t="shared" si="0" ref="J22:J41">IF(I22="A",200,IF(I22="B",60,20))</f>
        <v>20</v>
      </c>
      <c r="K22" s="628">
        <f aca="true" t="shared" si="1" ref="K22:K41">IF(G22=500,IF(H22&lt;100,100*$G$16/100,H22*$G$16/100),IF(H22&lt;100,100*$G$17/100,H22*$G$17/100))</f>
        <v>97.649</v>
      </c>
      <c r="L22" s="629">
        <v>39995.50069444445</v>
      </c>
      <c r="M22" s="630">
        <v>39995.700694444444</v>
      </c>
      <c r="N22" s="179">
        <f aca="true" t="shared" si="2" ref="N22:N41">IF(F22="","",(M22-L22)*24)</f>
        <v>4.799999999930151</v>
      </c>
      <c r="O22" s="180">
        <f aca="true" t="shared" si="3" ref="O22:O41">IF(F22="","",ROUND((M22-L22)*24*60,0))</f>
        <v>288</v>
      </c>
      <c r="P22" s="208" t="s">
        <v>134</v>
      </c>
      <c r="Q22" s="718" t="str">
        <f aca="true" t="shared" si="4" ref="Q22:Q41">IF(F22="","","--")</f>
        <v>--</v>
      </c>
      <c r="R22" s="209" t="str">
        <f aca="true" t="shared" si="5" ref="R22:R41">IF(F22="","","NO")</f>
        <v>NO</v>
      </c>
      <c r="S22" s="209" t="str">
        <f aca="true" t="shared" si="6" ref="S22:S41">IF(F22="","",IF(OR(P22="P",P22="RP"),"--","NO"))</f>
        <v>--</v>
      </c>
      <c r="T22" s="631">
        <f aca="true" t="shared" si="7" ref="T22:T41">IF(P22="P",K22*J22*ROUND(O22/60,2)*0.01,"--")</f>
        <v>93.74304000000001</v>
      </c>
      <c r="U22" s="632" t="str">
        <f aca="true" t="shared" si="8" ref="U22:U41">IF(P22="RP",K22*J22*ROUND(O22/60,2)*0.01*Q22/100,"--")</f>
        <v>--</v>
      </c>
      <c r="V22" s="210" t="str">
        <f aca="true" t="shared" si="9" ref="V22:V41">IF(AND(P22="F",S22="NO"),K22*J22*IF(R22="SI",1.2,1),"--")</f>
        <v>--</v>
      </c>
      <c r="W22" s="211" t="str">
        <f aca="true" t="shared" si="10" ref="W22:W41">IF(AND(P22="F",O22&gt;=10),K22*J22*IF(R22="SI",1.2,1)*IF(O22&lt;=300,ROUND(O22/60,2),5),"--")</f>
        <v>--</v>
      </c>
      <c r="X22" s="212" t="str">
        <f aca="true" t="shared" si="11" ref="X22:X41">IF(AND(P22="F",O22&gt;300),(ROUND(O22/60,2)-5)*K22*J22*0.1*IF(R22="SI",1.2,1),"--")</f>
        <v>--</v>
      </c>
      <c r="Y22" s="633" t="str">
        <f aca="true" t="shared" si="12" ref="Y22:Y41">IF(AND(P22="R",S22="NO"),K22*J22*Q22/100*IF(R22="SI",1.2,1),"--")</f>
        <v>--</v>
      </c>
      <c r="Z22" s="634" t="str">
        <f aca="true" t="shared" si="13" ref="Z22:Z41">IF(AND(P22="R",O22&gt;=10),K22*J22*Q22/100*IF(R22="SI",1.2,1)*IF(O22&lt;=300,ROUND(O22/60,2),5),"--")</f>
        <v>--</v>
      </c>
      <c r="AA22" s="635" t="str">
        <f aca="true" t="shared" si="14" ref="AA22:AA41">IF(AND(P22="R",O22&gt;300),(ROUND(O22/60,2)-5)*K22*J22*0.1*Q22/100*IF(R22="SI",1.2,1),"--")</f>
        <v>--</v>
      </c>
      <c r="AB22" s="213" t="str">
        <f aca="true" t="shared" si="15" ref="AB22:AB41">IF(P22="RF",ROUND(O22/60,2)*K22*J22*0.1*IF(R22="SI",1.2,1),"--")</f>
        <v>--</v>
      </c>
      <c r="AC22" s="214" t="str">
        <f aca="true" t="shared" si="16" ref="AC22:AC41">IF(P22="RR",ROUND(O22/60,2)*K22*J22*0.1*Q22/100*IF(R22="SI",1.2,1),"--")</f>
        <v>--</v>
      </c>
      <c r="AD22" s="719" t="s">
        <v>117</v>
      </c>
      <c r="AE22" s="16">
        <f aca="true" t="shared" si="17" ref="AE22:AE41">IF(F22="","",SUM(T22:AC22)*IF(AD22="SI",1,2))</f>
        <v>93.74304000000001</v>
      </c>
      <c r="AF22" s="636"/>
    </row>
    <row r="23" spans="2:32" s="5" customFormat="1" ht="16.5" customHeight="1">
      <c r="B23" s="50"/>
      <c r="C23" s="262">
        <v>2</v>
      </c>
      <c r="D23" s="262">
        <v>208514</v>
      </c>
      <c r="E23" s="262">
        <v>30</v>
      </c>
      <c r="F23" s="149" t="s">
        <v>135</v>
      </c>
      <c r="G23" s="176">
        <v>500</v>
      </c>
      <c r="H23" s="678">
        <v>4.5</v>
      </c>
      <c r="I23" s="176" t="s">
        <v>133</v>
      </c>
      <c r="J23" s="627">
        <f t="shared" si="0"/>
        <v>20</v>
      </c>
      <c r="K23" s="628">
        <f t="shared" si="1"/>
        <v>117.179</v>
      </c>
      <c r="L23" s="629">
        <v>39998.00763888889</v>
      </c>
      <c r="M23" s="630">
        <v>39999.77291666667</v>
      </c>
      <c r="N23" s="179">
        <f t="shared" si="2"/>
        <v>42.3666666666395</v>
      </c>
      <c r="O23" s="180">
        <f t="shared" si="3"/>
        <v>2542</v>
      </c>
      <c r="P23" s="208" t="s">
        <v>134</v>
      </c>
      <c r="Q23" s="718" t="str">
        <f t="shared" si="4"/>
        <v>--</v>
      </c>
      <c r="R23" s="209" t="str">
        <f t="shared" si="5"/>
        <v>NO</v>
      </c>
      <c r="S23" s="209" t="str">
        <f t="shared" si="6"/>
        <v>--</v>
      </c>
      <c r="T23" s="631">
        <f t="shared" si="7"/>
        <v>992.974846</v>
      </c>
      <c r="U23" s="632" t="str">
        <f t="shared" si="8"/>
        <v>--</v>
      </c>
      <c r="V23" s="210" t="str">
        <f t="shared" si="9"/>
        <v>--</v>
      </c>
      <c r="W23" s="211" t="str">
        <f t="shared" si="10"/>
        <v>--</v>
      </c>
      <c r="X23" s="212" t="str">
        <f t="shared" si="11"/>
        <v>--</v>
      </c>
      <c r="Y23" s="633" t="str">
        <f t="shared" si="12"/>
        <v>--</v>
      </c>
      <c r="Z23" s="634" t="str">
        <f t="shared" si="13"/>
        <v>--</v>
      </c>
      <c r="AA23" s="635" t="str">
        <f t="shared" si="14"/>
        <v>--</v>
      </c>
      <c r="AB23" s="213" t="str">
        <f t="shared" si="15"/>
        <v>--</v>
      </c>
      <c r="AC23" s="214" t="str">
        <f t="shared" si="16"/>
        <v>--</v>
      </c>
      <c r="AD23" s="719" t="s">
        <v>117</v>
      </c>
      <c r="AE23" s="16">
        <f t="shared" si="17"/>
        <v>992.974846</v>
      </c>
      <c r="AF23" s="636"/>
    </row>
    <row r="24" spans="2:32" s="5" customFormat="1" ht="16.5" customHeight="1">
      <c r="B24" s="50"/>
      <c r="C24" s="149">
        <v>3</v>
      </c>
      <c r="D24" s="149">
        <v>208650</v>
      </c>
      <c r="E24" s="149">
        <v>50</v>
      </c>
      <c r="F24" s="637" t="s">
        <v>136</v>
      </c>
      <c r="G24" s="638">
        <v>220</v>
      </c>
      <c r="H24" s="679">
        <v>114</v>
      </c>
      <c r="I24" s="638" t="s">
        <v>133</v>
      </c>
      <c r="J24" s="627">
        <f t="shared" si="0"/>
        <v>20</v>
      </c>
      <c r="K24" s="628">
        <f t="shared" si="1"/>
        <v>111.31986</v>
      </c>
      <c r="L24" s="639">
        <v>40003.53958333333</v>
      </c>
      <c r="M24" s="640">
        <v>40003.58819444444</v>
      </c>
      <c r="N24" s="179">
        <f t="shared" si="2"/>
        <v>1.1666666666278616</v>
      </c>
      <c r="O24" s="180">
        <f t="shared" si="3"/>
        <v>70</v>
      </c>
      <c r="P24" s="208" t="s">
        <v>137</v>
      </c>
      <c r="Q24" s="718" t="str">
        <f t="shared" si="4"/>
        <v>--</v>
      </c>
      <c r="R24" s="209" t="str">
        <f t="shared" si="5"/>
        <v>NO</v>
      </c>
      <c r="S24" s="209" t="str">
        <f t="shared" si="6"/>
        <v>NO</v>
      </c>
      <c r="T24" s="631" t="str">
        <f t="shared" si="7"/>
        <v>--</v>
      </c>
      <c r="U24" s="632" t="str">
        <f t="shared" si="8"/>
        <v>--</v>
      </c>
      <c r="V24" s="210">
        <f t="shared" si="9"/>
        <v>2226.3972000000003</v>
      </c>
      <c r="W24" s="211">
        <f t="shared" si="10"/>
        <v>2604.8847240000005</v>
      </c>
      <c r="X24" s="212" t="str">
        <f t="shared" si="11"/>
        <v>--</v>
      </c>
      <c r="Y24" s="633" t="str">
        <f t="shared" si="12"/>
        <v>--</v>
      </c>
      <c r="Z24" s="634" t="str">
        <f t="shared" si="13"/>
        <v>--</v>
      </c>
      <c r="AA24" s="635" t="str">
        <f t="shared" si="14"/>
        <v>--</v>
      </c>
      <c r="AB24" s="213" t="str">
        <f t="shared" si="15"/>
        <v>--</v>
      </c>
      <c r="AC24" s="214" t="str">
        <f t="shared" si="16"/>
        <v>--</v>
      </c>
      <c r="AD24" s="719" t="s">
        <v>117</v>
      </c>
      <c r="AE24" s="16">
        <f t="shared" si="17"/>
        <v>4831.281924000001</v>
      </c>
      <c r="AF24" s="636"/>
    </row>
    <row r="25" spans="2:32" s="5" customFormat="1" ht="16.5" customHeight="1">
      <c r="B25" s="50"/>
      <c r="C25" s="262">
        <v>4</v>
      </c>
      <c r="D25" s="262">
        <v>208652</v>
      </c>
      <c r="E25" s="262">
        <v>53</v>
      </c>
      <c r="F25" s="637" t="s">
        <v>138</v>
      </c>
      <c r="G25" s="638">
        <v>220</v>
      </c>
      <c r="H25" s="679">
        <v>26</v>
      </c>
      <c r="I25" s="638" t="s">
        <v>133</v>
      </c>
      <c r="J25" s="627">
        <f t="shared" si="0"/>
        <v>20</v>
      </c>
      <c r="K25" s="628">
        <f t="shared" si="1"/>
        <v>97.649</v>
      </c>
      <c r="L25" s="639">
        <v>40005.48541666667</v>
      </c>
      <c r="M25" s="640">
        <v>40005.52291666667</v>
      </c>
      <c r="N25" s="179">
        <f t="shared" si="2"/>
        <v>0.8999999999650754</v>
      </c>
      <c r="O25" s="180">
        <f t="shared" si="3"/>
        <v>54</v>
      </c>
      <c r="P25" s="208" t="s">
        <v>137</v>
      </c>
      <c r="Q25" s="718" t="str">
        <f t="shared" si="4"/>
        <v>--</v>
      </c>
      <c r="R25" s="209" t="str">
        <f t="shared" si="5"/>
        <v>NO</v>
      </c>
      <c r="S25" s="209" t="str">
        <f t="shared" si="6"/>
        <v>NO</v>
      </c>
      <c r="T25" s="631" t="str">
        <f t="shared" si="7"/>
        <v>--</v>
      </c>
      <c r="U25" s="632" t="str">
        <f t="shared" si="8"/>
        <v>--</v>
      </c>
      <c r="V25" s="210">
        <f t="shared" si="9"/>
        <v>1952.98</v>
      </c>
      <c r="W25" s="211">
        <f t="shared" si="10"/>
        <v>1757.682</v>
      </c>
      <c r="X25" s="212" t="str">
        <f t="shared" si="11"/>
        <v>--</v>
      </c>
      <c r="Y25" s="633" t="str">
        <f t="shared" si="12"/>
        <v>--</v>
      </c>
      <c r="Z25" s="634" t="str">
        <f t="shared" si="13"/>
        <v>--</v>
      </c>
      <c r="AA25" s="635" t="str">
        <f t="shared" si="14"/>
        <v>--</v>
      </c>
      <c r="AB25" s="213" t="str">
        <f t="shared" si="15"/>
        <v>--</v>
      </c>
      <c r="AC25" s="214" t="str">
        <f t="shared" si="16"/>
        <v>--</v>
      </c>
      <c r="AD25" s="719" t="s">
        <v>117</v>
      </c>
      <c r="AE25" s="16">
        <f t="shared" si="17"/>
        <v>3710.6620000000003</v>
      </c>
      <c r="AF25" s="636"/>
    </row>
    <row r="26" spans="2:32" s="5" customFormat="1" ht="16.5" customHeight="1">
      <c r="B26" s="50"/>
      <c r="C26" s="149">
        <v>5</v>
      </c>
      <c r="D26" s="149">
        <v>208653</v>
      </c>
      <c r="E26" s="149">
        <v>3802</v>
      </c>
      <c r="F26" s="149" t="s">
        <v>139</v>
      </c>
      <c r="G26" s="176">
        <v>500</v>
      </c>
      <c r="H26" s="678">
        <v>194</v>
      </c>
      <c r="I26" s="176" t="s">
        <v>140</v>
      </c>
      <c r="J26" s="627">
        <f t="shared" si="0"/>
        <v>200</v>
      </c>
      <c r="K26" s="628">
        <f t="shared" si="1"/>
        <v>227.32726</v>
      </c>
      <c r="L26" s="629">
        <v>40006.35972222222</v>
      </c>
      <c r="M26" s="630">
        <v>40006.75763888889</v>
      </c>
      <c r="N26" s="179">
        <f t="shared" si="2"/>
        <v>9.550000000046566</v>
      </c>
      <c r="O26" s="180">
        <f t="shared" si="3"/>
        <v>573</v>
      </c>
      <c r="P26" s="208" t="s">
        <v>134</v>
      </c>
      <c r="Q26" s="718" t="str">
        <f t="shared" si="4"/>
        <v>--</v>
      </c>
      <c r="R26" s="209" t="str">
        <f t="shared" si="5"/>
        <v>NO</v>
      </c>
      <c r="S26" s="209" t="str">
        <f t="shared" si="6"/>
        <v>--</v>
      </c>
      <c r="T26" s="631">
        <f t="shared" si="7"/>
        <v>4341.950666000001</v>
      </c>
      <c r="U26" s="632" t="str">
        <f t="shared" si="8"/>
        <v>--</v>
      </c>
      <c r="V26" s="210" t="str">
        <f t="shared" si="9"/>
        <v>--</v>
      </c>
      <c r="W26" s="211" t="str">
        <f t="shared" si="10"/>
        <v>--</v>
      </c>
      <c r="X26" s="212" t="str">
        <f t="shared" si="11"/>
        <v>--</v>
      </c>
      <c r="Y26" s="633" t="str">
        <f t="shared" si="12"/>
        <v>--</v>
      </c>
      <c r="Z26" s="634" t="str">
        <f t="shared" si="13"/>
        <v>--</v>
      </c>
      <c r="AA26" s="635" t="str">
        <f t="shared" si="14"/>
        <v>--</v>
      </c>
      <c r="AB26" s="213" t="str">
        <f t="shared" si="15"/>
        <v>--</v>
      </c>
      <c r="AC26" s="214" t="str">
        <f t="shared" si="16"/>
        <v>--</v>
      </c>
      <c r="AD26" s="719" t="s">
        <v>117</v>
      </c>
      <c r="AE26" s="16">
        <f t="shared" si="17"/>
        <v>4341.950666000001</v>
      </c>
      <c r="AF26" s="636"/>
    </row>
    <row r="27" spans="2:32" s="5" customFormat="1" ht="16.5" customHeight="1">
      <c r="B27" s="50"/>
      <c r="C27" s="262">
        <v>6</v>
      </c>
      <c r="D27" s="262">
        <v>208909</v>
      </c>
      <c r="E27" s="262">
        <v>51</v>
      </c>
      <c r="F27" s="149" t="s">
        <v>141</v>
      </c>
      <c r="G27" s="176">
        <v>220</v>
      </c>
      <c r="H27" s="678">
        <v>61</v>
      </c>
      <c r="I27" s="176" t="s">
        <v>133</v>
      </c>
      <c r="J27" s="627">
        <f t="shared" si="0"/>
        <v>20</v>
      </c>
      <c r="K27" s="628">
        <f t="shared" si="1"/>
        <v>97.649</v>
      </c>
      <c r="L27" s="629">
        <v>40007.41875</v>
      </c>
      <c r="M27" s="630">
        <v>40007.42222222222</v>
      </c>
      <c r="N27" s="179">
        <f t="shared" si="2"/>
        <v>0.0833333334303461</v>
      </c>
      <c r="O27" s="180">
        <f t="shared" si="3"/>
        <v>5</v>
      </c>
      <c r="P27" s="208" t="s">
        <v>137</v>
      </c>
      <c r="Q27" s="718" t="str">
        <f t="shared" si="4"/>
        <v>--</v>
      </c>
      <c r="R27" s="209" t="str">
        <f t="shared" si="5"/>
        <v>NO</v>
      </c>
      <c r="S27" s="209" t="str">
        <f t="shared" si="6"/>
        <v>NO</v>
      </c>
      <c r="T27" s="631" t="str">
        <f t="shared" si="7"/>
        <v>--</v>
      </c>
      <c r="U27" s="632" t="str">
        <f t="shared" si="8"/>
        <v>--</v>
      </c>
      <c r="V27" s="210">
        <f t="shared" si="9"/>
        <v>1952.98</v>
      </c>
      <c r="W27" s="211" t="str">
        <f t="shared" si="10"/>
        <v>--</v>
      </c>
      <c r="X27" s="212" t="str">
        <f t="shared" si="11"/>
        <v>--</v>
      </c>
      <c r="Y27" s="633" t="str">
        <f t="shared" si="12"/>
        <v>--</v>
      </c>
      <c r="Z27" s="634" t="str">
        <f t="shared" si="13"/>
        <v>--</v>
      </c>
      <c r="AA27" s="635" t="str">
        <f t="shared" si="14"/>
        <v>--</v>
      </c>
      <c r="AB27" s="213" t="str">
        <f t="shared" si="15"/>
        <v>--</v>
      </c>
      <c r="AC27" s="214" t="str">
        <f t="shared" si="16"/>
        <v>--</v>
      </c>
      <c r="AD27" s="719" t="s">
        <v>117</v>
      </c>
      <c r="AE27" s="16">
        <f t="shared" si="17"/>
        <v>1952.98</v>
      </c>
      <c r="AF27" s="636"/>
    </row>
    <row r="28" spans="2:32" s="5" customFormat="1" ht="16.5" customHeight="1">
      <c r="B28" s="50"/>
      <c r="C28" s="149">
        <v>7</v>
      </c>
      <c r="D28" s="149">
        <v>208943</v>
      </c>
      <c r="E28" s="149">
        <v>34</v>
      </c>
      <c r="F28" s="143" t="s">
        <v>142</v>
      </c>
      <c r="G28" s="144">
        <v>500</v>
      </c>
      <c r="H28" s="680">
        <v>53</v>
      </c>
      <c r="I28" s="144" t="s">
        <v>133</v>
      </c>
      <c r="J28" s="627">
        <f t="shared" si="0"/>
        <v>20</v>
      </c>
      <c r="K28" s="628">
        <f t="shared" si="1"/>
        <v>117.179</v>
      </c>
      <c r="L28" s="177">
        <v>40012.33541666667</v>
      </c>
      <c r="M28" s="207">
        <v>40012.65069444444</v>
      </c>
      <c r="N28" s="179">
        <f t="shared" si="2"/>
        <v>7.566666666534729</v>
      </c>
      <c r="O28" s="180">
        <f t="shared" si="3"/>
        <v>454</v>
      </c>
      <c r="P28" s="208" t="s">
        <v>134</v>
      </c>
      <c r="Q28" s="718" t="str">
        <f t="shared" si="4"/>
        <v>--</v>
      </c>
      <c r="R28" s="209" t="str">
        <f t="shared" si="5"/>
        <v>NO</v>
      </c>
      <c r="S28" s="209" t="str">
        <f t="shared" si="6"/>
        <v>--</v>
      </c>
      <c r="T28" s="631">
        <f t="shared" si="7"/>
        <v>177.409006</v>
      </c>
      <c r="U28" s="632" t="str">
        <f t="shared" si="8"/>
        <v>--</v>
      </c>
      <c r="V28" s="210" t="str">
        <f t="shared" si="9"/>
        <v>--</v>
      </c>
      <c r="W28" s="211" t="str">
        <f t="shared" si="10"/>
        <v>--</v>
      </c>
      <c r="X28" s="212" t="str">
        <f t="shared" si="11"/>
        <v>--</v>
      </c>
      <c r="Y28" s="633" t="str">
        <f t="shared" si="12"/>
        <v>--</v>
      </c>
      <c r="Z28" s="634" t="str">
        <f t="shared" si="13"/>
        <v>--</v>
      </c>
      <c r="AA28" s="635" t="str">
        <f t="shared" si="14"/>
        <v>--</v>
      </c>
      <c r="AB28" s="213" t="str">
        <f t="shared" si="15"/>
        <v>--</v>
      </c>
      <c r="AC28" s="214" t="str">
        <f t="shared" si="16"/>
        <v>--</v>
      </c>
      <c r="AD28" s="719" t="s">
        <v>117</v>
      </c>
      <c r="AE28" s="16">
        <f t="shared" si="17"/>
        <v>177.409006</v>
      </c>
      <c r="AF28" s="636"/>
    </row>
    <row r="29" spans="2:32" s="5" customFormat="1" ht="16.5" customHeight="1">
      <c r="B29" s="50"/>
      <c r="C29" s="262">
        <v>8</v>
      </c>
      <c r="D29" s="262">
        <v>208944</v>
      </c>
      <c r="E29" s="262">
        <v>4733</v>
      </c>
      <c r="F29" s="143" t="s">
        <v>132</v>
      </c>
      <c r="G29" s="144">
        <v>220</v>
      </c>
      <c r="H29" s="680">
        <v>77</v>
      </c>
      <c r="I29" s="144" t="s">
        <v>133</v>
      </c>
      <c r="J29" s="627">
        <f t="shared" si="0"/>
        <v>20</v>
      </c>
      <c r="K29" s="628">
        <f t="shared" si="1"/>
        <v>97.649</v>
      </c>
      <c r="L29" s="177">
        <v>40012.34583333333</v>
      </c>
      <c r="M29" s="207">
        <v>40012.72638888889</v>
      </c>
      <c r="N29" s="179">
        <f t="shared" si="2"/>
        <v>9.133333333418705</v>
      </c>
      <c r="O29" s="180">
        <f t="shared" si="3"/>
        <v>548</v>
      </c>
      <c r="P29" s="208" t="s">
        <v>134</v>
      </c>
      <c r="Q29" s="718" t="str">
        <f t="shared" si="4"/>
        <v>--</v>
      </c>
      <c r="R29" s="209" t="str">
        <f t="shared" si="5"/>
        <v>NO</v>
      </c>
      <c r="S29" s="209" t="str">
        <f t="shared" si="6"/>
        <v>--</v>
      </c>
      <c r="T29" s="631">
        <f t="shared" si="7"/>
        <v>178.30707400000003</v>
      </c>
      <c r="U29" s="632" t="str">
        <f t="shared" si="8"/>
        <v>--</v>
      </c>
      <c r="V29" s="210" t="str">
        <f t="shared" si="9"/>
        <v>--</v>
      </c>
      <c r="W29" s="211" t="str">
        <f t="shared" si="10"/>
        <v>--</v>
      </c>
      <c r="X29" s="212" t="str">
        <f t="shared" si="11"/>
        <v>--</v>
      </c>
      <c r="Y29" s="633" t="str">
        <f t="shared" si="12"/>
        <v>--</v>
      </c>
      <c r="Z29" s="634" t="str">
        <f t="shared" si="13"/>
        <v>--</v>
      </c>
      <c r="AA29" s="635" t="str">
        <f t="shared" si="14"/>
        <v>--</v>
      </c>
      <c r="AB29" s="213" t="str">
        <f t="shared" si="15"/>
        <v>--</v>
      </c>
      <c r="AC29" s="214" t="str">
        <f t="shared" si="16"/>
        <v>--</v>
      </c>
      <c r="AD29" s="719" t="s">
        <v>117</v>
      </c>
      <c r="AE29" s="16">
        <v>0</v>
      </c>
      <c r="AF29" s="636"/>
    </row>
    <row r="30" spans="2:32" s="5" customFormat="1" ht="16.5" customHeight="1">
      <c r="B30" s="50"/>
      <c r="C30" s="149">
        <v>9</v>
      </c>
      <c r="D30" s="149">
        <v>208946</v>
      </c>
      <c r="E30" s="149">
        <v>28</v>
      </c>
      <c r="F30" s="143" t="s">
        <v>249</v>
      </c>
      <c r="G30" s="144">
        <v>500</v>
      </c>
      <c r="H30" s="680">
        <v>3</v>
      </c>
      <c r="I30" s="144" t="s">
        <v>133</v>
      </c>
      <c r="J30" s="627">
        <f t="shared" si="0"/>
        <v>20</v>
      </c>
      <c r="K30" s="628">
        <f t="shared" si="1"/>
        <v>117.179</v>
      </c>
      <c r="L30" s="177">
        <v>40012.35902777778</v>
      </c>
      <c r="M30" s="207">
        <v>40012.529861111114</v>
      </c>
      <c r="N30" s="179">
        <f t="shared" si="2"/>
        <v>4.100000000093132</v>
      </c>
      <c r="O30" s="180">
        <f t="shared" si="3"/>
        <v>246</v>
      </c>
      <c r="P30" s="208" t="s">
        <v>134</v>
      </c>
      <c r="Q30" s="718" t="str">
        <f t="shared" si="4"/>
        <v>--</v>
      </c>
      <c r="R30" s="209" t="str">
        <f t="shared" si="5"/>
        <v>NO</v>
      </c>
      <c r="S30" s="209" t="str">
        <f t="shared" si="6"/>
        <v>--</v>
      </c>
      <c r="T30" s="631">
        <f t="shared" si="7"/>
        <v>96.08677999999998</v>
      </c>
      <c r="U30" s="632" t="str">
        <f t="shared" si="8"/>
        <v>--</v>
      </c>
      <c r="V30" s="210" t="str">
        <f t="shared" si="9"/>
        <v>--</v>
      </c>
      <c r="W30" s="211" t="str">
        <f t="shared" si="10"/>
        <v>--</v>
      </c>
      <c r="X30" s="212" t="str">
        <f t="shared" si="11"/>
        <v>--</v>
      </c>
      <c r="Y30" s="633" t="str">
        <f t="shared" si="12"/>
        <v>--</v>
      </c>
      <c r="Z30" s="634" t="str">
        <f t="shared" si="13"/>
        <v>--</v>
      </c>
      <c r="AA30" s="635" t="str">
        <f t="shared" si="14"/>
        <v>--</v>
      </c>
      <c r="AB30" s="213" t="str">
        <f t="shared" si="15"/>
        <v>--</v>
      </c>
      <c r="AC30" s="214" t="str">
        <f t="shared" si="16"/>
        <v>--</v>
      </c>
      <c r="AD30" s="719" t="s">
        <v>117</v>
      </c>
      <c r="AE30" s="16">
        <v>0</v>
      </c>
      <c r="AF30" s="636"/>
    </row>
    <row r="31" spans="2:32" s="5" customFormat="1" ht="16.5" customHeight="1">
      <c r="B31" s="50"/>
      <c r="C31" s="262">
        <v>10</v>
      </c>
      <c r="D31" s="262">
        <v>208947</v>
      </c>
      <c r="E31" s="262">
        <v>27</v>
      </c>
      <c r="F31" s="143" t="s">
        <v>143</v>
      </c>
      <c r="G31" s="144">
        <v>500</v>
      </c>
      <c r="H31" s="680">
        <v>3</v>
      </c>
      <c r="I31" s="144" t="s">
        <v>133</v>
      </c>
      <c r="J31" s="627">
        <f t="shared" si="0"/>
        <v>20</v>
      </c>
      <c r="K31" s="628">
        <f t="shared" si="1"/>
        <v>117.179</v>
      </c>
      <c r="L31" s="177">
        <v>40012.56180555555</v>
      </c>
      <c r="M31" s="207">
        <v>40012.683333333334</v>
      </c>
      <c r="N31" s="179">
        <f t="shared" si="2"/>
        <v>2.916666666744277</v>
      </c>
      <c r="O31" s="180">
        <f t="shared" si="3"/>
        <v>175</v>
      </c>
      <c r="P31" s="208" t="s">
        <v>134</v>
      </c>
      <c r="Q31" s="718" t="str">
        <f t="shared" si="4"/>
        <v>--</v>
      </c>
      <c r="R31" s="209" t="str">
        <f t="shared" si="5"/>
        <v>NO</v>
      </c>
      <c r="S31" s="209" t="str">
        <f t="shared" si="6"/>
        <v>--</v>
      </c>
      <c r="T31" s="631">
        <f t="shared" si="7"/>
        <v>68.432536</v>
      </c>
      <c r="U31" s="632" t="str">
        <f t="shared" si="8"/>
        <v>--</v>
      </c>
      <c r="V31" s="210" t="str">
        <f t="shared" si="9"/>
        <v>--</v>
      </c>
      <c r="W31" s="211" t="str">
        <f t="shared" si="10"/>
        <v>--</v>
      </c>
      <c r="X31" s="212" t="str">
        <f t="shared" si="11"/>
        <v>--</v>
      </c>
      <c r="Y31" s="633" t="str">
        <f t="shared" si="12"/>
        <v>--</v>
      </c>
      <c r="Z31" s="634" t="str">
        <f t="shared" si="13"/>
        <v>--</v>
      </c>
      <c r="AA31" s="635" t="str">
        <f t="shared" si="14"/>
        <v>--</v>
      </c>
      <c r="AB31" s="213" t="str">
        <f t="shared" si="15"/>
        <v>--</v>
      </c>
      <c r="AC31" s="214" t="str">
        <f t="shared" si="16"/>
        <v>--</v>
      </c>
      <c r="AD31" s="719" t="s">
        <v>117</v>
      </c>
      <c r="AE31" s="16">
        <v>0</v>
      </c>
      <c r="AF31" s="636"/>
    </row>
    <row r="32" spans="2:32" s="5" customFormat="1" ht="16.5" customHeight="1">
      <c r="B32" s="50"/>
      <c r="C32" s="149">
        <v>11</v>
      </c>
      <c r="D32" s="149">
        <v>208921</v>
      </c>
      <c r="E32" s="149">
        <v>4733</v>
      </c>
      <c r="F32" s="143" t="s">
        <v>132</v>
      </c>
      <c r="G32" s="144">
        <v>220</v>
      </c>
      <c r="H32" s="680">
        <v>77</v>
      </c>
      <c r="I32" s="144" t="s">
        <v>133</v>
      </c>
      <c r="J32" s="627">
        <f t="shared" si="0"/>
        <v>20</v>
      </c>
      <c r="K32" s="628">
        <f t="shared" si="1"/>
        <v>97.649</v>
      </c>
      <c r="L32" s="177">
        <v>40013.217361111114</v>
      </c>
      <c r="M32" s="207">
        <v>40013.62986111111</v>
      </c>
      <c r="N32" s="179">
        <f t="shared" si="2"/>
        <v>9.899999999965075</v>
      </c>
      <c r="O32" s="180">
        <f t="shared" si="3"/>
        <v>594</v>
      </c>
      <c r="P32" s="208" t="s">
        <v>137</v>
      </c>
      <c r="Q32" s="718" t="str">
        <f t="shared" si="4"/>
        <v>--</v>
      </c>
      <c r="R32" s="209" t="str">
        <f t="shared" si="5"/>
        <v>NO</v>
      </c>
      <c r="S32" s="209" t="str">
        <f t="shared" si="6"/>
        <v>NO</v>
      </c>
      <c r="T32" s="631" t="str">
        <f t="shared" si="7"/>
        <v>--</v>
      </c>
      <c r="U32" s="632" t="str">
        <f t="shared" si="8"/>
        <v>--</v>
      </c>
      <c r="V32" s="210">
        <f t="shared" si="9"/>
        <v>1952.98</v>
      </c>
      <c r="W32" s="211">
        <f t="shared" si="10"/>
        <v>9764.9</v>
      </c>
      <c r="X32" s="212">
        <f t="shared" si="11"/>
        <v>956.9602000000001</v>
      </c>
      <c r="Y32" s="633" t="str">
        <f t="shared" si="12"/>
        <v>--</v>
      </c>
      <c r="Z32" s="634" t="str">
        <f t="shared" si="13"/>
        <v>--</v>
      </c>
      <c r="AA32" s="635" t="str">
        <f t="shared" si="14"/>
        <v>--</v>
      </c>
      <c r="AB32" s="213" t="str">
        <f t="shared" si="15"/>
        <v>--</v>
      </c>
      <c r="AC32" s="214" t="str">
        <f t="shared" si="16"/>
        <v>--</v>
      </c>
      <c r="AD32" s="719" t="s">
        <v>117</v>
      </c>
      <c r="AE32" s="16">
        <f t="shared" si="17"/>
        <v>12674.840199999999</v>
      </c>
      <c r="AF32" s="636"/>
    </row>
    <row r="33" spans="2:32" s="5" customFormat="1" ht="16.5" customHeight="1">
      <c r="B33" s="50"/>
      <c r="C33" s="262">
        <v>12</v>
      </c>
      <c r="D33" s="262">
        <v>208922</v>
      </c>
      <c r="E33" s="262">
        <v>31</v>
      </c>
      <c r="F33" s="143" t="s">
        <v>144</v>
      </c>
      <c r="G33" s="144">
        <v>500</v>
      </c>
      <c r="H33" s="680">
        <v>4.5</v>
      </c>
      <c r="I33" s="144" t="s">
        <v>133</v>
      </c>
      <c r="J33" s="627">
        <f t="shared" si="0"/>
        <v>20</v>
      </c>
      <c r="K33" s="628">
        <f t="shared" si="1"/>
        <v>117.179</v>
      </c>
      <c r="L33" s="177">
        <v>40013.34375</v>
      </c>
      <c r="M33" s="178">
        <v>40013.50555555556</v>
      </c>
      <c r="N33" s="179">
        <f t="shared" si="2"/>
        <v>3.8833333334187046</v>
      </c>
      <c r="O33" s="180">
        <f t="shared" si="3"/>
        <v>233</v>
      </c>
      <c r="P33" s="208" t="s">
        <v>134</v>
      </c>
      <c r="Q33" s="718" t="str">
        <f t="shared" si="4"/>
        <v>--</v>
      </c>
      <c r="R33" s="209" t="str">
        <f t="shared" si="5"/>
        <v>NO</v>
      </c>
      <c r="S33" s="209" t="str">
        <f t="shared" si="6"/>
        <v>--</v>
      </c>
      <c r="T33" s="631">
        <f t="shared" si="7"/>
        <v>90.930904</v>
      </c>
      <c r="U33" s="632" t="str">
        <f t="shared" si="8"/>
        <v>--</v>
      </c>
      <c r="V33" s="210" t="str">
        <f t="shared" si="9"/>
        <v>--</v>
      </c>
      <c r="W33" s="211" t="str">
        <f t="shared" si="10"/>
        <v>--</v>
      </c>
      <c r="X33" s="212" t="str">
        <f t="shared" si="11"/>
        <v>--</v>
      </c>
      <c r="Y33" s="633" t="str">
        <f t="shared" si="12"/>
        <v>--</v>
      </c>
      <c r="Z33" s="634" t="str">
        <f t="shared" si="13"/>
        <v>--</v>
      </c>
      <c r="AA33" s="635" t="str">
        <f t="shared" si="14"/>
        <v>--</v>
      </c>
      <c r="AB33" s="213" t="str">
        <f t="shared" si="15"/>
        <v>--</v>
      </c>
      <c r="AC33" s="214" t="str">
        <f t="shared" si="16"/>
        <v>--</v>
      </c>
      <c r="AD33" s="719" t="s">
        <v>117</v>
      </c>
      <c r="AE33" s="16">
        <f t="shared" si="17"/>
        <v>90.930904</v>
      </c>
      <c r="AF33" s="636"/>
    </row>
    <row r="34" spans="2:32" s="5" customFormat="1" ht="16.5" customHeight="1">
      <c r="B34" s="50"/>
      <c r="C34" s="149">
        <v>13</v>
      </c>
      <c r="D34" s="149">
        <v>208923</v>
      </c>
      <c r="E34" s="149">
        <v>24</v>
      </c>
      <c r="F34" s="143" t="s">
        <v>145</v>
      </c>
      <c r="G34" s="144">
        <v>500</v>
      </c>
      <c r="H34" s="680">
        <v>255</v>
      </c>
      <c r="I34" s="144" t="s">
        <v>146</v>
      </c>
      <c r="J34" s="627">
        <f t="shared" si="0"/>
        <v>60</v>
      </c>
      <c r="K34" s="628">
        <f t="shared" si="1"/>
        <v>298.80645</v>
      </c>
      <c r="L34" s="177">
        <v>40013.353472222225</v>
      </c>
      <c r="M34" s="178">
        <v>40013.74375</v>
      </c>
      <c r="N34" s="179">
        <f t="shared" si="2"/>
        <v>9.366666666639503</v>
      </c>
      <c r="O34" s="180">
        <f t="shared" si="3"/>
        <v>562</v>
      </c>
      <c r="P34" s="208" t="s">
        <v>134</v>
      </c>
      <c r="Q34" s="718" t="str">
        <f t="shared" si="4"/>
        <v>--</v>
      </c>
      <c r="R34" s="209" t="str">
        <f t="shared" si="5"/>
        <v>NO</v>
      </c>
      <c r="S34" s="209" t="str">
        <f t="shared" si="6"/>
        <v>--</v>
      </c>
      <c r="T34" s="631">
        <f t="shared" si="7"/>
        <v>1679.8898618999997</v>
      </c>
      <c r="U34" s="632" t="str">
        <f t="shared" si="8"/>
        <v>--</v>
      </c>
      <c r="V34" s="210" t="str">
        <f t="shared" si="9"/>
        <v>--</v>
      </c>
      <c r="W34" s="211" t="str">
        <f t="shared" si="10"/>
        <v>--</v>
      </c>
      <c r="X34" s="212" t="str">
        <f t="shared" si="11"/>
        <v>--</v>
      </c>
      <c r="Y34" s="633" t="str">
        <f t="shared" si="12"/>
        <v>--</v>
      </c>
      <c r="Z34" s="634" t="str">
        <f t="shared" si="13"/>
        <v>--</v>
      </c>
      <c r="AA34" s="635" t="str">
        <f t="shared" si="14"/>
        <v>--</v>
      </c>
      <c r="AB34" s="213" t="str">
        <f t="shared" si="15"/>
        <v>--</v>
      </c>
      <c r="AC34" s="214" t="str">
        <f t="shared" si="16"/>
        <v>--</v>
      </c>
      <c r="AD34" s="719" t="s">
        <v>117</v>
      </c>
      <c r="AE34" s="16">
        <v>0</v>
      </c>
      <c r="AF34" s="636"/>
    </row>
    <row r="35" spans="2:32" s="5" customFormat="1" ht="16.5" customHeight="1">
      <c r="B35" s="50"/>
      <c r="C35" s="262">
        <v>14</v>
      </c>
      <c r="D35" s="262">
        <v>208927</v>
      </c>
      <c r="E35" s="262">
        <v>4734</v>
      </c>
      <c r="F35" s="143" t="s">
        <v>147</v>
      </c>
      <c r="G35" s="144">
        <v>220</v>
      </c>
      <c r="H35" s="680">
        <v>77</v>
      </c>
      <c r="I35" s="144" t="s">
        <v>133</v>
      </c>
      <c r="J35" s="627">
        <f t="shared" si="0"/>
        <v>20</v>
      </c>
      <c r="K35" s="628">
        <f t="shared" si="1"/>
        <v>97.649</v>
      </c>
      <c r="L35" s="177">
        <v>40013.64027777778</v>
      </c>
      <c r="M35" s="178">
        <v>40013.71944444445</v>
      </c>
      <c r="N35" s="179">
        <f t="shared" si="2"/>
        <v>1.9000000000814907</v>
      </c>
      <c r="O35" s="180">
        <f t="shared" si="3"/>
        <v>114</v>
      </c>
      <c r="P35" s="208" t="s">
        <v>137</v>
      </c>
      <c r="Q35" s="718" t="str">
        <f t="shared" si="4"/>
        <v>--</v>
      </c>
      <c r="R35" s="209" t="str">
        <f t="shared" si="5"/>
        <v>NO</v>
      </c>
      <c r="S35" s="209" t="s">
        <v>117</v>
      </c>
      <c r="T35" s="631" t="str">
        <f t="shared" si="7"/>
        <v>--</v>
      </c>
      <c r="U35" s="632" t="str">
        <f t="shared" si="8"/>
        <v>--</v>
      </c>
      <c r="V35" s="210" t="str">
        <f t="shared" si="9"/>
        <v>--</v>
      </c>
      <c r="W35" s="211">
        <f t="shared" si="10"/>
        <v>3710.662</v>
      </c>
      <c r="X35" s="212" t="str">
        <f t="shared" si="11"/>
        <v>--</v>
      </c>
      <c r="Y35" s="633" t="str">
        <f t="shared" si="12"/>
        <v>--</v>
      </c>
      <c r="Z35" s="634" t="str">
        <f t="shared" si="13"/>
        <v>--</v>
      </c>
      <c r="AA35" s="635" t="str">
        <f t="shared" si="14"/>
        <v>--</v>
      </c>
      <c r="AB35" s="213" t="str">
        <f t="shared" si="15"/>
        <v>--</v>
      </c>
      <c r="AC35" s="214" t="str">
        <f t="shared" si="16"/>
        <v>--</v>
      </c>
      <c r="AD35" s="719" t="s">
        <v>117</v>
      </c>
      <c r="AE35" s="16">
        <f t="shared" si="17"/>
        <v>3710.662</v>
      </c>
      <c r="AF35" s="636"/>
    </row>
    <row r="36" spans="2:32" s="5" customFormat="1" ht="16.5" customHeight="1">
      <c r="B36" s="50"/>
      <c r="C36" s="149">
        <v>15</v>
      </c>
      <c r="D36" s="149">
        <v>209090</v>
      </c>
      <c r="E36" s="149">
        <v>47</v>
      </c>
      <c r="F36" s="143" t="s">
        <v>148</v>
      </c>
      <c r="G36" s="144">
        <v>500</v>
      </c>
      <c r="H36" s="680">
        <v>289</v>
      </c>
      <c r="I36" s="144" t="s">
        <v>133</v>
      </c>
      <c r="J36" s="627">
        <f t="shared" si="0"/>
        <v>20</v>
      </c>
      <c r="K36" s="628">
        <f t="shared" si="1"/>
        <v>338.64731</v>
      </c>
      <c r="L36" s="177">
        <v>40015.347916666666</v>
      </c>
      <c r="M36" s="178">
        <v>40015.802083333336</v>
      </c>
      <c r="N36" s="179">
        <f t="shared" si="2"/>
        <v>10.90000000008149</v>
      </c>
      <c r="O36" s="180">
        <f t="shared" si="3"/>
        <v>654</v>
      </c>
      <c r="P36" s="208" t="s">
        <v>137</v>
      </c>
      <c r="Q36" s="718" t="str">
        <f t="shared" si="4"/>
        <v>--</v>
      </c>
      <c r="R36" s="209" t="str">
        <f t="shared" si="5"/>
        <v>NO</v>
      </c>
      <c r="S36" s="209" t="str">
        <f t="shared" si="6"/>
        <v>NO</v>
      </c>
      <c r="T36" s="631" t="str">
        <f t="shared" si="7"/>
        <v>--</v>
      </c>
      <c r="U36" s="632" t="str">
        <f t="shared" si="8"/>
        <v>--</v>
      </c>
      <c r="V36" s="210">
        <f t="shared" si="9"/>
        <v>6772.9462</v>
      </c>
      <c r="W36" s="211">
        <f t="shared" si="10"/>
        <v>33864.731</v>
      </c>
      <c r="X36" s="212">
        <f t="shared" si="11"/>
        <v>3996.0382580000005</v>
      </c>
      <c r="Y36" s="633" t="str">
        <f t="shared" si="12"/>
        <v>--</v>
      </c>
      <c r="Z36" s="634" t="str">
        <f t="shared" si="13"/>
        <v>--</v>
      </c>
      <c r="AA36" s="635" t="str">
        <f t="shared" si="14"/>
        <v>--</v>
      </c>
      <c r="AB36" s="213" t="str">
        <f t="shared" si="15"/>
        <v>--</v>
      </c>
      <c r="AC36" s="214" t="str">
        <f t="shared" si="16"/>
        <v>--</v>
      </c>
      <c r="AD36" s="719" t="s">
        <v>117</v>
      </c>
      <c r="AE36" s="16">
        <f t="shared" si="17"/>
        <v>44633.715458</v>
      </c>
      <c r="AF36" s="636"/>
    </row>
    <row r="37" spans="2:32" s="5" customFormat="1" ht="16.5" customHeight="1">
      <c r="B37" s="50"/>
      <c r="C37" s="262">
        <v>16</v>
      </c>
      <c r="D37" s="262">
        <v>209097</v>
      </c>
      <c r="E37" s="262">
        <v>13</v>
      </c>
      <c r="F37" s="143" t="s">
        <v>149</v>
      </c>
      <c r="G37" s="144">
        <v>500</v>
      </c>
      <c r="H37" s="680">
        <v>255</v>
      </c>
      <c r="I37" s="144" t="s">
        <v>146</v>
      </c>
      <c r="J37" s="627">
        <f t="shared" si="0"/>
        <v>60</v>
      </c>
      <c r="K37" s="628">
        <f t="shared" si="1"/>
        <v>298.80645</v>
      </c>
      <c r="L37" s="177">
        <v>40016.29722222222</v>
      </c>
      <c r="M37" s="178">
        <v>40016.365277777775</v>
      </c>
      <c r="N37" s="179">
        <f t="shared" si="2"/>
        <v>1.6333333332440816</v>
      </c>
      <c r="O37" s="180">
        <f t="shared" si="3"/>
        <v>98</v>
      </c>
      <c r="P37" s="208" t="s">
        <v>137</v>
      </c>
      <c r="Q37" s="718" t="str">
        <f t="shared" si="4"/>
        <v>--</v>
      </c>
      <c r="R37" s="209" t="str">
        <f t="shared" si="5"/>
        <v>NO</v>
      </c>
      <c r="S37" s="209" t="str">
        <f t="shared" si="6"/>
        <v>NO</v>
      </c>
      <c r="T37" s="631" t="str">
        <f t="shared" si="7"/>
        <v>--</v>
      </c>
      <c r="U37" s="632" t="str">
        <f t="shared" si="8"/>
        <v>--</v>
      </c>
      <c r="V37" s="210">
        <f t="shared" si="9"/>
        <v>17928.387</v>
      </c>
      <c r="W37" s="211">
        <f t="shared" si="10"/>
        <v>29223.270809999995</v>
      </c>
      <c r="X37" s="212" t="str">
        <f t="shared" si="11"/>
        <v>--</v>
      </c>
      <c r="Y37" s="633" t="str">
        <f t="shared" si="12"/>
        <v>--</v>
      </c>
      <c r="Z37" s="634" t="str">
        <f t="shared" si="13"/>
        <v>--</v>
      </c>
      <c r="AA37" s="635" t="str">
        <f t="shared" si="14"/>
        <v>--</v>
      </c>
      <c r="AB37" s="213" t="str">
        <f t="shared" si="15"/>
        <v>--</v>
      </c>
      <c r="AC37" s="214" t="str">
        <f t="shared" si="16"/>
        <v>--</v>
      </c>
      <c r="AD37" s="719" t="s">
        <v>117</v>
      </c>
      <c r="AE37" s="16">
        <f t="shared" si="17"/>
        <v>47151.65780999999</v>
      </c>
      <c r="AF37" s="636"/>
    </row>
    <row r="38" spans="2:32" s="5" customFormat="1" ht="16.5" customHeight="1">
      <c r="B38" s="50"/>
      <c r="C38" s="149">
        <v>17</v>
      </c>
      <c r="D38" s="149">
        <v>209106</v>
      </c>
      <c r="E38" s="149">
        <v>4734</v>
      </c>
      <c r="F38" s="143" t="s">
        <v>147</v>
      </c>
      <c r="G38" s="144">
        <v>220</v>
      </c>
      <c r="H38" s="680">
        <v>77</v>
      </c>
      <c r="I38" s="144" t="s">
        <v>133</v>
      </c>
      <c r="J38" s="627">
        <f t="shared" si="0"/>
        <v>20</v>
      </c>
      <c r="K38" s="628">
        <f t="shared" si="1"/>
        <v>97.649</v>
      </c>
      <c r="L38" s="177">
        <v>40018.271527777775</v>
      </c>
      <c r="M38" s="178">
        <v>40018.29027777778</v>
      </c>
      <c r="N38" s="179">
        <f t="shared" si="2"/>
        <v>0.4500000000698492</v>
      </c>
      <c r="O38" s="180">
        <f t="shared" si="3"/>
        <v>27</v>
      </c>
      <c r="P38" s="208" t="s">
        <v>137</v>
      </c>
      <c r="Q38" s="718" t="str">
        <f t="shared" si="4"/>
        <v>--</v>
      </c>
      <c r="R38" s="209" t="str">
        <f t="shared" si="5"/>
        <v>NO</v>
      </c>
      <c r="S38" s="209" t="s">
        <v>117</v>
      </c>
      <c r="T38" s="631" t="str">
        <f t="shared" si="7"/>
        <v>--</v>
      </c>
      <c r="U38" s="632" t="str">
        <f t="shared" si="8"/>
        <v>--</v>
      </c>
      <c r="V38" s="210" t="str">
        <f t="shared" si="9"/>
        <v>--</v>
      </c>
      <c r="W38" s="211">
        <f t="shared" si="10"/>
        <v>878.841</v>
      </c>
      <c r="X38" s="212" t="str">
        <f t="shared" si="11"/>
        <v>--</v>
      </c>
      <c r="Y38" s="633" t="str">
        <f t="shared" si="12"/>
        <v>--</v>
      </c>
      <c r="Z38" s="634" t="str">
        <f t="shared" si="13"/>
        <v>--</v>
      </c>
      <c r="AA38" s="635" t="str">
        <f t="shared" si="14"/>
        <v>--</v>
      </c>
      <c r="AB38" s="213" t="str">
        <f t="shared" si="15"/>
        <v>--</v>
      </c>
      <c r="AC38" s="214" t="str">
        <f t="shared" si="16"/>
        <v>--</v>
      </c>
      <c r="AD38" s="719" t="s">
        <v>117</v>
      </c>
      <c r="AE38" s="16">
        <f t="shared" si="17"/>
        <v>878.841</v>
      </c>
      <c r="AF38" s="636"/>
    </row>
    <row r="39" spans="2:32" s="5" customFormat="1" ht="16.5" customHeight="1">
      <c r="B39" s="50"/>
      <c r="C39" s="262">
        <v>18</v>
      </c>
      <c r="D39" s="262">
        <v>209111</v>
      </c>
      <c r="E39" s="262">
        <v>4820</v>
      </c>
      <c r="F39" s="143" t="s">
        <v>250</v>
      </c>
      <c r="G39" s="144">
        <v>500</v>
      </c>
      <c r="H39" s="680">
        <v>64.99</v>
      </c>
      <c r="I39" s="144" t="s">
        <v>133</v>
      </c>
      <c r="J39" s="627">
        <f t="shared" si="0"/>
        <v>20</v>
      </c>
      <c r="K39" s="628">
        <f t="shared" si="1"/>
        <v>117.179</v>
      </c>
      <c r="L39" s="177">
        <v>40018.722916666666</v>
      </c>
      <c r="M39" s="178">
        <v>40019.438888888886</v>
      </c>
      <c r="N39" s="179">
        <f t="shared" si="2"/>
        <v>17.183333333290648</v>
      </c>
      <c r="O39" s="180">
        <f t="shared" si="3"/>
        <v>1031</v>
      </c>
      <c r="P39" s="208" t="s">
        <v>137</v>
      </c>
      <c r="Q39" s="718" t="str">
        <f t="shared" si="4"/>
        <v>--</v>
      </c>
      <c r="R39" s="209" t="str">
        <f t="shared" si="5"/>
        <v>NO</v>
      </c>
      <c r="S39" s="209" t="str">
        <f t="shared" si="6"/>
        <v>NO</v>
      </c>
      <c r="T39" s="631" t="str">
        <f t="shared" si="7"/>
        <v>--</v>
      </c>
      <c r="U39" s="632" t="str">
        <f t="shared" si="8"/>
        <v>--</v>
      </c>
      <c r="V39" s="210">
        <f t="shared" si="9"/>
        <v>2343.58</v>
      </c>
      <c r="W39" s="211">
        <f t="shared" si="10"/>
        <v>11717.9</v>
      </c>
      <c r="X39" s="212">
        <f t="shared" si="11"/>
        <v>2854.48044</v>
      </c>
      <c r="Y39" s="633" t="str">
        <f t="shared" si="12"/>
        <v>--</v>
      </c>
      <c r="Z39" s="634" t="str">
        <f t="shared" si="13"/>
        <v>--</v>
      </c>
      <c r="AA39" s="635" t="str">
        <f t="shared" si="14"/>
        <v>--</v>
      </c>
      <c r="AB39" s="213" t="str">
        <f t="shared" si="15"/>
        <v>--</v>
      </c>
      <c r="AC39" s="214" t="str">
        <f t="shared" si="16"/>
        <v>--</v>
      </c>
      <c r="AD39" s="719" t="s">
        <v>117</v>
      </c>
      <c r="AE39" s="16">
        <f t="shared" si="17"/>
        <v>16915.96044</v>
      </c>
      <c r="AF39" s="636"/>
    </row>
    <row r="40" spans="2:32" s="5" customFormat="1" ht="16.5" customHeight="1">
      <c r="B40" s="50"/>
      <c r="C40" s="149">
        <v>19</v>
      </c>
      <c r="D40" s="149">
        <v>209118</v>
      </c>
      <c r="E40" s="149">
        <v>4733</v>
      </c>
      <c r="F40" s="143" t="s">
        <v>132</v>
      </c>
      <c r="G40" s="144">
        <v>220</v>
      </c>
      <c r="H40" s="680">
        <v>77</v>
      </c>
      <c r="I40" s="144" t="s">
        <v>133</v>
      </c>
      <c r="J40" s="627">
        <f t="shared" si="0"/>
        <v>20</v>
      </c>
      <c r="K40" s="628">
        <f t="shared" si="1"/>
        <v>97.649</v>
      </c>
      <c r="L40" s="177">
        <v>40019.45694444444</v>
      </c>
      <c r="M40" s="178">
        <v>40019.48819444444</v>
      </c>
      <c r="N40" s="179">
        <f t="shared" si="2"/>
        <v>0.75</v>
      </c>
      <c r="O40" s="180">
        <f t="shared" si="3"/>
        <v>45</v>
      </c>
      <c r="P40" s="208" t="s">
        <v>134</v>
      </c>
      <c r="Q40" s="718" t="str">
        <f t="shared" si="4"/>
        <v>--</v>
      </c>
      <c r="R40" s="209" t="str">
        <f t="shared" si="5"/>
        <v>NO</v>
      </c>
      <c r="S40" s="209" t="str">
        <f t="shared" si="6"/>
        <v>--</v>
      </c>
      <c r="T40" s="631">
        <f t="shared" si="7"/>
        <v>14.647350000000001</v>
      </c>
      <c r="U40" s="632" t="str">
        <f t="shared" si="8"/>
        <v>--</v>
      </c>
      <c r="V40" s="210" t="str">
        <f t="shared" si="9"/>
        <v>--</v>
      </c>
      <c r="W40" s="211" t="str">
        <f t="shared" si="10"/>
        <v>--</v>
      </c>
      <c r="X40" s="212" t="str">
        <f t="shared" si="11"/>
        <v>--</v>
      </c>
      <c r="Y40" s="633" t="str">
        <f t="shared" si="12"/>
        <v>--</v>
      </c>
      <c r="Z40" s="634" t="str">
        <f t="shared" si="13"/>
        <v>--</v>
      </c>
      <c r="AA40" s="635" t="str">
        <f t="shared" si="14"/>
        <v>--</v>
      </c>
      <c r="AB40" s="213" t="str">
        <f t="shared" si="15"/>
        <v>--</v>
      </c>
      <c r="AC40" s="214" t="str">
        <f t="shared" si="16"/>
        <v>--</v>
      </c>
      <c r="AD40" s="719" t="s">
        <v>117</v>
      </c>
      <c r="AE40" s="16">
        <f t="shared" si="17"/>
        <v>14.647350000000001</v>
      </c>
      <c r="AF40" s="636"/>
    </row>
    <row r="41" spans="2:32" s="5" customFormat="1" ht="16.5" customHeight="1">
      <c r="B41" s="50"/>
      <c r="C41" s="262"/>
      <c r="D41" s="262"/>
      <c r="E41" s="262"/>
      <c r="F41" s="143"/>
      <c r="G41" s="144"/>
      <c r="H41" s="680"/>
      <c r="I41" s="144"/>
      <c r="J41" s="627">
        <f t="shared" si="0"/>
        <v>20</v>
      </c>
      <c r="K41" s="628">
        <f t="shared" si="1"/>
        <v>97.649</v>
      </c>
      <c r="L41" s="177"/>
      <c r="M41" s="178"/>
      <c r="N41" s="179">
        <f t="shared" si="2"/>
      </c>
      <c r="O41" s="180">
        <f t="shared" si="3"/>
      </c>
      <c r="P41" s="208"/>
      <c r="Q41" s="718">
        <f t="shared" si="4"/>
      </c>
      <c r="R41" s="209">
        <f t="shared" si="5"/>
      </c>
      <c r="S41" s="209">
        <f t="shared" si="6"/>
      </c>
      <c r="T41" s="631" t="str">
        <f t="shared" si="7"/>
        <v>--</v>
      </c>
      <c r="U41" s="632" t="str">
        <f t="shared" si="8"/>
        <v>--</v>
      </c>
      <c r="V41" s="210" t="str">
        <f t="shared" si="9"/>
        <v>--</v>
      </c>
      <c r="W41" s="211" t="str">
        <f t="shared" si="10"/>
        <v>--</v>
      </c>
      <c r="X41" s="212" t="str">
        <f t="shared" si="11"/>
        <v>--</v>
      </c>
      <c r="Y41" s="633" t="str">
        <f t="shared" si="12"/>
        <v>--</v>
      </c>
      <c r="Z41" s="634" t="str">
        <f t="shared" si="13"/>
        <v>--</v>
      </c>
      <c r="AA41" s="635" t="str">
        <f t="shared" si="14"/>
        <v>--</v>
      </c>
      <c r="AB41" s="213" t="str">
        <f t="shared" si="15"/>
        <v>--</v>
      </c>
      <c r="AC41" s="214" t="str">
        <f t="shared" si="16"/>
        <v>--</v>
      </c>
      <c r="AD41" s="719">
        <f>IF(F41="","","SI")</f>
      </c>
      <c r="AE41" s="16">
        <f t="shared" si="17"/>
      </c>
      <c r="AF41" s="636"/>
    </row>
    <row r="42" spans="2:32" s="5" customFormat="1" ht="16.5" customHeight="1" thickBot="1">
      <c r="B42" s="50"/>
      <c r="C42" s="717"/>
      <c r="D42" s="720"/>
      <c r="E42" s="149"/>
      <c r="F42" s="146"/>
      <c r="G42" s="216"/>
      <c r="H42" s="674"/>
      <c r="I42" s="217"/>
      <c r="J42" s="641"/>
      <c r="K42" s="642"/>
      <c r="L42" s="672"/>
      <c r="M42" s="672"/>
      <c r="N42" s="9"/>
      <c r="O42" s="9"/>
      <c r="P42" s="148"/>
      <c r="Q42" s="182"/>
      <c r="R42" s="148"/>
      <c r="S42" s="148"/>
      <c r="T42" s="643"/>
      <c r="U42" s="644"/>
      <c r="V42" s="218"/>
      <c r="W42" s="219"/>
      <c r="X42" s="220"/>
      <c r="Y42" s="645"/>
      <c r="Z42" s="646"/>
      <c r="AA42" s="647"/>
      <c r="AB42" s="221"/>
      <c r="AC42" s="222"/>
      <c r="AD42" s="648"/>
      <c r="AE42" s="223"/>
      <c r="AF42" s="636"/>
    </row>
    <row r="43" spans="2:32" s="5" customFormat="1" ht="16.5" customHeight="1" thickBot="1" thickTop="1">
      <c r="B43" s="50"/>
      <c r="C43" s="125" t="s">
        <v>23</v>
      </c>
      <c r="D43" s="729" t="s">
        <v>216</v>
      </c>
      <c r="E43" s="125"/>
      <c r="F43" s="126"/>
      <c r="G43" s="224"/>
      <c r="H43" s="194"/>
      <c r="I43" s="225"/>
      <c r="J43" s="194"/>
      <c r="K43" s="183"/>
      <c r="L43" s="183"/>
      <c r="M43" s="183"/>
      <c r="N43" s="183"/>
      <c r="O43" s="183"/>
      <c r="P43" s="183"/>
      <c r="Q43" s="226"/>
      <c r="R43" s="183"/>
      <c r="S43" s="183"/>
      <c r="T43" s="649">
        <f aca="true" t="shared" si="18" ref="T43:AC43">SUM(T20:T42)</f>
        <v>7734.372063900001</v>
      </c>
      <c r="U43" s="650">
        <f t="shared" si="18"/>
        <v>0</v>
      </c>
      <c r="V43" s="651">
        <f t="shared" si="18"/>
        <v>35130.250400000004</v>
      </c>
      <c r="W43" s="651">
        <f t="shared" si="18"/>
        <v>93522.87153399999</v>
      </c>
      <c r="X43" s="651">
        <f t="shared" si="18"/>
        <v>7807.478898000001</v>
      </c>
      <c r="Y43" s="652">
        <f t="shared" si="18"/>
        <v>0</v>
      </c>
      <c r="Z43" s="652">
        <f t="shared" si="18"/>
        <v>0</v>
      </c>
      <c r="AA43" s="652">
        <f t="shared" si="18"/>
        <v>0</v>
      </c>
      <c r="AB43" s="227">
        <f t="shared" si="18"/>
        <v>0</v>
      </c>
      <c r="AC43" s="228">
        <f t="shared" si="18"/>
        <v>0</v>
      </c>
      <c r="AD43" s="229"/>
      <c r="AE43" s="230">
        <f>ROUND(SUM(AE20:AE42),2)</f>
        <v>142172.26</v>
      </c>
      <c r="AF43" s="636"/>
    </row>
    <row r="44" spans="2:32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</row>
    <row r="45" spans="2:32" ht="16.5" customHeight="1" thickTop="1">
      <c r="B45" s="1"/>
      <c r="C45" s="1"/>
      <c r="D45" s="1"/>
      <c r="AF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F45"/>
  <sheetViews>
    <sheetView zoomScale="70" zoomScaleNormal="70" workbookViewId="0" topLeftCell="A1">
      <selection activeCell="L23" sqref="L23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5" width="13.57421875" style="0" customWidth="1"/>
    <col min="6" max="6" width="45.7109375" style="0" customWidth="1"/>
    <col min="7" max="8" width="9.7109375" style="0" customWidth="1"/>
    <col min="9" max="9" width="3.8515625" style="0" customWidth="1"/>
    <col min="10" max="10" width="3.140625" style="0" hidden="1" customWidth="1"/>
    <col min="11" max="11" width="6.00390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6.00390625" style="0" customWidth="1"/>
    <col min="20" max="21" width="12.28125" style="0" hidden="1" customWidth="1"/>
    <col min="22" max="27" width="5.7109375" style="0" hidden="1" customWidth="1"/>
    <col min="28" max="28" width="12.28125" style="0" hidden="1" customWidth="1"/>
    <col min="29" max="29" width="13.42187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1"/>
    </row>
    <row r="2" spans="1:32" s="18" customFormat="1" ht="26.25">
      <c r="A2" s="89"/>
      <c r="B2" s="19" t="str">
        <f>+'TOT-0709'!B2</f>
        <v>ANEXO II al Memorándum D.T.E.E. N°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6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2"/>
    </row>
    <row r="8" spans="2:32" s="29" customFormat="1" ht="20.25">
      <c r="B8" s="79"/>
      <c r="C8" s="30"/>
      <c r="D8" s="30"/>
      <c r="E8" s="30"/>
      <c r="F8" s="167" t="s">
        <v>54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5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5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106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5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'TOT-0709'!B14</f>
        <v>Desde el 01 al 31 de julio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89"/>
      <c r="Q14" s="18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5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0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71</v>
      </c>
      <c r="G16" s="675">
        <v>117.179</v>
      </c>
      <c r="H16" s="19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72</v>
      </c>
      <c r="G17" s="675">
        <v>97.649</v>
      </c>
      <c r="H17" s="191"/>
      <c r="I17" s="4"/>
      <c r="J17" s="4"/>
      <c r="K17" s="4"/>
      <c r="L17" s="192"/>
      <c r="M17" s="193"/>
      <c r="N17" s="4"/>
      <c r="O17" s="4"/>
      <c r="P17" s="4"/>
      <c r="Q17" s="4"/>
      <c r="R17" s="4"/>
      <c r="S17" s="4"/>
      <c r="T17" s="4"/>
      <c r="U17" s="4"/>
      <c r="V17" s="4"/>
      <c r="W17" s="4"/>
      <c r="X17" s="113"/>
      <c r="Y17" s="113"/>
      <c r="Z17" s="113"/>
      <c r="AA17" s="113"/>
      <c r="AB17" s="113"/>
      <c r="AC17" s="113"/>
      <c r="AD17" s="113"/>
      <c r="AF17" s="17"/>
    </row>
    <row r="18" spans="2:32" s="5" customFormat="1" ht="16.5" customHeight="1" thickBot="1" thickTop="1">
      <c r="B18" s="50"/>
      <c r="C18" s="726">
        <v>3</v>
      </c>
      <c r="D18" s="726">
        <v>4</v>
      </c>
      <c r="E18" s="726">
        <v>5</v>
      </c>
      <c r="F18" s="726">
        <v>6</v>
      </c>
      <c r="G18" s="726">
        <v>7</v>
      </c>
      <c r="H18" s="726">
        <v>8</v>
      </c>
      <c r="I18" s="726">
        <v>9</v>
      </c>
      <c r="J18" s="726">
        <v>10</v>
      </c>
      <c r="K18" s="726">
        <v>11</v>
      </c>
      <c r="L18" s="726">
        <v>12</v>
      </c>
      <c r="M18" s="726">
        <v>13</v>
      </c>
      <c r="N18" s="726">
        <v>14</v>
      </c>
      <c r="O18" s="726">
        <v>15</v>
      </c>
      <c r="P18" s="726">
        <v>16</v>
      </c>
      <c r="Q18" s="726">
        <v>17</v>
      </c>
      <c r="R18" s="726">
        <v>18</v>
      </c>
      <c r="S18" s="726">
        <v>19</v>
      </c>
      <c r="T18" s="726">
        <v>20</v>
      </c>
      <c r="U18" s="726">
        <v>21</v>
      </c>
      <c r="V18" s="726">
        <v>22</v>
      </c>
      <c r="W18" s="726">
        <v>23</v>
      </c>
      <c r="X18" s="726">
        <v>24</v>
      </c>
      <c r="Y18" s="726">
        <v>25</v>
      </c>
      <c r="Z18" s="726">
        <v>26</v>
      </c>
      <c r="AA18" s="726">
        <v>27</v>
      </c>
      <c r="AB18" s="726">
        <v>28</v>
      </c>
      <c r="AC18" s="726">
        <v>29</v>
      </c>
      <c r="AD18" s="726">
        <v>30</v>
      </c>
      <c r="AE18" s="726">
        <v>31</v>
      </c>
      <c r="AF18" s="17"/>
    </row>
    <row r="19" spans="2:32" s="5" customFormat="1" ht="33.75" customHeight="1" thickBot="1" thickTop="1">
      <c r="B19" s="50"/>
      <c r="C19" s="84" t="s">
        <v>12</v>
      </c>
      <c r="D19" s="84" t="s">
        <v>128</v>
      </c>
      <c r="E19" s="84" t="s">
        <v>129</v>
      </c>
      <c r="F19" s="85" t="s">
        <v>0</v>
      </c>
      <c r="G19" s="609" t="s">
        <v>13</v>
      </c>
      <c r="H19" s="86" t="s">
        <v>14</v>
      </c>
      <c r="I19" s="195" t="s">
        <v>56</v>
      </c>
      <c r="J19" s="610" t="s">
        <v>35</v>
      </c>
      <c r="K19" s="611" t="s">
        <v>15</v>
      </c>
      <c r="L19" s="85" t="s">
        <v>16</v>
      </c>
      <c r="M19" s="171" t="s">
        <v>17</v>
      </c>
      <c r="N19" s="87" t="s">
        <v>34</v>
      </c>
      <c r="O19" s="86" t="s">
        <v>29</v>
      </c>
      <c r="P19" s="87" t="s">
        <v>18</v>
      </c>
      <c r="Q19" s="86" t="s">
        <v>44</v>
      </c>
      <c r="R19" s="171" t="s">
        <v>45</v>
      </c>
      <c r="S19" s="85" t="s">
        <v>30</v>
      </c>
      <c r="T19" s="134" t="s">
        <v>19</v>
      </c>
      <c r="U19" s="612" t="s">
        <v>20</v>
      </c>
      <c r="V19" s="196" t="s">
        <v>46</v>
      </c>
      <c r="W19" s="197"/>
      <c r="X19" s="198"/>
      <c r="Y19" s="613" t="s">
        <v>107</v>
      </c>
      <c r="Z19" s="614"/>
      <c r="AA19" s="615"/>
      <c r="AB19" s="199" t="s">
        <v>21</v>
      </c>
      <c r="AC19" s="200" t="s">
        <v>57</v>
      </c>
      <c r="AD19" s="130" t="s">
        <v>58</v>
      </c>
      <c r="AE19" s="130" t="s">
        <v>22</v>
      </c>
      <c r="AF19" s="201"/>
    </row>
    <row r="20" spans="2:32" s="5" customFormat="1" ht="16.5" customHeight="1" thickTop="1">
      <c r="B20" s="50"/>
      <c r="C20" s="173"/>
      <c r="D20" s="173"/>
      <c r="E20" s="173"/>
      <c r="F20" s="658"/>
      <c r="G20" s="658"/>
      <c r="H20" s="676"/>
      <c r="I20" s="657"/>
      <c r="J20" s="659"/>
      <c r="K20" s="660"/>
      <c r="L20" s="671"/>
      <c r="M20" s="671"/>
      <c r="N20" s="657"/>
      <c r="O20" s="657"/>
      <c r="P20" s="657"/>
      <c r="Q20" s="657"/>
      <c r="R20" s="657"/>
      <c r="S20" s="657"/>
      <c r="T20" s="661"/>
      <c r="U20" s="662"/>
      <c r="V20" s="663"/>
      <c r="W20" s="664"/>
      <c r="X20" s="665"/>
      <c r="Y20" s="666"/>
      <c r="Z20" s="667"/>
      <c r="AA20" s="668"/>
      <c r="AB20" s="669"/>
      <c r="AC20" s="670"/>
      <c r="AD20" s="657"/>
      <c r="AE20" s="616">
        <f>'LI-07 (1)'!AE43</f>
        <v>142172.26</v>
      </c>
      <c r="AF20" s="17"/>
    </row>
    <row r="21" spans="2:32" s="5" customFormat="1" ht="16.5" customHeight="1">
      <c r="B21" s="50"/>
      <c r="C21" s="262"/>
      <c r="D21" s="262"/>
      <c r="E21" s="262"/>
      <c r="F21" s="174"/>
      <c r="G21" s="7"/>
      <c r="H21" s="677"/>
      <c r="I21" s="174"/>
      <c r="J21" s="617"/>
      <c r="K21" s="618"/>
      <c r="L21" s="202"/>
      <c r="M21" s="113"/>
      <c r="N21" s="174"/>
      <c r="O21" s="174"/>
      <c r="P21" s="175"/>
      <c r="Q21" s="174"/>
      <c r="R21" s="174"/>
      <c r="S21" s="174"/>
      <c r="T21" s="619"/>
      <c r="U21" s="620"/>
      <c r="V21" s="621"/>
      <c r="W21" s="622"/>
      <c r="X21" s="623"/>
      <c r="Y21" s="624"/>
      <c r="Z21" s="625"/>
      <c r="AA21" s="626"/>
      <c r="AB21" s="203"/>
      <c r="AC21" s="204"/>
      <c r="AD21" s="174"/>
      <c r="AE21" s="205"/>
      <c r="AF21" s="17"/>
    </row>
    <row r="22" spans="2:32" s="5" customFormat="1" ht="16.5" customHeight="1">
      <c r="B22" s="50"/>
      <c r="C22" s="149">
        <v>20</v>
      </c>
      <c r="D22" s="149">
        <v>209387</v>
      </c>
      <c r="E22" s="149">
        <v>53</v>
      </c>
      <c r="F22" s="149" t="s">
        <v>138</v>
      </c>
      <c r="G22" s="176">
        <v>220</v>
      </c>
      <c r="H22" s="678">
        <v>26</v>
      </c>
      <c r="I22" s="176" t="s">
        <v>133</v>
      </c>
      <c r="J22" s="627">
        <f aca="true" t="shared" si="0" ref="J22:J41">IF(I22="A",200,IF(I22="B",60,20))</f>
        <v>20</v>
      </c>
      <c r="K22" s="628">
        <f aca="true" t="shared" si="1" ref="K22:K41">IF(G22=500,IF(H22&lt;100,100*$G$16/100,H22*$G$16/100),IF(H22&lt;100,100*$G$17/100,H22*$G$17/100))</f>
        <v>97.649</v>
      </c>
      <c r="L22" s="629">
        <v>40024.38263888889</v>
      </c>
      <c r="M22" s="630">
        <v>40024.44097222222</v>
      </c>
      <c r="N22" s="179">
        <f aca="true" t="shared" si="2" ref="N22:N41">IF(F22="","",(M22-L22)*24)</f>
        <v>1.39999999984866</v>
      </c>
      <c r="O22" s="180">
        <f aca="true" t="shared" si="3" ref="O22:O41">IF(F22="","",ROUND((M22-L22)*24*60,0))</f>
        <v>84</v>
      </c>
      <c r="P22" s="208" t="s">
        <v>134</v>
      </c>
      <c r="Q22" s="718" t="str">
        <f aca="true" t="shared" si="4" ref="Q22:Q41">IF(F22="","","--")</f>
        <v>--</v>
      </c>
      <c r="R22" s="209" t="str">
        <f aca="true" t="shared" si="5" ref="R22:R41">IF(F22="","","NO")</f>
        <v>NO</v>
      </c>
      <c r="S22" s="209" t="str">
        <f aca="true" t="shared" si="6" ref="S22:S41">IF(F22="","",IF(OR(P22="P",P22="RP"),"--","NO"))</f>
        <v>--</v>
      </c>
      <c r="T22" s="631">
        <f aca="true" t="shared" si="7" ref="T22:T41">IF(P22="P",K22*J22*ROUND(O22/60,2)*0.01,"--")</f>
        <v>27.341720000000002</v>
      </c>
      <c r="U22" s="632" t="str">
        <f aca="true" t="shared" si="8" ref="U22:U41">IF(P22="RP",K22*J22*ROUND(O22/60,2)*0.01*Q22/100,"--")</f>
        <v>--</v>
      </c>
      <c r="V22" s="210" t="str">
        <f aca="true" t="shared" si="9" ref="V22:V41">IF(AND(P22="F",S22="NO"),K22*J22*IF(R22="SI",1.2,1),"--")</f>
        <v>--</v>
      </c>
      <c r="W22" s="211" t="str">
        <f aca="true" t="shared" si="10" ref="W22:W41">IF(AND(P22="F",O22&gt;=10),K22*J22*IF(R22="SI",1.2,1)*IF(O22&lt;=300,ROUND(O22/60,2),5),"--")</f>
        <v>--</v>
      </c>
      <c r="X22" s="212" t="str">
        <f aca="true" t="shared" si="11" ref="X22:X41">IF(AND(P22="F",O22&gt;300),(ROUND(O22/60,2)-5)*K22*J22*0.1*IF(R22="SI",1.2,1),"--")</f>
        <v>--</v>
      </c>
      <c r="Y22" s="633" t="str">
        <f aca="true" t="shared" si="12" ref="Y22:Y41">IF(AND(P22="R",S22="NO"),K22*J22*Q22/100*IF(R22="SI",1.2,1),"--")</f>
        <v>--</v>
      </c>
      <c r="Z22" s="634" t="str">
        <f aca="true" t="shared" si="13" ref="Z22:Z41">IF(AND(P22="R",O22&gt;=10),K22*J22*Q22/100*IF(R22="SI",1.2,1)*IF(O22&lt;=300,ROUND(O22/60,2),5),"--")</f>
        <v>--</v>
      </c>
      <c r="AA22" s="635" t="str">
        <f aca="true" t="shared" si="14" ref="AA22:AA41">IF(AND(P22="R",O22&gt;300),(ROUND(O22/60,2)-5)*K22*J22*0.1*Q22/100*IF(R22="SI",1.2,1),"--")</f>
        <v>--</v>
      </c>
      <c r="AB22" s="213" t="str">
        <f aca="true" t="shared" si="15" ref="AB22:AB41">IF(P22="RF",ROUND(O22/60,2)*K22*J22*0.1*IF(R22="SI",1.2,1),"--")</f>
        <v>--</v>
      </c>
      <c r="AC22" s="214" t="str">
        <f aca="true" t="shared" si="16" ref="AC22:AC41">IF(P22="RR",ROUND(O22/60,2)*K22*J22*0.1*Q22/100*IF(R22="SI",1.2,1),"--")</f>
        <v>--</v>
      </c>
      <c r="AD22" s="719" t="s">
        <v>117</v>
      </c>
      <c r="AE22" s="16">
        <f aca="true" t="shared" si="17" ref="AE22:AE41">IF(F22="","",SUM(T22:AC22)*IF(AD22="SI",1,2))</f>
        <v>27.341720000000002</v>
      </c>
      <c r="AF22" s="636"/>
    </row>
    <row r="23" spans="2:32" s="5" customFormat="1" ht="16.5" customHeight="1">
      <c r="B23" s="50"/>
      <c r="C23" s="262"/>
      <c r="D23" s="262"/>
      <c r="E23" s="262"/>
      <c r="F23" s="149"/>
      <c r="G23" s="176"/>
      <c r="H23" s="678"/>
      <c r="I23" s="176"/>
      <c r="J23" s="627">
        <f t="shared" si="0"/>
        <v>20</v>
      </c>
      <c r="K23" s="628">
        <f t="shared" si="1"/>
        <v>97.649</v>
      </c>
      <c r="L23" s="629"/>
      <c r="M23" s="630"/>
      <c r="N23" s="179">
        <f t="shared" si="2"/>
      </c>
      <c r="O23" s="180">
        <f t="shared" si="3"/>
      </c>
      <c r="P23" s="208"/>
      <c r="Q23" s="718">
        <f t="shared" si="4"/>
      </c>
      <c r="R23" s="209">
        <f t="shared" si="5"/>
      </c>
      <c r="S23" s="209">
        <f t="shared" si="6"/>
      </c>
      <c r="T23" s="631" t="str">
        <f t="shared" si="7"/>
        <v>--</v>
      </c>
      <c r="U23" s="632" t="str">
        <f t="shared" si="8"/>
        <v>--</v>
      </c>
      <c r="V23" s="210" t="str">
        <f t="shared" si="9"/>
        <v>--</v>
      </c>
      <c r="W23" s="211" t="str">
        <f t="shared" si="10"/>
        <v>--</v>
      </c>
      <c r="X23" s="212" t="str">
        <f t="shared" si="11"/>
        <v>--</v>
      </c>
      <c r="Y23" s="633" t="str">
        <f t="shared" si="12"/>
        <v>--</v>
      </c>
      <c r="Z23" s="634" t="str">
        <f t="shared" si="13"/>
        <v>--</v>
      </c>
      <c r="AA23" s="635" t="str">
        <f t="shared" si="14"/>
        <v>--</v>
      </c>
      <c r="AB23" s="213" t="str">
        <f t="shared" si="15"/>
        <v>--</v>
      </c>
      <c r="AC23" s="214" t="str">
        <f t="shared" si="16"/>
        <v>--</v>
      </c>
      <c r="AD23" s="719">
        <f aca="true" t="shared" si="18" ref="AD23:AD41">IF(F23="","","SI")</f>
      </c>
      <c r="AE23" s="16">
        <f t="shared" si="17"/>
      </c>
      <c r="AF23" s="636"/>
    </row>
    <row r="24" spans="2:32" s="5" customFormat="1" ht="16.5" customHeight="1">
      <c r="B24" s="50"/>
      <c r="C24" s="149"/>
      <c r="D24" s="149"/>
      <c r="E24" s="149"/>
      <c r="F24" s="637"/>
      <c r="G24" s="638"/>
      <c r="H24" s="679"/>
      <c r="I24" s="638"/>
      <c r="J24" s="627">
        <f t="shared" si="0"/>
        <v>20</v>
      </c>
      <c r="K24" s="628">
        <f t="shared" si="1"/>
        <v>97.649</v>
      </c>
      <c r="L24" s="639"/>
      <c r="M24" s="640"/>
      <c r="N24" s="179">
        <f t="shared" si="2"/>
      </c>
      <c r="O24" s="180">
        <f t="shared" si="3"/>
      </c>
      <c r="P24" s="208"/>
      <c r="Q24" s="718">
        <f t="shared" si="4"/>
      </c>
      <c r="R24" s="209">
        <f t="shared" si="5"/>
      </c>
      <c r="S24" s="209">
        <f t="shared" si="6"/>
      </c>
      <c r="T24" s="631" t="str">
        <f t="shared" si="7"/>
        <v>--</v>
      </c>
      <c r="U24" s="632" t="str">
        <f t="shared" si="8"/>
        <v>--</v>
      </c>
      <c r="V24" s="210" t="str">
        <f t="shared" si="9"/>
        <v>--</v>
      </c>
      <c r="W24" s="211" t="str">
        <f t="shared" si="10"/>
        <v>--</v>
      </c>
      <c r="X24" s="212" t="str">
        <f t="shared" si="11"/>
        <v>--</v>
      </c>
      <c r="Y24" s="633" t="str">
        <f t="shared" si="12"/>
        <v>--</v>
      </c>
      <c r="Z24" s="634" t="str">
        <f t="shared" si="13"/>
        <v>--</v>
      </c>
      <c r="AA24" s="635" t="str">
        <f t="shared" si="14"/>
        <v>--</v>
      </c>
      <c r="AB24" s="213" t="str">
        <f t="shared" si="15"/>
        <v>--</v>
      </c>
      <c r="AC24" s="214" t="str">
        <f t="shared" si="16"/>
        <v>--</v>
      </c>
      <c r="AD24" s="719">
        <f t="shared" si="18"/>
      </c>
      <c r="AE24" s="16">
        <f t="shared" si="17"/>
      </c>
      <c r="AF24" s="636"/>
    </row>
    <row r="25" spans="2:32" s="5" customFormat="1" ht="16.5" customHeight="1">
      <c r="B25" s="50"/>
      <c r="C25" s="262"/>
      <c r="D25" s="262"/>
      <c r="E25" s="262"/>
      <c r="F25" s="637"/>
      <c r="G25" s="638"/>
      <c r="H25" s="679"/>
      <c r="I25" s="638"/>
      <c r="J25" s="627">
        <f t="shared" si="0"/>
        <v>20</v>
      </c>
      <c r="K25" s="628">
        <f t="shared" si="1"/>
        <v>97.649</v>
      </c>
      <c r="L25" s="639"/>
      <c r="M25" s="640"/>
      <c r="N25" s="179">
        <f t="shared" si="2"/>
      </c>
      <c r="O25" s="180">
        <f t="shared" si="3"/>
      </c>
      <c r="P25" s="208"/>
      <c r="Q25" s="718">
        <f t="shared" si="4"/>
      </c>
      <c r="R25" s="209">
        <f t="shared" si="5"/>
      </c>
      <c r="S25" s="209">
        <f t="shared" si="6"/>
      </c>
      <c r="T25" s="631" t="str">
        <f t="shared" si="7"/>
        <v>--</v>
      </c>
      <c r="U25" s="632" t="str">
        <f t="shared" si="8"/>
        <v>--</v>
      </c>
      <c r="V25" s="210" t="str">
        <f t="shared" si="9"/>
        <v>--</v>
      </c>
      <c r="W25" s="211" t="str">
        <f t="shared" si="10"/>
        <v>--</v>
      </c>
      <c r="X25" s="212" t="str">
        <f t="shared" si="11"/>
        <v>--</v>
      </c>
      <c r="Y25" s="633" t="str">
        <f t="shared" si="12"/>
        <v>--</v>
      </c>
      <c r="Z25" s="634" t="str">
        <f t="shared" si="13"/>
        <v>--</v>
      </c>
      <c r="AA25" s="635" t="str">
        <f t="shared" si="14"/>
        <v>--</v>
      </c>
      <c r="AB25" s="213" t="str">
        <f t="shared" si="15"/>
        <v>--</v>
      </c>
      <c r="AC25" s="214" t="str">
        <f t="shared" si="16"/>
        <v>--</v>
      </c>
      <c r="AD25" s="719">
        <f t="shared" si="18"/>
      </c>
      <c r="AE25" s="16">
        <f t="shared" si="17"/>
      </c>
      <c r="AF25" s="636"/>
    </row>
    <row r="26" spans="2:32" s="5" customFormat="1" ht="16.5" customHeight="1">
      <c r="B26" s="50"/>
      <c r="C26" s="149"/>
      <c r="D26" s="149"/>
      <c r="E26" s="149"/>
      <c r="F26" s="149"/>
      <c r="G26" s="176"/>
      <c r="H26" s="678"/>
      <c r="I26" s="176"/>
      <c r="J26" s="627">
        <f t="shared" si="0"/>
        <v>20</v>
      </c>
      <c r="K26" s="628">
        <f t="shared" si="1"/>
        <v>97.649</v>
      </c>
      <c r="L26" s="629"/>
      <c r="M26" s="630"/>
      <c r="N26" s="179">
        <f t="shared" si="2"/>
      </c>
      <c r="O26" s="180">
        <f t="shared" si="3"/>
      </c>
      <c r="P26" s="208"/>
      <c r="Q26" s="718">
        <f t="shared" si="4"/>
      </c>
      <c r="R26" s="209">
        <f t="shared" si="5"/>
      </c>
      <c r="S26" s="209">
        <f t="shared" si="6"/>
      </c>
      <c r="T26" s="631" t="str">
        <f t="shared" si="7"/>
        <v>--</v>
      </c>
      <c r="U26" s="632" t="str">
        <f t="shared" si="8"/>
        <v>--</v>
      </c>
      <c r="V26" s="210" t="str">
        <f t="shared" si="9"/>
        <v>--</v>
      </c>
      <c r="W26" s="211" t="str">
        <f t="shared" si="10"/>
        <v>--</v>
      </c>
      <c r="X26" s="212" t="str">
        <f t="shared" si="11"/>
        <v>--</v>
      </c>
      <c r="Y26" s="633" t="str">
        <f t="shared" si="12"/>
        <v>--</v>
      </c>
      <c r="Z26" s="634" t="str">
        <f t="shared" si="13"/>
        <v>--</v>
      </c>
      <c r="AA26" s="635" t="str">
        <f t="shared" si="14"/>
        <v>--</v>
      </c>
      <c r="AB26" s="213" t="str">
        <f t="shared" si="15"/>
        <v>--</v>
      </c>
      <c r="AC26" s="214" t="str">
        <f t="shared" si="16"/>
        <v>--</v>
      </c>
      <c r="AD26" s="719">
        <f t="shared" si="18"/>
      </c>
      <c r="AE26" s="16">
        <f t="shared" si="17"/>
      </c>
      <c r="AF26" s="636"/>
    </row>
    <row r="27" spans="2:32" s="5" customFormat="1" ht="16.5" customHeight="1">
      <c r="B27" s="50"/>
      <c r="C27" s="262"/>
      <c r="D27" s="262"/>
      <c r="E27" s="262"/>
      <c r="F27" s="149"/>
      <c r="G27" s="176"/>
      <c r="H27" s="678"/>
      <c r="I27" s="176"/>
      <c r="J27" s="627">
        <f t="shared" si="0"/>
        <v>20</v>
      </c>
      <c r="K27" s="628">
        <f t="shared" si="1"/>
        <v>97.649</v>
      </c>
      <c r="L27" s="629"/>
      <c r="M27" s="630"/>
      <c r="N27" s="179">
        <f t="shared" si="2"/>
      </c>
      <c r="O27" s="180">
        <f t="shared" si="3"/>
      </c>
      <c r="P27" s="208"/>
      <c r="Q27" s="718">
        <f t="shared" si="4"/>
      </c>
      <c r="R27" s="209">
        <f t="shared" si="5"/>
      </c>
      <c r="S27" s="209">
        <f t="shared" si="6"/>
      </c>
      <c r="T27" s="631" t="str">
        <f t="shared" si="7"/>
        <v>--</v>
      </c>
      <c r="U27" s="632" t="str">
        <f t="shared" si="8"/>
        <v>--</v>
      </c>
      <c r="V27" s="210" t="str">
        <f t="shared" si="9"/>
        <v>--</v>
      </c>
      <c r="W27" s="211" t="str">
        <f t="shared" si="10"/>
        <v>--</v>
      </c>
      <c r="X27" s="212" t="str">
        <f t="shared" si="11"/>
        <v>--</v>
      </c>
      <c r="Y27" s="633" t="str">
        <f t="shared" si="12"/>
        <v>--</v>
      </c>
      <c r="Z27" s="634" t="str">
        <f t="shared" si="13"/>
        <v>--</v>
      </c>
      <c r="AA27" s="635" t="str">
        <f t="shared" si="14"/>
        <v>--</v>
      </c>
      <c r="AB27" s="213" t="str">
        <f t="shared" si="15"/>
        <v>--</v>
      </c>
      <c r="AC27" s="214" t="str">
        <f t="shared" si="16"/>
        <v>--</v>
      </c>
      <c r="AD27" s="719">
        <f t="shared" si="18"/>
      </c>
      <c r="AE27" s="16">
        <f t="shared" si="17"/>
      </c>
      <c r="AF27" s="636"/>
    </row>
    <row r="28" spans="2:32" s="5" customFormat="1" ht="16.5" customHeight="1">
      <c r="B28" s="50"/>
      <c r="C28" s="149"/>
      <c r="D28" s="149"/>
      <c r="E28" s="149"/>
      <c r="F28" s="143"/>
      <c r="G28" s="144"/>
      <c r="H28" s="680"/>
      <c r="I28" s="144"/>
      <c r="J28" s="627">
        <f t="shared" si="0"/>
        <v>20</v>
      </c>
      <c r="K28" s="628">
        <f t="shared" si="1"/>
        <v>97.649</v>
      </c>
      <c r="L28" s="177"/>
      <c r="M28" s="207"/>
      <c r="N28" s="179">
        <f t="shared" si="2"/>
      </c>
      <c r="O28" s="180">
        <f t="shared" si="3"/>
      </c>
      <c r="P28" s="208"/>
      <c r="Q28" s="718">
        <f t="shared" si="4"/>
      </c>
      <c r="R28" s="209">
        <f t="shared" si="5"/>
      </c>
      <c r="S28" s="209">
        <f t="shared" si="6"/>
      </c>
      <c r="T28" s="631" t="str">
        <f t="shared" si="7"/>
        <v>--</v>
      </c>
      <c r="U28" s="632" t="str">
        <f t="shared" si="8"/>
        <v>--</v>
      </c>
      <c r="V28" s="210" t="str">
        <f t="shared" si="9"/>
        <v>--</v>
      </c>
      <c r="W28" s="211" t="str">
        <f t="shared" si="10"/>
        <v>--</v>
      </c>
      <c r="X28" s="212" t="str">
        <f t="shared" si="11"/>
        <v>--</v>
      </c>
      <c r="Y28" s="633" t="str">
        <f t="shared" si="12"/>
        <v>--</v>
      </c>
      <c r="Z28" s="634" t="str">
        <f t="shared" si="13"/>
        <v>--</v>
      </c>
      <c r="AA28" s="635" t="str">
        <f t="shared" si="14"/>
        <v>--</v>
      </c>
      <c r="AB28" s="213" t="str">
        <f t="shared" si="15"/>
        <v>--</v>
      </c>
      <c r="AC28" s="214" t="str">
        <f t="shared" si="16"/>
        <v>--</v>
      </c>
      <c r="AD28" s="719">
        <f t="shared" si="18"/>
      </c>
      <c r="AE28" s="16">
        <f t="shared" si="17"/>
      </c>
      <c r="AF28" s="636"/>
    </row>
    <row r="29" spans="2:32" s="5" customFormat="1" ht="16.5" customHeight="1">
      <c r="B29" s="50"/>
      <c r="C29" s="262"/>
      <c r="D29" s="262"/>
      <c r="E29" s="262"/>
      <c r="F29" s="143"/>
      <c r="G29" s="144"/>
      <c r="H29" s="680"/>
      <c r="I29" s="144"/>
      <c r="J29" s="627">
        <f t="shared" si="0"/>
        <v>20</v>
      </c>
      <c r="K29" s="628">
        <f t="shared" si="1"/>
        <v>97.649</v>
      </c>
      <c r="L29" s="177"/>
      <c r="M29" s="207"/>
      <c r="N29" s="179">
        <f t="shared" si="2"/>
      </c>
      <c r="O29" s="180">
        <f t="shared" si="3"/>
      </c>
      <c r="P29" s="208"/>
      <c r="Q29" s="718">
        <f t="shared" si="4"/>
      </c>
      <c r="R29" s="209">
        <f t="shared" si="5"/>
      </c>
      <c r="S29" s="209">
        <f t="shared" si="6"/>
      </c>
      <c r="T29" s="631" t="str">
        <f t="shared" si="7"/>
        <v>--</v>
      </c>
      <c r="U29" s="632" t="str">
        <f t="shared" si="8"/>
        <v>--</v>
      </c>
      <c r="V29" s="210" t="str">
        <f t="shared" si="9"/>
        <v>--</v>
      </c>
      <c r="W29" s="211" t="str">
        <f t="shared" si="10"/>
        <v>--</v>
      </c>
      <c r="X29" s="212" t="str">
        <f t="shared" si="11"/>
        <v>--</v>
      </c>
      <c r="Y29" s="633" t="str">
        <f t="shared" si="12"/>
        <v>--</v>
      </c>
      <c r="Z29" s="634" t="str">
        <f t="shared" si="13"/>
        <v>--</v>
      </c>
      <c r="AA29" s="635" t="str">
        <f t="shared" si="14"/>
        <v>--</v>
      </c>
      <c r="AB29" s="213" t="str">
        <f t="shared" si="15"/>
        <v>--</v>
      </c>
      <c r="AC29" s="214" t="str">
        <f t="shared" si="16"/>
        <v>--</v>
      </c>
      <c r="AD29" s="719">
        <f t="shared" si="18"/>
      </c>
      <c r="AE29" s="16">
        <f t="shared" si="17"/>
      </c>
      <c r="AF29" s="636"/>
    </row>
    <row r="30" spans="2:32" s="5" customFormat="1" ht="16.5" customHeight="1">
      <c r="B30" s="50"/>
      <c r="C30" s="149"/>
      <c r="D30" s="149"/>
      <c r="E30" s="149"/>
      <c r="F30" s="143"/>
      <c r="G30" s="144"/>
      <c r="H30" s="680"/>
      <c r="I30" s="144"/>
      <c r="J30" s="627">
        <f t="shared" si="0"/>
        <v>20</v>
      </c>
      <c r="K30" s="628">
        <f t="shared" si="1"/>
        <v>97.649</v>
      </c>
      <c r="L30" s="177"/>
      <c r="M30" s="207"/>
      <c r="N30" s="179">
        <f t="shared" si="2"/>
      </c>
      <c r="O30" s="180">
        <f t="shared" si="3"/>
      </c>
      <c r="P30" s="208"/>
      <c r="Q30" s="718">
        <f t="shared" si="4"/>
      </c>
      <c r="R30" s="209">
        <f t="shared" si="5"/>
      </c>
      <c r="S30" s="209">
        <f t="shared" si="6"/>
      </c>
      <c r="T30" s="631" t="str">
        <f t="shared" si="7"/>
        <v>--</v>
      </c>
      <c r="U30" s="632" t="str">
        <f t="shared" si="8"/>
        <v>--</v>
      </c>
      <c r="V30" s="210" t="str">
        <f t="shared" si="9"/>
        <v>--</v>
      </c>
      <c r="W30" s="211" t="str">
        <f t="shared" si="10"/>
        <v>--</v>
      </c>
      <c r="X30" s="212" t="str">
        <f t="shared" si="11"/>
        <v>--</v>
      </c>
      <c r="Y30" s="633" t="str">
        <f t="shared" si="12"/>
        <v>--</v>
      </c>
      <c r="Z30" s="634" t="str">
        <f t="shared" si="13"/>
        <v>--</v>
      </c>
      <c r="AA30" s="635" t="str">
        <f t="shared" si="14"/>
        <v>--</v>
      </c>
      <c r="AB30" s="213" t="str">
        <f t="shared" si="15"/>
        <v>--</v>
      </c>
      <c r="AC30" s="214" t="str">
        <f t="shared" si="16"/>
        <v>--</v>
      </c>
      <c r="AD30" s="719">
        <f t="shared" si="18"/>
      </c>
      <c r="AE30" s="16">
        <f t="shared" si="17"/>
      </c>
      <c r="AF30" s="636"/>
    </row>
    <row r="31" spans="2:32" s="5" customFormat="1" ht="16.5" customHeight="1">
      <c r="B31" s="50"/>
      <c r="C31" s="262"/>
      <c r="D31" s="262"/>
      <c r="E31" s="262"/>
      <c r="F31" s="143"/>
      <c r="G31" s="144"/>
      <c r="H31" s="680"/>
      <c r="I31" s="144"/>
      <c r="J31" s="627">
        <f t="shared" si="0"/>
        <v>20</v>
      </c>
      <c r="K31" s="628">
        <f t="shared" si="1"/>
        <v>97.649</v>
      </c>
      <c r="L31" s="177"/>
      <c r="M31" s="207"/>
      <c r="N31" s="179">
        <f t="shared" si="2"/>
      </c>
      <c r="O31" s="180">
        <f t="shared" si="3"/>
      </c>
      <c r="P31" s="208"/>
      <c r="Q31" s="718">
        <f t="shared" si="4"/>
      </c>
      <c r="R31" s="209">
        <f t="shared" si="5"/>
      </c>
      <c r="S31" s="209">
        <f t="shared" si="6"/>
      </c>
      <c r="T31" s="631" t="str">
        <f t="shared" si="7"/>
        <v>--</v>
      </c>
      <c r="U31" s="632" t="str">
        <f t="shared" si="8"/>
        <v>--</v>
      </c>
      <c r="V31" s="210" t="str">
        <f t="shared" si="9"/>
        <v>--</v>
      </c>
      <c r="W31" s="211" t="str">
        <f t="shared" si="10"/>
        <v>--</v>
      </c>
      <c r="X31" s="212" t="str">
        <f t="shared" si="11"/>
        <v>--</v>
      </c>
      <c r="Y31" s="633" t="str">
        <f t="shared" si="12"/>
        <v>--</v>
      </c>
      <c r="Z31" s="634" t="str">
        <f t="shared" si="13"/>
        <v>--</v>
      </c>
      <c r="AA31" s="635" t="str">
        <f t="shared" si="14"/>
        <v>--</v>
      </c>
      <c r="AB31" s="213" t="str">
        <f t="shared" si="15"/>
        <v>--</v>
      </c>
      <c r="AC31" s="214" t="str">
        <f t="shared" si="16"/>
        <v>--</v>
      </c>
      <c r="AD31" s="719">
        <f t="shared" si="18"/>
      </c>
      <c r="AE31" s="16">
        <f t="shared" si="17"/>
      </c>
      <c r="AF31" s="636"/>
    </row>
    <row r="32" spans="2:32" s="5" customFormat="1" ht="16.5" customHeight="1">
      <c r="B32" s="50"/>
      <c r="C32" s="149"/>
      <c r="D32" s="149"/>
      <c r="E32" s="149"/>
      <c r="F32" s="143"/>
      <c r="G32" s="144"/>
      <c r="H32" s="680"/>
      <c r="I32" s="144"/>
      <c r="J32" s="627">
        <f t="shared" si="0"/>
        <v>20</v>
      </c>
      <c r="K32" s="628">
        <f t="shared" si="1"/>
        <v>97.649</v>
      </c>
      <c r="L32" s="177"/>
      <c r="M32" s="207"/>
      <c r="N32" s="179">
        <f t="shared" si="2"/>
      </c>
      <c r="O32" s="180">
        <f t="shared" si="3"/>
      </c>
      <c r="P32" s="208"/>
      <c r="Q32" s="718">
        <f t="shared" si="4"/>
      </c>
      <c r="R32" s="209">
        <f t="shared" si="5"/>
      </c>
      <c r="S32" s="209">
        <f t="shared" si="6"/>
      </c>
      <c r="T32" s="631" t="str">
        <f t="shared" si="7"/>
        <v>--</v>
      </c>
      <c r="U32" s="632" t="str">
        <f t="shared" si="8"/>
        <v>--</v>
      </c>
      <c r="V32" s="210" t="str">
        <f t="shared" si="9"/>
        <v>--</v>
      </c>
      <c r="W32" s="211" t="str">
        <f t="shared" si="10"/>
        <v>--</v>
      </c>
      <c r="X32" s="212" t="str">
        <f t="shared" si="11"/>
        <v>--</v>
      </c>
      <c r="Y32" s="633" t="str">
        <f t="shared" si="12"/>
        <v>--</v>
      </c>
      <c r="Z32" s="634" t="str">
        <f t="shared" si="13"/>
        <v>--</v>
      </c>
      <c r="AA32" s="635" t="str">
        <f t="shared" si="14"/>
        <v>--</v>
      </c>
      <c r="AB32" s="213" t="str">
        <f t="shared" si="15"/>
        <v>--</v>
      </c>
      <c r="AC32" s="214" t="str">
        <f t="shared" si="16"/>
        <v>--</v>
      </c>
      <c r="AD32" s="719">
        <f t="shared" si="18"/>
      </c>
      <c r="AE32" s="16">
        <f t="shared" si="17"/>
      </c>
      <c r="AF32" s="636"/>
    </row>
    <row r="33" spans="2:32" s="5" customFormat="1" ht="16.5" customHeight="1">
      <c r="B33" s="50"/>
      <c r="C33" s="262"/>
      <c r="D33" s="262"/>
      <c r="E33" s="262"/>
      <c r="F33" s="143"/>
      <c r="G33" s="144"/>
      <c r="H33" s="680"/>
      <c r="I33" s="144"/>
      <c r="J33" s="627">
        <f t="shared" si="0"/>
        <v>20</v>
      </c>
      <c r="K33" s="628">
        <f t="shared" si="1"/>
        <v>97.649</v>
      </c>
      <c r="L33" s="177"/>
      <c r="M33" s="178"/>
      <c r="N33" s="179">
        <f t="shared" si="2"/>
      </c>
      <c r="O33" s="180">
        <f t="shared" si="3"/>
      </c>
      <c r="P33" s="208"/>
      <c r="Q33" s="718">
        <f t="shared" si="4"/>
      </c>
      <c r="R33" s="209">
        <f t="shared" si="5"/>
      </c>
      <c r="S33" s="209">
        <f t="shared" si="6"/>
      </c>
      <c r="T33" s="631" t="str">
        <f t="shared" si="7"/>
        <v>--</v>
      </c>
      <c r="U33" s="632" t="str">
        <f t="shared" si="8"/>
        <v>--</v>
      </c>
      <c r="V33" s="210" t="str">
        <f t="shared" si="9"/>
        <v>--</v>
      </c>
      <c r="W33" s="211" t="str">
        <f t="shared" si="10"/>
        <v>--</v>
      </c>
      <c r="X33" s="212" t="str">
        <f t="shared" si="11"/>
        <v>--</v>
      </c>
      <c r="Y33" s="633" t="str">
        <f t="shared" si="12"/>
        <v>--</v>
      </c>
      <c r="Z33" s="634" t="str">
        <f t="shared" si="13"/>
        <v>--</v>
      </c>
      <c r="AA33" s="635" t="str">
        <f t="shared" si="14"/>
        <v>--</v>
      </c>
      <c r="AB33" s="213" t="str">
        <f t="shared" si="15"/>
        <v>--</v>
      </c>
      <c r="AC33" s="214" t="str">
        <f t="shared" si="16"/>
        <v>--</v>
      </c>
      <c r="AD33" s="719">
        <f t="shared" si="18"/>
      </c>
      <c r="AE33" s="16">
        <f t="shared" si="17"/>
      </c>
      <c r="AF33" s="636"/>
    </row>
    <row r="34" spans="2:32" s="5" customFormat="1" ht="16.5" customHeight="1">
      <c r="B34" s="50"/>
      <c r="C34" s="149"/>
      <c r="D34" s="149"/>
      <c r="E34" s="149"/>
      <c r="F34" s="143"/>
      <c r="G34" s="144"/>
      <c r="H34" s="680"/>
      <c r="I34" s="144"/>
      <c r="J34" s="627">
        <f t="shared" si="0"/>
        <v>20</v>
      </c>
      <c r="K34" s="628">
        <f t="shared" si="1"/>
        <v>97.649</v>
      </c>
      <c r="L34" s="177"/>
      <c r="M34" s="178"/>
      <c r="N34" s="179">
        <f t="shared" si="2"/>
      </c>
      <c r="O34" s="180">
        <f t="shared" si="3"/>
      </c>
      <c r="P34" s="208"/>
      <c r="Q34" s="718">
        <f t="shared" si="4"/>
      </c>
      <c r="R34" s="209">
        <f t="shared" si="5"/>
      </c>
      <c r="S34" s="209">
        <f t="shared" si="6"/>
      </c>
      <c r="T34" s="631" t="str">
        <f t="shared" si="7"/>
        <v>--</v>
      </c>
      <c r="U34" s="632" t="str">
        <f t="shared" si="8"/>
        <v>--</v>
      </c>
      <c r="V34" s="210" t="str">
        <f t="shared" si="9"/>
        <v>--</v>
      </c>
      <c r="W34" s="211" t="str">
        <f t="shared" si="10"/>
        <v>--</v>
      </c>
      <c r="X34" s="212" t="str">
        <f t="shared" si="11"/>
        <v>--</v>
      </c>
      <c r="Y34" s="633" t="str">
        <f t="shared" si="12"/>
        <v>--</v>
      </c>
      <c r="Z34" s="634" t="str">
        <f t="shared" si="13"/>
        <v>--</v>
      </c>
      <c r="AA34" s="635" t="str">
        <f t="shared" si="14"/>
        <v>--</v>
      </c>
      <c r="AB34" s="213" t="str">
        <f t="shared" si="15"/>
        <v>--</v>
      </c>
      <c r="AC34" s="214" t="str">
        <f t="shared" si="16"/>
        <v>--</v>
      </c>
      <c r="AD34" s="719">
        <f t="shared" si="18"/>
      </c>
      <c r="AE34" s="16">
        <f t="shared" si="17"/>
      </c>
      <c r="AF34" s="636"/>
    </row>
    <row r="35" spans="2:32" s="5" customFormat="1" ht="16.5" customHeight="1">
      <c r="B35" s="50"/>
      <c r="C35" s="262"/>
      <c r="D35" s="262"/>
      <c r="E35" s="262"/>
      <c r="F35" s="143"/>
      <c r="G35" s="144"/>
      <c r="H35" s="680"/>
      <c r="I35" s="144"/>
      <c r="J35" s="627">
        <f t="shared" si="0"/>
        <v>20</v>
      </c>
      <c r="K35" s="628">
        <f t="shared" si="1"/>
        <v>97.649</v>
      </c>
      <c r="L35" s="177"/>
      <c r="M35" s="178"/>
      <c r="N35" s="179">
        <f t="shared" si="2"/>
      </c>
      <c r="O35" s="180">
        <f t="shared" si="3"/>
      </c>
      <c r="P35" s="208"/>
      <c r="Q35" s="718">
        <f t="shared" si="4"/>
      </c>
      <c r="R35" s="209">
        <f t="shared" si="5"/>
      </c>
      <c r="S35" s="209">
        <f t="shared" si="6"/>
      </c>
      <c r="T35" s="631" t="str">
        <f t="shared" si="7"/>
        <v>--</v>
      </c>
      <c r="U35" s="632" t="str">
        <f t="shared" si="8"/>
        <v>--</v>
      </c>
      <c r="V35" s="210" t="str">
        <f t="shared" si="9"/>
        <v>--</v>
      </c>
      <c r="W35" s="211" t="str">
        <f t="shared" si="10"/>
        <v>--</v>
      </c>
      <c r="X35" s="212" t="str">
        <f t="shared" si="11"/>
        <v>--</v>
      </c>
      <c r="Y35" s="633" t="str">
        <f t="shared" si="12"/>
        <v>--</v>
      </c>
      <c r="Z35" s="634" t="str">
        <f t="shared" si="13"/>
        <v>--</v>
      </c>
      <c r="AA35" s="635" t="str">
        <f t="shared" si="14"/>
        <v>--</v>
      </c>
      <c r="AB35" s="213" t="str">
        <f t="shared" si="15"/>
        <v>--</v>
      </c>
      <c r="AC35" s="214" t="str">
        <f t="shared" si="16"/>
        <v>--</v>
      </c>
      <c r="AD35" s="719">
        <f t="shared" si="18"/>
      </c>
      <c r="AE35" s="16">
        <f t="shared" si="17"/>
      </c>
      <c r="AF35" s="636"/>
    </row>
    <row r="36" spans="2:32" s="5" customFormat="1" ht="16.5" customHeight="1">
      <c r="B36" s="50"/>
      <c r="C36" s="149"/>
      <c r="D36" s="149"/>
      <c r="E36" s="149"/>
      <c r="F36" s="143"/>
      <c r="G36" s="144"/>
      <c r="H36" s="680"/>
      <c r="I36" s="144"/>
      <c r="J36" s="627">
        <f t="shared" si="0"/>
        <v>20</v>
      </c>
      <c r="K36" s="628">
        <f t="shared" si="1"/>
        <v>97.649</v>
      </c>
      <c r="L36" s="177"/>
      <c r="M36" s="178"/>
      <c r="N36" s="179">
        <f t="shared" si="2"/>
      </c>
      <c r="O36" s="180">
        <f t="shared" si="3"/>
      </c>
      <c r="P36" s="208"/>
      <c r="Q36" s="718">
        <f t="shared" si="4"/>
      </c>
      <c r="R36" s="209">
        <f t="shared" si="5"/>
      </c>
      <c r="S36" s="209">
        <f t="shared" si="6"/>
      </c>
      <c r="T36" s="631" t="str">
        <f t="shared" si="7"/>
        <v>--</v>
      </c>
      <c r="U36" s="632" t="str">
        <f t="shared" si="8"/>
        <v>--</v>
      </c>
      <c r="V36" s="210" t="str">
        <f t="shared" si="9"/>
        <v>--</v>
      </c>
      <c r="W36" s="211" t="str">
        <f t="shared" si="10"/>
        <v>--</v>
      </c>
      <c r="X36" s="212" t="str">
        <f t="shared" si="11"/>
        <v>--</v>
      </c>
      <c r="Y36" s="633" t="str">
        <f t="shared" si="12"/>
        <v>--</v>
      </c>
      <c r="Z36" s="634" t="str">
        <f t="shared" si="13"/>
        <v>--</v>
      </c>
      <c r="AA36" s="635" t="str">
        <f t="shared" si="14"/>
        <v>--</v>
      </c>
      <c r="AB36" s="213" t="str">
        <f t="shared" si="15"/>
        <v>--</v>
      </c>
      <c r="AC36" s="214" t="str">
        <f t="shared" si="16"/>
        <v>--</v>
      </c>
      <c r="AD36" s="719">
        <f t="shared" si="18"/>
      </c>
      <c r="AE36" s="16">
        <f t="shared" si="17"/>
      </c>
      <c r="AF36" s="636"/>
    </row>
    <row r="37" spans="2:32" s="5" customFormat="1" ht="16.5" customHeight="1">
      <c r="B37" s="50"/>
      <c r="C37" s="262"/>
      <c r="D37" s="262"/>
      <c r="E37" s="262"/>
      <c r="F37" s="143"/>
      <c r="G37" s="144"/>
      <c r="H37" s="680"/>
      <c r="I37" s="144"/>
      <c r="J37" s="627">
        <f t="shared" si="0"/>
        <v>20</v>
      </c>
      <c r="K37" s="628">
        <f t="shared" si="1"/>
        <v>97.649</v>
      </c>
      <c r="L37" s="177"/>
      <c r="M37" s="178"/>
      <c r="N37" s="179">
        <f t="shared" si="2"/>
      </c>
      <c r="O37" s="180">
        <f t="shared" si="3"/>
      </c>
      <c r="P37" s="208"/>
      <c r="Q37" s="718">
        <f t="shared" si="4"/>
      </c>
      <c r="R37" s="209">
        <f t="shared" si="5"/>
      </c>
      <c r="S37" s="209">
        <f t="shared" si="6"/>
      </c>
      <c r="T37" s="631" t="str">
        <f t="shared" si="7"/>
        <v>--</v>
      </c>
      <c r="U37" s="632" t="str">
        <f t="shared" si="8"/>
        <v>--</v>
      </c>
      <c r="V37" s="210" t="str">
        <f t="shared" si="9"/>
        <v>--</v>
      </c>
      <c r="W37" s="211" t="str">
        <f t="shared" si="10"/>
        <v>--</v>
      </c>
      <c r="X37" s="212" t="str">
        <f t="shared" si="11"/>
        <v>--</v>
      </c>
      <c r="Y37" s="633" t="str">
        <f t="shared" si="12"/>
        <v>--</v>
      </c>
      <c r="Z37" s="634" t="str">
        <f t="shared" si="13"/>
        <v>--</v>
      </c>
      <c r="AA37" s="635" t="str">
        <f t="shared" si="14"/>
        <v>--</v>
      </c>
      <c r="AB37" s="213" t="str">
        <f t="shared" si="15"/>
        <v>--</v>
      </c>
      <c r="AC37" s="214" t="str">
        <f t="shared" si="16"/>
        <v>--</v>
      </c>
      <c r="AD37" s="719">
        <f t="shared" si="18"/>
      </c>
      <c r="AE37" s="16">
        <f t="shared" si="17"/>
      </c>
      <c r="AF37" s="636"/>
    </row>
    <row r="38" spans="2:32" s="5" customFormat="1" ht="16.5" customHeight="1">
      <c r="B38" s="50"/>
      <c r="C38" s="149"/>
      <c r="D38" s="149"/>
      <c r="E38" s="149"/>
      <c r="F38" s="143"/>
      <c r="G38" s="144"/>
      <c r="H38" s="680"/>
      <c r="I38" s="144"/>
      <c r="J38" s="627">
        <f t="shared" si="0"/>
        <v>20</v>
      </c>
      <c r="K38" s="628">
        <f t="shared" si="1"/>
        <v>97.649</v>
      </c>
      <c r="L38" s="177"/>
      <c r="M38" s="178"/>
      <c r="N38" s="179">
        <f t="shared" si="2"/>
      </c>
      <c r="O38" s="180">
        <f t="shared" si="3"/>
      </c>
      <c r="P38" s="208"/>
      <c r="Q38" s="718">
        <f t="shared" si="4"/>
      </c>
      <c r="R38" s="209">
        <f t="shared" si="5"/>
      </c>
      <c r="S38" s="209">
        <f t="shared" si="6"/>
      </c>
      <c r="T38" s="631" t="str">
        <f t="shared" si="7"/>
        <v>--</v>
      </c>
      <c r="U38" s="632" t="str">
        <f t="shared" si="8"/>
        <v>--</v>
      </c>
      <c r="V38" s="210" t="str">
        <f t="shared" si="9"/>
        <v>--</v>
      </c>
      <c r="W38" s="211" t="str">
        <f t="shared" si="10"/>
        <v>--</v>
      </c>
      <c r="X38" s="212" t="str">
        <f t="shared" si="11"/>
        <v>--</v>
      </c>
      <c r="Y38" s="633" t="str">
        <f t="shared" si="12"/>
        <v>--</v>
      </c>
      <c r="Z38" s="634" t="str">
        <f t="shared" si="13"/>
        <v>--</v>
      </c>
      <c r="AA38" s="635" t="str">
        <f t="shared" si="14"/>
        <v>--</v>
      </c>
      <c r="AB38" s="213" t="str">
        <f t="shared" si="15"/>
        <v>--</v>
      </c>
      <c r="AC38" s="214" t="str">
        <f t="shared" si="16"/>
        <v>--</v>
      </c>
      <c r="AD38" s="719">
        <f t="shared" si="18"/>
      </c>
      <c r="AE38" s="16">
        <f t="shared" si="17"/>
      </c>
      <c r="AF38" s="636"/>
    </row>
    <row r="39" spans="2:32" s="5" customFormat="1" ht="16.5" customHeight="1">
      <c r="B39" s="50"/>
      <c r="C39" s="262"/>
      <c r="D39" s="262"/>
      <c r="E39" s="262"/>
      <c r="F39" s="143"/>
      <c r="G39" s="144"/>
      <c r="H39" s="680"/>
      <c r="I39" s="144"/>
      <c r="J39" s="627">
        <f t="shared" si="0"/>
        <v>20</v>
      </c>
      <c r="K39" s="628">
        <f t="shared" si="1"/>
        <v>97.649</v>
      </c>
      <c r="L39" s="177"/>
      <c r="M39" s="178"/>
      <c r="N39" s="179">
        <f t="shared" si="2"/>
      </c>
      <c r="O39" s="180">
        <f t="shared" si="3"/>
      </c>
      <c r="P39" s="208"/>
      <c r="Q39" s="718">
        <f t="shared" si="4"/>
      </c>
      <c r="R39" s="209">
        <f t="shared" si="5"/>
      </c>
      <c r="S39" s="209">
        <f t="shared" si="6"/>
      </c>
      <c r="T39" s="631" t="str">
        <f t="shared" si="7"/>
        <v>--</v>
      </c>
      <c r="U39" s="632" t="str">
        <f t="shared" si="8"/>
        <v>--</v>
      </c>
      <c r="V39" s="210" t="str">
        <f t="shared" si="9"/>
        <v>--</v>
      </c>
      <c r="W39" s="211" t="str">
        <f t="shared" si="10"/>
        <v>--</v>
      </c>
      <c r="X39" s="212" t="str">
        <f t="shared" si="11"/>
        <v>--</v>
      </c>
      <c r="Y39" s="633" t="str">
        <f t="shared" si="12"/>
        <v>--</v>
      </c>
      <c r="Z39" s="634" t="str">
        <f t="shared" si="13"/>
        <v>--</v>
      </c>
      <c r="AA39" s="635" t="str">
        <f t="shared" si="14"/>
        <v>--</v>
      </c>
      <c r="AB39" s="213" t="str">
        <f t="shared" si="15"/>
        <v>--</v>
      </c>
      <c r="AC39" s="214" t="str">
        <f t="shared" si="16"/>
        <v>--</v>
      </c>
      <c r="AD39" s="719">
        <f t="shared" si="18"/>
      </c>
      <c r="AE39" s="16">
        <f t="shared" si="17"/>
      </c>
      <c r="AF39" s="636"/>
    </row>
    <row r="40" spans="2:32" s="5" customFormat="1" ht="16.5" customHeight="1">
      <c r="B40" s="50"/>
      <c r="C40" s="149"/>
      <c r="D40" s="149"/>
      <c r="E40" s="149"/>
      <c r="F40" s="143"/>
      <c r="G40" s="144"/>
      <c r="H40" s="680"/>
      <c r="I40" s="144"/>
      <c r="J40" s="627">
        <f t="shared" si="0"/>
        <v>20</v>
      </c>
      <c r="K40" s="628">
        <f t="shared" si="1"/>
        <v>97.649</v>
      </c>
      <c r="L40" s="177"/>
      <c r="M40" s="178"/>
      <c r="N40" s="179">
        <f t="shared" si="2"/>
      </c>
      <c r="O40" s="180">
        <f t="shared" si="3"/>
      </c>
      <c r="P40" s="208"/>
      <c r="Q40" s="718">
        <f t="shared" si="4"/>
      </c>
      <c r="R40" s="209">
        <f t="shared" si="5"/>
      </c>
      <c r="S40" s="209">
        <f t="shared" si="6"/>
      </c>
      <c r="T40" s="631" t="str">
        <f t="shared" si="7"/>
        <v>--</v>
      </c>
      <c r="U40" s="632" t="str">
        <f t="shared" si="8"/>
        <v>--</v>
      </c>
      <c r="V40" s="210" t="str">
        <f t="shared" si="9"/>
        <v>--</v>
      </c>
      <c r="W40" s="211" t="str">
        <f t="shared" si="10"/>
        <v>--</v>
      </c>
      <c r="X40" s="212" t="str">
        <f t="shared" si="11"/>
        <v>--</v>
      </c>
      <c r="Y40" s="633" t="str">
        <f t="shared" si="12"/>
        <v>--</v>
      </c>
      <c r="Z40" s="634" t="str">
        <f t="shared" si="13"/>
        <v>--</v>
      </c>
      <c r="AA40" s="635" t="str">
        <f t="shared" si="14"/>
        <v>--</v>
      </c>
      <c r="AB40" s="213" t="str">
        <f t="shared" si="15"/>
        <v>--</v>
      </c>
      <c r="AC40" s="214" t="str">
        <f t="shared" si="16"/>
        <v>--</v>
      </c>
      <c r="AD40" s="719">
        <f t="shared" si="18"/>
      </c>
      <c r="AE40" s="16">
        <f t="shared" si="17"/>
      </c>
      <c r="AF40" s="636"/>
    </row>
    <row r="41" spans="2:32" s="5" customFormat="1" ht="16.5" customHeight="1">
      <c r="B41" s="50"/>
      <c r="C41" s="262"/>
      <c r="D41" s="262"/>
      <c r="E41" s="262"/>
      <c r="F41" s="143"/>
      <c r="G41" s="144"/>
      <c r="H41" s="680"/>
      <c r="I41" s="144"/>
      <c r="J41" s="627">
        <f t="shared" si="0"/>
        <v>20</v>
      </c>
      <c r="K41" s="628">
        <f t="shared" si="1"/>
        <v>97.649</v>
      </c>
      <c r="L41" s="177"/>
      <c r="M41" s="178"/>
      <c r="N41" s="179">
        <f t="shared" si="2"/>
      </c>
      <c r="O41" s="180">
        <f t="shared" si="3"/>
      </c>
      <c r="P41" s="208"/>
      <c r="Q41" s="718">
        <f t="shared" si="4"/>
      </c>
      <c r="R41" s="209">
        <f t="shared" si="5"/>
      </c>
      <c r="S41" s="209">
        <f t="shared" si="6"/>
      </c>
      <c r="T41" s="631" t="str">
        <f t="shared" si="7"/>
        <v>--</v>
      </c>
      <c r="U41" s="632" t="str">
        <f t="shared" si="8"/>
        <v>--</v>
      </c>
      <c r="V41" s="210" t="str">
        <f t="shared" si="9"/>
        <v>--</v>
      </c>
      <c r="W41" s="211" t="str">
        <f t="shared" si="10"/>
        <v>--</v>
      </c>
      <c r="X41" s="212" t="str">
        <f t="shared" si="11"/>
        <v>--</v>
      </c>
      <c r="Y41" s="633" t="str">
        <f t="shared" si="12"/>
        <v>--</v>
      </c>
      <c r="Z41" s="634" t="str">
        <f t="shared" si="13"/>
        <v>--</v>
      </c>
      <c r="AA41" s="635" t="str">
        <f t="shared" si="14"/>
        <v>--</v>
      </c>
      <c r="AB41" s="213" t="str">
        <f t="shared" si="15"/>
        <v>--</v>
      </c>
      <c r="AC41" s="214" t="str">
        <f t="shared" si="16"/>
        <v>--</v>
      </c>
      <c r="AD41" s="719">
        <f t="shared" si="18"/>
      </c>
      <c r="AE41" s="16">
        <f t="shared" si="17"/>
      </c>
      <c r="AF41" s="636"/>
    </row>
    <row r="42" spans="2:32" s="5" customFormat="1" ht="16.5" customHeight="1" thickBot="1">
      <c r="B42" s="50"/>
      <c r="C42" s="717"/>
      <c r="D42" s="720"/>
      <c r="E42" s="149"/>
      <c r="F42" s="146"/>
      <c r="G42" s="216"/>
      <c r="H42" s="674"/>
      <c r="I42" s="217"/>
      <c r="J42" s="641"/>
      <c r="K42" s="642"/>
      <c r="L42" s="672"/>
      <c r="M42" s="672"/>
      <c r="N42" s="9"/>
      <c r="O42" s="9"/>
      <c r="P42" s="148"/>
      <c r="Q42" s="182"/>
      <c r="R42" s="148"/>
      <c r="S42" s="148"/>
      <c r="T42" s="643"/>
      <c r="U42" s="644"/>
      <c r="V42" s="218"/>
      <c r="W42" s="219"/>
      <c r="X42" s="220"/>
      <c r="Y42" s="645"/>
      <c r="Z42" s="646"/>
      <c r="AA42" s="647"/>
      <c r="AB42" s="221"/>
      <c r="AC42" s="222"/>
      <c r="AD42" s="648"/>
      <c r="AE42" s="223"/>
      <c r="AF42" s="636"/>
    </row>
    <row r="43" spans="2:32" s="5" customFormat="1" ht="16.5" customHeight="1" thickBot="1" thickTop="1">
      <c r="B43" s="50"/>
      <c r="C43" s="125" t="s">
        <v>23</v>
      </c>
      <c r="D43" s="729" t="s">
        <v>217</v>
      </c>
      <c r="E43" s="125"/>
      <c r="F43" s="126"/>
      <c r="G43" s="224"/>
      <c r="H43" s="194"/>
      <c r="I43" s="225"/>
      <c r="J43" s="194"/>
      <c r="K43" s="183"/>
      <c r="L43" s="183"/>
      <c r="M43" s="183"/>
      <c r="N43" s="183"/>
      <c r="O43" s="183"/>
      <c r="P43" s="183"/>
      <c r="Q43" s="226"/>
      <c r="R43" s="183"/>
      <c r="S43" s="183"/>
      <c r="T43" s="649">
        <f aca="true" t="shared" si="19" ref="T43:AC43">SUM(T20:T42)</f>
        <v>27.341720000000002</v>
      </c>
      <c r="U43" s="650">
        <f t="shared" si="19"/>
        <v>0</v>
      </c>
      <c r="V43" s="651">
        <f t="shared" si="19"/>
        <v>0</v>
      </c>
      <c r="W43" s="651">
        <f t="shared" si="19"/>
        <v>0</v>
      </c>
      <c r="X43" s="651">
        <f t="shared" si="19"/>
        <v>0</v>
      </c>
      <c r="Y43" s="652">
        <f t="shared" si="19"/>
        <v>0</v>
      </c>
      <c r="Z43" s="652">
        <f t="shared" si="19"/>
        <v>0</v>
      </c>
      <c r="AA43" s="652">
        <f t="shared" si="19"/>
        <v>0</v>
      </c>
      <c r="AB43" s="227">
        <f t="shared" si="19"/>
        <v>0</v>
      </c>
      <c r="AC43" s="228">
        <f t="shared" si="19"/>
        <v>0</v>
      </c>
      <c r="AD43" s="229"/>
      <c r="AE43" s="230">
        <f>ROUND(SUM(AE20:AE42),2)</f>
        <v>142199.6</v>
      </c>
      <c r="AF43" s="636"/>
    </row>
    <row r="44" spans="2:32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</row>
    <row r="45" spans="2:32" ht="16.5" customHeight="1" thickTop="1">
      <c r="B45" s="1"/>
      <c r="C45" s="1"/>
      <c r="D45" s="1"/>
      <c r="AF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AF45"/>
  <sheetViews>
    <sheetView zoomScale="70" zoomScaleNormal="70" workbookViewId="0" topLeftCell="A1">
      <selection activeCell="P23" sqref="P23"/>
    </sheetView>
  </sheetViews>
  <sheetFormatPr defaultColWidth="11.421875" defaultRowHeight="12.75"/>
  <cols>
    <col min="1" max="2" width="4.140625" style="0" customWidth="1"/>
    <col min="3" max="3" width="5.57421875" style="0" customWidth="1"/>
    <col min="4" max="4" width="13.7109375" style="0" customWidth="1"/>
    <col min="5" max="5" width="13.8515625" style="0" customWidth="1"/>
    <col min="6" max="6" width="45.7109375" style="0" customWidth="1"/>
    <col min="7" max="8" width="9.7109375" style="0" customWidth="1"/>
    <col min="9" max="9" width="3.7109375" style="0" customWidth="1"/>
    <col min="10" max="10" width="4.421875" style="0" hidden="1" customWidth="1"/>
    <col min="11" max="11" width="7.8515625" style="0" hidden="1" customWidth="1"/>
    <col min="12" max="13" width="15.7109375" style="0" customWidth="1"/>
    <col min="14" max="16" width="9.7109375" style="0" customWidth="1"/>
    <col min="17" max="17" width="8.7109375" style="0" customWidth="1"/>
    <col min="18" max="18" width="5.421875" style="0" customWidth="1"/>
    <col min="19" max="19" width="5.7109375" style="0" bestFit="1" customWidth="1"/>
    <col min="20" max="21" width="12.140625" style="0" hidden="1" customWidth="1"/>
    <col min="22" max="22" width="11.421875" style="0" hidden="1" customWidth="1"/>
    <col min="23" max="23" width="12.57421875" style="0" hidden="1" customWidth="1"/>
    <col min="24" max="27" width="6.00390625" style="0" hidden="1" customWidth="1"/>
    <col min="28" max="28" width="11.7109375" style="0" hidden="1" customWidth="1"/>
    <col min="29" max="29" width="12.8515625" style="0" hidden="1" customWidth="1"/>
    <col min="30" max="30" width="9.7109375" style="0" customWidth="1"/>
    <col min="31" max="31" width="15.7109375" style="0" customWidth="1"/>
    <col min="32" max="32" width="4.140625" style="0" customWidth="1"/>
    <col min="33" max="33" width="30.421875" style="0" customWidth="1"/>
    <col min="34" max="34" width="3.140625" style="0" customWidth="1"/>
    <col min="35" max="35" width="3.57421875" style="0" customWidth="1"/>
    <col min="36" max="36" width="24.28125" style="0" customWidth="1"/>
    <col min="37" max="37" width="4.7109375" style="0" customWidth="1"/>
    <col min="38" max="38" width="7.57421875" style="0" customWidth="1"/>
    <col min="39" max="40" width="4.140625" style="0" customWidth="1"/>
    <col min="41" max="41" width="7.140625" style="0" customWidth="1"/>
    <col min="42" max="42" width="5.28125" style="0" customWidth="1"/>
    <col min="43" max="43" width="5.421875" style="0" customWidth="1"/>
    <col min="44" max="44" width="4.7109375" style="0" customWidth="1"/>
    <col min="45" max="45" width="5.28125" style="0" customWidth="1"/>
    <col min="46" max="47" width="13.28125" style="0" customWidth="1"/>
    <col min="48" max="48" width="6.57421875" style="0" customWidth="1"/>
    <col min="49" max="49" width="6.421875" style="0" customWidth="1"/>
    <col min="54" max="54" width="12.7109375" style="0" customWidth="1"/>
    <col min="58" max="58" width="21.00390625" style="0" customWidth="1"/>
  </cols>
  <sheetData>
    <row r="1" spans="1:32" s="18" customFormat="1" ht="26.25">
      <c r="A1"/>
      <c r="E1"/>
      <c r="G1"/>
      <c r="I1"/>
      <c r="K1"/>
      <c r="M1"/>
      <c r="O1"/>
      <c r="Q1"/>
      <c r="S1"/>
      <c r="U1"/>
      <c r="W1"/>
      <c r="Y1"/>
      <c r="AA1"/>
      <c r="AF1" s="141"/>
    </row>
    <row r="2" spans="1:32" s="18" customFormat="1" ht="26.25">
      <c r="A2" s="89"/>
      <c r="B2" s="19" t="str">
        <f>'TOT-0709'!B2</f>
        <v>ANEXO II al Memorándum D.T.E.E. N°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32" s="5" customFormat="1" ht="13.5" thickTop="1">
      <c r="B7" s="69"/>
      <c r="C7" s="70"/>
      <c r="D7" s="70"/>
      <c r="E7" s="70"/>
      <c r="F7" s="70"/>
      <c r="G7" s="186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92"/>
    </row>
    <row r="8" spans="2:32" s="29" customFormat="1" ht="20.25">
      <c r="B8" s="79"/>
      <c r="C8" s="30"/>
      <c r="D8" s="30"/>
      <c r="E8" s="30"/>
      <c r="F8" s="167" t="s">
        <v>54</v>
      </c>
      <c r="G8" s="30"/>
      <c r="H8" s="30"/>
      <c r="I8" s="30"/>
      <c r="J8" s="30"/>
      <c r="P8" s="30"/>
      <c r="Q8" s="30"/>
      <c r="R8" s="11"/>
      <c r="S8" s="11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05"/>
    </row>
    <row r="9" spans="2:32" s="5" customFormat="1" ht="12.75">
      <c r="B9" s="5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7"/>
    </row>
    <row r="10" spans="2:32" s="29" customFormat="1" ht="20.25">
      <c r="B10" s="79"/>
      <c r="C10" s="30"/>
      <c r="D10" s="30"/>
      <c r="E10" s="30"/>
      <c r="F10" s="11" t="s">
        <v>11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05"/>
    </row>
    <row r="11" spans="2:32" s="5" customFormat="1" ht="12.75">
      <c r="B11" s="5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17"/>
    </row>
    <row r="12" spans="2:32" s="29" customFormat="1" ht="20.25">
      <c r="B12" s="79"/>
      <c r="C12" s="30"/>
      <c r="D12" s="30"/>
      <c r="E12" s="30"/>
      <c r="F12" s="11" t="s">
        <v>223</v>
      </c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11"/>
      <c r="S12" s="1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05"/>
    </row>
    <row r="13" spans="2:32" s="5" customFormat="1" ht="12.75">
      <c r="B13" s="50"/>
      <c r="C13" s="4"/>
      <c r="D13" s="4"/>
      <c r="E13" s="4"/>
      <c r="F13" s="4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7"/>
    </row>
    <row r="14" spans="2:32" s="36" customFormat="1" ht="19.5">
      <c r="B14" s="37" t="str">
        <f>'TOT-0709'!B14</f>
        <v>Desde el 01 al 31 de julio de 2009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189"/>
      <c r="Q14" s="18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135"/>
    </row>
    <row r="15" spans="2:32" s="5" customFormat="1" ht="16.5" customHeight="1" thickBot="1">
      <c r="B15" s="50"/>
      <c r="C15" s="4"/>
      <c r="D15" s="4"/>
      <c r="E15" s="4"/>
      <c r="F15" s="4"/>
      <c r="G15" s="66"/>
      <c r="H15" s="66"/>
      <c r="I15" s="4"/>
      <c r="J15" s="4"/>
      <c r="K15" s="4"/>
      <c r="L15" s="190"/>
      <c r="M15" s="4"/>
      <c r="N15" s="4"/>
      <c r="O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7"/>
    </row>
    <row r="16" spans="2:32" s="5" customFormat="1" ht="16.5" customHeight="1" thickBot="1" thickTop="1">
      <c r="B16" s="50"/>
      <c r="C16" s="4"/>
      <c r="D16" s="4"/>
      <c r="E16" s="4"/>
      <c r="F16" s="82" t="s">
        <v>71</v>
      </c>
      <c r="G16" s="675">
        <v>117.179</v>
      </c>
      <c r="H16" s="19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7"/>
    </row>
    <row r="17" spans="2:32" s="5" customFormat="1" ht="16.5" customHeight="1" thickBot="1" thickTop="1">
      <c r="B17" s="50"/>
      <c r="C17" s="4"/>
      <c r="D17" s="4"/>
      <c r="E17" s="4"/>
      <c r="F17" s="82" t="s">
        <v>72</v>
      </c>
      <c r="G17" s="675">
        <v>97.649</v>
      </c>
      <c r="H17" s="191"/>
      <c r="I17" s="4"/>
      <c r="J17" s="4"/>
      <c r="K17" s="4"/>
      <c r="L17" s="192"/>
      <c r="M17" s="193"/>
      <c r="N17" s="4"/>
      <c r="O17" s="4"/>
      <c r="P17" s="4"/>
      <c r="Q17" s="4"/>
      <c r="R17" s="4"/>
      <c r="S17" s="4"/>
      <c r="T17" s="4"/>
      <c r="U17" s="4"/>
      <c r="V17" s="4"/>
      <c r="W17" s="4"/>
      <c r="X17" s="113"/>
      <c r="Y17" s="113"/>
      <c r="Z17" s="113"/>
      <c r="AA17" s="113"/>
      <c r="AB17" s="113"/>
      <c r="AC17" s="113"/>
      <c r="AD17" s="113"/>
      <c r="AF17" s="17"/>
    </row>
    <row r="18" spans="2:32" s="5" customFormat="1" ht="16.5" customHeight="1" thickBot="1" thickTop="1">
      <c r="B18" s="50"/>
      <c r="C18" s="726">
        <v>3</v>
      </c>
      <c r="D18" s="726">
        <v>4</v>
      </c>
      <c r="E18" s="726">
        <v>5</v>
      </c>
      <c r="F18" s="726">
        <v>6</v>
      </c>
      <c r="G18" s="726">
        <v>7</v>
      </c>
      <c r="H18" s="726">
        <v>8</v>
      </c>
      <c r="I18" s="726">
        <v>9</v>
      </c>
      <c r="J18" s="726">
        <v>10</v>
      </c>
      <c r="K18" s="726">
        <v>11</v>
      </c>
      <c r="L18" s="726">
        <v>12</v>
      </c>
      <c r="M18" s="726">
        <v>13</v>
      </c>
      <c r="N18" s="726">
        <v>14</v>
      </c>
      <c r="O18" s="726">
        <v>15</v>
      </c>
      <c r="P18" s="726">
        <v>16</v>
      </c>
      <c r="Q18" s="726">
        <v>17</v>
      </c>
      <c r="R18" s="726">
        <v>18</v>
      </c>
      <c r="S18" s="726">
        <v>19</v>
      </c>
      <c r="T18" s="726">
        <v>20</v>
      </c>
      <c r="U18" s="726">
        <v>21</v>
      </c>
      <c r="V18" s="726">
        <v>22</v>
      </c>
      <c r="W18" s="726">
        <v>23</v>
      </c>
      <c r="X18" s="726">
        <v>24</v>
      </c>
      <c r="Y18" s="726">
        <v>25</v>
      </c>
      <c r="Z18" s="726">
        <v>26</v>
      </c>
      <c r="AA18" s="726">
        <v>27</v>
      </c>
      <c r="AB18" s="726">
        <v>28</v>
      </c>
      <c r="AC18" s="726">
        <v>29</v>
      </c>
      <c r="AD18" s="726">
        <v>30</v>
      </c>
      <c r="AE18" s="726">
        <v>31</v>
      </c>
      <c r="AF18" s="17"/>
    </row>
    <row r="19" spans="2:32" s="5" customFormat="1" ht="33.75" customHeight="1" thickBot="1" thickTop="1">
      <c r="B19" s="50"/>
      <c r="C19" s="84" t="s">
        <v>12</v>
      </c>
      <c r="D19" s="84" t="s">
        <v>128</v>
      </c>
      <c r="E19" s="84" t="s">
        <v>129</v>
      </c>
      <c r="F19" s="85" t="s">
        <v>0</v>
      </c>
      <c r="G19" s="609" t="s">
        <v>13</v>
      </c>
      <c r="H19" s="86" t="s">
        <v>14</v>
      </c>
      <c r="I19" s="195" t="s">
        <v>56</v>
      </c>
      <c r="J19" s="610" t="s">
        <v>35</v>
      </c>
      <c r="K19" s="611" t="s">
        <v>15</v>
      </c>
      <c r="L19" s="85" t="s">
        <v>16</v>
      </c>
      <c r="M19" s="171" t="s">
        <v>17</v>
      </c>
      <c r="N19" s="87" t="s">
        <v>34</v>
      </c>
      <c r="O19" s="86" t="s">
        <v>29</v>
      </c>
      <c r="P19" s="87" t="s">
        <v>18</v>
      </c>
      <c r="Q19" s="86" t="s">
        <v>44</v>
      </c>
      <c r="R19" s="171" t="s">
        <v>45</v>
      </c>
      <c r="S19" s="85" t="s">
        <v>30</v>
      </c>
      <c r="T19" s="134" t="s">
        <v>19</v>
      </c>
      <c r="U19" s="612" t="s">
        <v>20</v>
      </c>
      <c r="V19" s="196" t="s">
        <v>46</v>
      </c>
      <c r="W19" s="197"/>
      <c r="X19" s="198"/>
      <c r="Y19" s="613" t="s">
        <v>107</v>
      </c>
      <c r="Z19" s="614"/>
      <c r="AA19" s="615"/>
      <c r="AB19" s="199" t="s">
        <v>21</v>
      </c>
      <c r="AC19" s="200" t="s">
        <v>57</v>
      </c>
      <c r="AD19" s="130" t="s">
        <v>58</v>
      </c>
      <c r="AE19" s="130" t="s">
        <v>22</v>
      </c>
      <c r="AF19" s="201"/>
    </row>
    <row r="20" spans="2:32" s="5" customFormat="1" ht="16.5" customHeight="1" thickTop="1">
      <c r="B20" s="50"/>
      <c r="C20" s="173"/>
      <c r="D20" s="173"/>
      <c r="E20" s="173"/>
      <c r="F20" s="658"/>
      <c r="G20" s="658"/>
      <c r="H20" s="676"/>
      <c r="I20" s="657"/>
      <c r="J20" s="659"/>
      <c r="K20" s="660"/>
      <c r="L20" s="671"/>
      <c r="M20" s="671"/>
      <c r="N20" s="657"/>
      <c r="O20" s="657"/>
      <c r="P20" s="657"/>
      <c r="Q20" s="657"/>
      <c r="R20" s="657"/>
      <c r="S20" s="657"/>
      <c r="T20" s="661"/>
      <c r="U20" s="662"/>
      <c r="V20" s="663"/>
      <c r="W20" s="664"/>
      <c r="X20" s="665"/>
      <c r="Y20" s="666"/>
      <c r="Z20" s="667"/>
      <c r="AA20" s="668"/>
      <c r="AB20" s="669"/>
      <c r="AC20" s="670"/>
      <c r="AD20" s="657"/>
      <c r="AE20" s="616"/>
      <c r="AF20" s="17"/>
    </row>
    <row r="21" spans="2:32" s="5" customFormat="1" ht="16.5" customHeight="1">
      <c r="B21" s="50"/>
      <c r="C21" s="262"/>
      <c r="D21" s="262"/>
      <c r="E21" s="262"/>
      <c r="F21" s="174"/>
      <c r="G21" s="7"/>
      <c r="H21" s="677"/>
      <c r="I21" s="174"/>
      <c r="J21" s="617"/>
      <c r="K21" s="618"/>
      <c r="L21" s="202"/>
      <c r="M21" s="113"/>
      <c r="N21" s="174"/>
      <c r="O21" s="174"/>
      <c r="P21" s="175"/>
      <c r="Q21" s="174"/>
      <c r="R21" s="174"/>
      <c r="S21" s="174"/>
      <c r="T21" s="619"/>
      <c r="U21" s="620"/>
      <c r="V21" s="621"/>
      <c r="W21" s="622"/>
      <c r="X21" s="623"/>
      <c r="Y21" s="624"/>
      <c r="Z21" s="625"/>
      <c r="AA21" s="626"/>
      <c r="AB21" s="203"/>
      <c r="AC21" s="204"/>
      <c r="AD21" s="174"/>
      <c r="AE21" s="205"/>
      <c r="AF21" s="17"/>
    </row>
    <row r="22" spans="2:32" s="5" customFormat="1" ht="16.5" customHeight="1">
      <c r="B22" s="50"/>
      <c r="C22" s="149">
        <v>21</v>
      </c>
      <c r="D22" s="149">
        <v>209098</v>
      </c>
      <c r="E22" s="149">
        <v>3561</v>
      </c>
      <c r="F22" s="149" t="s">
        <v>248</v>
      </c>
      <c r="G22" s="176">
        <v>500</v>
      </c>
      <c r="H22" s="678">
        <v>348.3999938964844</v>
      </c>
      <c r="I22" s="176" t="s">
        <v>140</v>
      </c>
      <c r="J22" s="627">
        <f aca="true" t="shared" si="0" ref="J22:J41">IF(I22="A",200,IF(I22="B",60,20))</f>
        <v>200</v>
      </c>
      <c r="K22" s="628">
        <f aca="true" t="shared" si="1" ref="K22:K41">IF(G22=500,IF(H22&lt;100,100*$G$16/100,H22*$G$16/100),IF(H22&lt;100,100*$G$17/100,H22*$G$17/100))</f>
        <v>408.2516288479614</v>
      </c>
      <c r="L22" s="629">
        <v>40016.29722222222</v>
      </c>
      <c r="M22" s="630">
        <v>40016.47152777778</v>
      </c>
      <c r="N22" s="179">
        <f aca="true" t="shared" si="2" ref="N22:N41">IF(F22="","",(M22-L22)*24)</f>
        <v>4.183333333348855</v>
      </c>
      <c r="O22" s="180">
        <f aca="true" t="shared" si="3" ref="O22:O41">IF(F22="","",ROUND((M22-L22)*24*60,0))</f>
        <v>251</v>
      </c>
      <c r="P22" s="208" t="s">
        <v>301</v>
      </c>
      <c r="Q22" s="718" t="str">
        <f aca="true" t="shared" si="4" ref="Q22:Q41">IF(F22="","","--")</f>
        <v>--</v>
      </c>
      <c r="R22" s="209" t="str">
        <f aca="true" t="shared" si="5" ref="R22:R41">IF(F22="","","NO")</f>
        <v>NO</v>
      </c>
      <c r="S22" s="209" t="str">
        <f aca="true" t="shared" si="6" ref="S22:S41">IF(F22="","",IF(OR(P22="P",P22="RP"),"--","NO"))</f>
        <v>NO</v>
      </c>
      <c r="T22" s="733" t="str">
        <f aca="true" t="shared" si="7" ref="T22:T41">IF(P22="P",K22*J22*ROUND(O22/60,2)*0.01,"--")</f>
        <v>--</v>
      </c>
      <c r="U22" s="734" t="str">
        <f aca="true" t="shared" si="8" ref="U22:U41">IF(P22="RP",K22*J22*ROUND(O22/60,2)*0.01*Q22/100,"--")</f>
        <v>--</v>
      </c>
      <c r="V22" s="735" t="str">
        <f aca="true" t="shared" si="9" ref="V22:V41">IF(AND(P22="F",S22="NO"),K22*J22*IF(R22="SI",1.2,1),"--")</f>
        <v>--</v>
      </c>
      <c r="W22" s="736" t="str">
        <f aca="true" t="shared" si="10" ref="W22:W41">IF(AND(P22="F",O22&gt;=10),K22*J22*IF(R22="SI",1.2,1)*IF(O22&lt;=300,ROUND(O22/60,2),5),"--")</f>
        <v>--</v>
      </c>
      <c r="X22" s="737" t="str">
        <f aca="true" t="shared" si="11" ref="X22:X41">IF(AND(P22="F",O22&gt;300),(ROUND(O22/60,2)-5)*K22*J22*0.1*IF(R22="SI",1.2,1),"--")</f>
        <v>--</v>
      </c>
      <c r="Y22" s="731" t="str">
        <f aca="true" t="shared" si="12" ref="Y22:Y41">IF(AND(P22="R",S22="NO"),K22*J22*Q22/100*IF(R22="SI",1.2,1),"--")</f>
        <v>--</v>
      </c>
      <c r="Z22" s="732" t="str">
        <f aca="true" t="shared" si="13" ref="Z22:Z41">IF(AND(P22="R",O22&gt;=10),K22*J22*Q22/100*IF(R22="SI",1.2,1)*IF(O22&lt;=300,ROUND(O22/60,2),5),"--")</f>
        <v>--</v>
      </c>
      <c r="AA22" s="738" t="str">
        <f aca="true" t="shared" si="14" ref="AA22:AA41">IF(AND(P22="R",O22&gt;300),(ROUND(O22/60,2)-5)*K22*J22*0.1*Q22/100*IF(R22="SI",1.2,1),"--")</f>
        <v>--</v>
      </c>
      <c r="AB22" s="739" t="str">
        <f aca="true" t="shared" si="15" ref="AB22:AB41">IF(P22="RF",ROUND(O22/60,2)*K22*J22*0.1*IF(R22="SI",1.2,1),"--")</f>
        <v>--</v>
      </c>
      <c r="AC22" s="740" t="str">
        <f aca="true" t="shared" si="16" ref="AC22:AC41">IF(P22="RR",ROUND(O22/60,2)*K22*J22*0.1*Q22/100*IF(R22="SI",1.2,1),"--")</f>
        <v>--</v>
      </c>
      <c r="AD22" s="746" t="s">
        <v>117</v>
      </c>
      <c r="AE22" s="16">
        <v>422948.687486488</v>
      </c>
      <c r="AF22" s="636"/>
    </row>
    <row r="23" spans="2:32" s="5" customFormat="1" ht="16.5" customHeight="1">
      <c r="B23" s="50"/>
      <c r="C23" s="262"/>
      <c r="D23" s="262"/>
      <c r="E23" s="262"/>
      <c r="F23" s="149"/>
      <c r="G23" s="176"/>
      <c r="H23" s="678"/>
      <c r="I23" s="176"/>
      <c r="J23" s="627">
        <f t="shared" si="0"/>
        <v>20</v>
      </c>
      <c r="K23" s="628">
        <f t="shared" si="1"/>
        <v>97.649</v>
      </c>
      <c r="L23" s="629"/>
      <c r="M23" s="630"/>
      <c r="N23" s="179">
        <f t="shared" si="2"/>
      </c>
      <c r="O23" s="180">
        <f t="shared" si="3"/>
      </c>
      <c r="P23" s="208"/>
      <c r="Q23" s="718">
        <f t="shared" si="4"/>
      </c>
      <c r="R23" s="209">
        <f t="shared" si="5"/>
      </c>
      <c r="S23" s="209">
        <f t="shared" si="6"/>
      </c>
      <c r="T23" s="733" t="str">
        <f t="shared" si="7"/>
        <v>--</v>
      </c>
      <c r="U23" s="734" t="str">
        <f t="shared" si="8"/>
        <v>--</v>
      </c>
      <c r="V23" s="735" t="str">
        <f t="shared" si="9"/>
        <v>--</v>
      </c>
      <c r="W23" s="736" t="str">
        <f t="shared" si="10"/>
        <v>--</v>
      </c>
      <c r="X23" s="737" t="str">
        <f t="shared" si="11"/>
        <v>--</v>
      </c>
      <c r="Y23" s="731" t="str">
        <f t="shared" si="12"/>
        <v>--</v>
      </c>
      <c r="Z23" s="732" t="str">
        <f t="shared" si="13"/>
        <v>--</v>
      </c>
      <c r="AA23" s="738" t="str">
        <f t="shared" si="14"/>
        <v>--</v>
      </c>
      <c r="AB23" s="739" t="str">
        <f t="shared" si="15"/>
        <v>--</v>
      </c>
      <c r="AC23" s="740" t="str">
        <f t="shared" si="16"/>
        <v>--</v>
      </c>
      <c r="AD23" s="719">
        <f aca="true" t="shared" si="17" ref="AD23:AD41">IF(F23="","","SI")</f>
      </c>
      <c r="AE23" s="16">
        <f aca="true" t="shared" si="18" ref="AE23:AE41">IF(F23="","",SUM(T23:AC23)*IF(AD23="SI",1,2))</f>
      </c>
      <c r="AF23" s="636"/>
    </row>
    <row r="24" spans="2:32" s="5" customFormat="1" ht="16.5" customHeight="1">
      <c r="B24" s="50"/>
      <c r="C24" s="149"/>
      <c r="D24" s="149"/>
      <c r="E24" s="149"/>
      <c r="F24" s="637"/>
      <c r="G24" s="638"/>
      <c r="H24" s="679"/>
      <c r="I24" s="638"/>
      <c r="J24" s="627">
        <f t="shared" si="0"/>
        <v>20</v>
      </c>
      <c r="K24" s="628">
        <f t="shared" si="1"/>
        <v>97.649</v>
      </c>
      <c r="L24" s="639"/>
      <c r="M24" s="640"/>
      <c r="N24" s="179">
        <f t="shared" si="2"/>
      </c>
      <c r="O24" s="180">
        <f t="shared" si="3"/>
      </c>
      <c r="P24" s="208"/>
      <c r="Q24" s="718">
        <f t="shared" si="4"/>
      </c>
      <c r="R24" s="209">
        <f t="shared" si="5"/>
      </c>
      <c r="S24" s="209">
        <f t="shared" si="6"/>
      </c>
      <c r="T24" s="733" t="str">
        <f t="shared" si="7"/>
        <v>--</v>
      </c>
      <c r="U24" s="734" t="str">
        <f t="shared" si="8"/>
        <v>--</v>
      </c>
      <c r="V24" s="735" t="str">
        <f t="shared" si="9"/>
        <v>--</v>
      </c>
      <c r="W24" s="736" t="str">
        <f t="shared" si="10"/>
        <v>--</v>
      </c>
      <c r="X24" s="737" t="str">
        <f t="shared" si="11"/>
        <v>--</v>
      </c>
      <c r="Y24" s="731" t="str">
        <f t="shared" si="12"/>
        <v>--</v>
      </c>
      <c r="Z24" s="732" t="str">
        <f t="shared" si="13"/>
        <v>--</v>
      </c>
      <c r="AA24" s="738" t="str">
        <f t="shared" si="14"/>
        <v>--</v>
      </c>
      <c r="AB24" s="739" t="str">
        <f t="shared" si="15"/>
        <v>--</v>
      </c>
      <c r="AC24" s="740" t="str">
        <f t="shared" si="16"/>
        <v>--</v>
      </c>
      <c r="AD24" s="719">
        <f t="shared" si="17"/>
      </c>
      <c r="AE24" s="16">
        <f t="shared" si="18"/>
      </c>
      <c r="AF24" s="636"/>
    </row>
    <row r="25" spans="2:32" s="5" customFormat="1" ht="16.5" customHeight="1">
      <c r="B25" s="50"/>
      <c r="C25" s="262"/>
      <c r="D25" s="262"/>
      <c r="E25" s="262"/>
      <c r="F25" s="637"/>
      <c r="G25" s="638"/>
      <c r="H25" s="679"/>
      <c r="I25" s="638"/>
      <c r="J25" s="627">
        <f t="shared" si="0"/>
        <v>20</v>
      </c>
      <c r="K25" s="628">
        <f t="shared" si="1"/>
        <v>97.649</v>
      </c>
      <c r="L25" s="639"/>
      <c r="M25" s="640"/>
      <c r="N25" s="179">
        <f t="shared" si="2"/>
      </c>
      <c r="O25" s="180">
        <f t="shared" si="3"/>
      </c>
      <c r="P25" s="208"/>
      <c r="Q25" s="718">
        <f t="shared" si="4"/>
      </c>
      <c r="R25" s="209">
        <f t="shared" si="5"/>
      </c>
      <c r="S25" s="209">
        <f t="shared" si="6"/>
      </c>
      <c r="T25" s="733" t="str">
        <f t="shared" si="7"/>
        <v>--</v>
      </c>
      <c r="U25" s="734" t="str">
        <f t="shared" si="8"/>
        <v>--</v>
      </c>
      <c r="V25" s="735" t="str">
        <f t="shared" si="9"/>
        <v>--</v>
      </c>
      <c r="W25" s="736" t="str">
        <f t="shared" si="10"/>
        <v>--</v>
      </c>
      <c r="X25" s="737" t="str">
        <f t="shared" si="11"/>
        <v>--</v>
      </c>
      <c r="Y25" s="731" t="str">
        <f t="shared" si="12"/>
        <v>--</v>
      </c>
      <c r="Z25" s="732" t="str">
        <f t="shared" si="13"/>
        <v>--</v>
      </c>
      <c r="AA25" s="738" t="str">
        <f t="shared" si="14"/>
        <v>--</v>
      </c>
      <c r="AB25" s="739" t="str">
        <f t="shared" si="15"/>
        <v>--</v>
      </c>
      <c r="AC25" s="740" t="str">
        <f t="shared" si="16"/>
        <v>--</v>
      </c>
      <c r="AD25" s="719">
        <f t="shared" si="17"/>
      </c>
      <c r="AE25" s="16">
        <f t="shared" si="18"/>
      </c>
      <c r="AF25" s="636"/>
    </row>
    <row r="26" spans="2:32" s="5" customFormat="1" ht="16.5" customHeight="1">
      <c r="B26" s="50"/>
      <c r="C26" s="149"/>
      <c r="D26" s="149"/>
      <c r="E26" s="149"/>
      <c r="F26" s="149"/>
      <c r="G26" s="176"/>
      <c r="H26" s="678"/>
      <c r="I26" s="176"/>
      <c r="J26" s="627">
        <f t="shared" si="0"/>
        <v>20</v>
      </c>
      <c r="K26" s="628">
        <f t="shared" si="1"/>
        <v>97.649</v>
      </c>
      <c r="L26" s="629"/>
      <c r="M26" s="630"/>
      <c r="N26" s="179">
        <f t="shared" si="2"/>
      </c>
      <c r="O26" s="180">
        <f t="shared" si="3"/>
      </c>
      <c r="P26" s="208"/>
      <c r="Q26" s="718">
        <f t="shared" si="4"/>
      </c>
      <c r="R26" s="209">
        <f t="shared" si="5"/>
      </c>
      <c r="S26" s="209">
        <f t="shared" si="6"/>
      </c>
      <c r="T26" s="733" t="str">
        <f t="shared" si="7"/>
        <v>--</v>
      </c>
      <c r="U26" s="734" t="str">
        <f t="shared" si="8"/>
        <v>--</v>
      </c>
      <c r="V26" s="735" t="str">
        <f t="shared" si="9"/>
        <v>--</v>
      </c>
      <c r="W26" s="736" t="str">
        <f t="shared" si="10"/>
        <v>--</v>
      </c>
      <c r="X26" s="737" t="str">
        <f t="shared" si="11"/>
        <v>--</v>
      </c>
      <c r="Y26" s="731" t="str">
        <f t="shared" si="12"/>
        <v>--</v>
      </c>
      <c r="Z26" s="732" t="str">
        <f t="shared" si="13"/>
        <v>--</v>
      </c>
      <c r="AA26" s="738" t="str">
        <f t="shared" si="14"/>
        <v>--</v>
      </c>
      <c r="AB26" s="739" t="str">
        <f t="shared" si="15"/>
        <v>--</v>
      </c>
      <c r="AC26" s="740" t="str">
        <f t="shared" si="16"/>
        <v>--</v>
      </c>
      <c r="AD26" s="719">
        <f t="shared" si="17"/>
      </c>
      <c r="AE26" s="16">
        <f t="shared" si="18"/>
      </c>
      <c r="AF26" s="636"/>
    </row>
    <row r="27" spans="2:32" s="5" customFormat="1" ht="16.5" customHeight="1">
      <c r="B27" s="50"/>
      <c r="C27" s="262"/>
      <c r="D27" s="262"/>
      <c r="E27" s="262"/>
      <c r="F27" s="149"/>
      <c r="G27" s="176"/>
      <c r="H27" s="678"/>
      <c r="I27" s="176"/>
      <c r="J27" s="627">
        <f t="shared" si="0"/>
        <v>20</v>
      </c>
      <c r="K27" s="628">
        <f t="shared" si="1"/>
        <v>97.649</v>
      </c>
      <c r="L27" s="629"/>
      <c r="M27" s="630"/>
      <c r="N27" s="179">
        <f t="shared" si="2"/>
      </c>
      <c r="O27" s="180">
        <f t="shared" si="3"/>
      </c>
      <c r="P27" s="208"/>
      <c r="Q27" s="718">
        <f t="shared" si="4"/>
      </c>
      <c r="R27" s="209">
        <f t="shared" si="5"/>
      </c>
      <c r="S27" s="209">
        <f t="shared" si="6"/>
      </c>
      <c r="T27" s="733" t="str">
        <f t="shared" si="7"/>
        <v>--</v>
      </c>
      <c r="U27" s="734" t="str">
        <f t="shared" si="8"/>
        <v>--</v>
      </c>
      <c r="V27" s="735" t="str">
        <f t="shared" si="9"/>
        <v>--</v>
      </c>
      <c r="W27" s="736" t="str">
        <f t="shared" si="10"/>
        <v>--</v>
      </c>
      <c r="X27" s="737" t="str">
        <f t="shared" si="11"/>
        <v>--</v>
      </c>
      <c r="Y27" s="731" t="str">
        <f t="shared" si="12"/>
        <v>--</v>
      </c>
      <c r="Z27" s="732" t="str">
        <f t="shared" si="13"/>
        <v>--</v>
      </c>
      <c r="AA27" s="738" t="str">
        <f t="shared" si="14"/>
        <v>--</v>
      </c>
      <c r="AB27" s="739" t="str">
        <f t="shared" si="15"/>
        <v>--</v>
      </c>
      <c r="AC27" s="740" t="str">
        <f t="shared" si="16"/>
        <v>--</v>
      </c>
      <c r="AD27" s="719">
        <f t="shared" si="17"/>
      </c>
      <c r="AE27" s="16">
        <f t="shared" si="18"/>
      </c>
      <c r="AF27" s="636"/>
    </row>
    <row r="28" spans="2:32" s="5" customFormat="1" ht="16.5" customHeight="1">
      <c r="B28" s="50"/>
      <c r="C28" s="149"/>
      <c r="D28" s="149"/>
      <c r="E28" s="149"/>
      <c r="F28" s="143"/>
      <c r="G28" s="144"/>
      <c r="H28" s="680"/>
      <c r="I28" s="144"/>
      <c r="J28" s="627">
        <f t="shared" si="0"/>
        <v>20</v>
      </c>
      <c r="K28" s="628">
        <f t="shared" si="1"/>
        <v>97.649</v>
      </c>
      <c r="L28" s="177"/>
      <c r="M28" s="207"/>
      <c r="N28" s="179">
        <f t="shared" si="2"/>
      </c>
      <c r="O28" s="180">
        <f t="shared" si="3"/>
      </c>
      <c r="P28" s="208"/>
      <c r="Q28" s="718">
        <f t="shared" si="4"/>
      </c>
      <c r="R28" s="209">
        <f t="shared" si="5"/>
      </c>
      <c r="S28" s="209">
        <f t="shared" si="6"/>
      </c>
      <c r="T28" s="733" t="str">
        <f t="shared" si="7"/>
        <v>--</v>
      </c>
      <c r="U28" s="734" t="str">
        <f t="shared" si="8"/>
        <v>--</v>
      </c>
      <c r="V28" s="735" t="str">
        <f t="shared" si="9"/>
        <v>--</v>
      </c>
      <c r="W28" s="736" t="str">
        <f t="shared" si="10"/>
        <v>--</v>
      </c>
      <c r="X28" s="737" t="str">
        <f t="shared" si="11"/>
        <v>--</v>
      </c>
      <c r="Y28" s="731" t="str">
        <f t="shared" si="12"/>
        <v>--</v>
      </c>
      <c r="Z28" s="732" t="str">
        <f t="shared" si="13"/>
        <v>--</v>
      </c>
      <c r="AA28" s="738" t="str">
        <f t="shared" si="14"/>
        <v>--</v>
      </c>
      <c r="AB28" s="739" t="str">
        <f t="shared" si="15"/>
        <v>--</v>
      </c>
      <c r="AC28" s="740" t="str">
        <f t="shared" si="16"/>
        <v>--</v>
      </c>
      <c r="AD28" s="719">
        <f t="shared" si="17"/>
      </c>
      <c r="AE28" s="16">
        <f t="shared" si="18"/>
      </c>
      <c r="AF28" s="636"/>
    </row>
    <row r="29" spans="2:32" s="5" customFormat="1" ht="16.5" customHeight="1">
      <c r="B29" s="50"/>
      <c r="C29" s="262"/>
      <c r="D29" s="262"/>
      <c r="E29" s="262"/>
      <c r="F29" s="143"/>
      <c r="G29" s="144"/>
      <c r="H29" s="680"/>
      <c r="I29" s="144"/>
      <c r="J29" s="627">
        <f t="shared" si="0"/>
        <v>20</v>
      </c>
      <c r="K29" s="628">
        <f t="shared" si="1"/>
        <v>97.649</v>
      </c>
      <c r="L29" s="177"/>
      <c r="M29" s="207"/>
      <c r="N29" s="179">
        <f t="shared" si="2"/>
      </c>
      <c r="O29" s="180">
        <f t="shared" si="3"/>
      </c>
      <c r="P29" s="208"/>
      <c r="Q29" s="718">
        <f t="shared" si="4"/>
      </c>
      <c r="R29" s="209">
        <f t="shared" si="5"/>
      </c>
      <c r="S29" s="209">
        <f t="shared" si="6"/>
      </c>
      <c r="T29" s="733" t="str">
        <f t="shared" si="7"/>
        <v>--</v>
      </c>
      <c r="U29" s="734" t="str">
        <f t="shared" si="8"/>
        <v>--</v>
      </c>
      <c r="V29" s="735" t="str">
        <f t="shared" si="9"/>
        <v>--</v>
      </c>
      <c r="W29" s="736" t="str">
        <f t="shared" si="10"/>
        <v>--</v>
      </c>
      <c r="X29" s="737" t="str">
        <f t="shared" si="11"/>
        <v>--</v>
      </c>
      <c r="Y29" s="731" t="str">
        <f t="shared" si="12"/>
        <v>--</v>
      </c>
      <c r="Z29" s="732" t="str">
        <f t="shared" si="13"/>
        <v>--</v>
      </c>
      <c r="AA29" s="738" t="str">
        <f t="shared" si="14"/>
        <v>--</v>
      </c>
      <c r="AB29" s="739" t="str">
        <f t="shared" si="15"/>
        <v>--</v>
      </c>
      <c r="AC29" s="740" t="str">
        <f t="shared" si="16"/>
        <v>--</v>
      </c>
      <c r="AD29" s="719">
        <f t="shared" si="17"/>
      </c>
      <c r="AE29" s="16">
        <f t="shared" si="18"/>
      </c>
      <c r="AF29" s="636"/>
    </row>
    <row r="30" spans="2:32" s="5" customFormat="1" ht="16.5" customHeight="1">
      <c r="B30" s="50"/>
      <c r="C30" s="149"/>
      <c r="D30" s="149"/>
      <c r="E30" s="149"/>
      <c r="F30" s="143"/>
      <c r="G30" s="144"/>
      <c r="H30" s="680"/>
      <c r="I30" s="144"/>
      <c r="J30" s="627">
        <f t="shared" si="0"/>
        <v>20</v>
      </c>
      <c r="K30" s="628">
        <f t="shared" si="1"/>
        <v>97.649</v>
      </c>
      <c r="L30" s="177"/>
      <c r="M30" s="207"/>
      <c r="N30" s="179">
        <f t="shared" si="2"/>
      </c>
      <c r="O30" s="180">
        <f t="shared" si="3"/>
      </c>
      <c r="P30" s="208"/>
      <c r="Q30" s="718">
        <f t="shared" si="4"/>
      </c>
      <c r="R30" s="209">
        <f t="shared" si="5"/>
      </c>
      <c r="S30" s="209">
        <f t="shared" si="6"/>
      </c>
      <c r="T30" s="733" t="str">
        <f t="shared" si="7"/>
        <v>--</v>
      </c>
      <c r="U30" s="734" t="str">
        <f t="shared" si="8"/>
        <v>--</v>
      </c>
      <c r="V30" s="735" t="str">
        <f t="shared" si="9"/>
        <v>--</v>
      </c>
      <c r="W30" s="736" t="str">
        <f t="shared" si="10"/>
        <v>--</v>
      </c>
      <c r="X30" s="737" t="str">
        <f t="shared" si="11"/>
        <v>--</v>
      </c>
      <c r="Y30" s="731" t="str">
        <f t="shared" si="12"/>
        <v>--</v>
      </c>
      <c r="Z30" s="732" t="str">
        <f t="shared" si="13"/>
        <v>--</v>
      </c>
      <c r="AA30" s="738" t="str">
        <f t="shared" si="14"/>
        <v>--</v>
      </c>
      <c r="AB30" s="739" t="str">
        <f t="shared" si="15"/>
        <v>--</v>
      </c>
      <c r="AC30" s="740" t="str">
        <f t="shared" si="16"/>
        <v>--</v>
      </c>
      <c r="AD30" s="719">
        <f t="shared" si="17"/>
      </c>
      <c r="AE30" s="16">
        <f t="shared" si="18"/>
      </c>
      <c r="AF30" s="636"/>
    </row>
    <row r="31" spans="2:32" s="5" customFormat="1" ht="16.5" customHeight="1">
      <c r="B31" s="50"/>
      <c r="C31" s="262"/>
      <c r="D31" s="262"/>
      <c r="E31" s="262"/>
      <c r="F31" s="143"/>
      <c r="G31" s="144"/>
      <c r="H31" s="680"/>
      <c r="I31" s="144"/>
      <c r="J31" s="627">
        <f t="shared" si="0"/>
        <v>20</v>
      </c>
      <c r="K31" s="628">
        <f t="shared" si="1"/>
        <v>97.649</v>
      </c>
      <c r="L31" s="177"/>
      <c r="M31" s="207"/>
      <c r="N31" s="179">
        <f t="shared" si="2"/>
      </c>
      <c r="O31" s="180">
        <f t="shared" si="3"/>
      </c>
      <c r="P31" s="208"/>
      <c r="Q31" s="718">
        <f t="shared" si="4"/>
      </c>
      <c r="R31" s="209">
        <f t="shared" si="5"/>
      </c>
      <c r="S31" s="209">
        <f t="shared" si="6"/>
      </c>
      <c r="T31" s="733" t="str">
        <f t="shared" si="7"/>
        <v>--</v>
      </c>
      <c r="U31" s="734" t="str">
        <f t="shared" si="8"/>
        <v>--</v>
      </c>
      <c r="V31" s="735" t="str">
        <f t="shared" si="9"/>
        <v>--</v>
      </c>
      <c r="W31" s="736" t="str">
        <f t="shared" si="10"/>
        <v>--</v>
      </c>
      <c r="X31" s="737" t="str">
        <f t="shared" si="11"/>
        <v>--</v>
      </c>
      <c r="Y31" s="731" t="str">
        <f t="shared" si="12"/>
        <v>--</v>
      </c>
      <c r="Z31" s="732" t="str">
        <f t="shared" si="13"/>
        <v>--</v>
      </c>
      <c r="AA31" s="738" t="str">
        <f t="shared" si="14"/>
        <v>--</v>
      </c>
      <c r="AB31" s="739" t="str">
        <f t="shared" si="15"/>
        <v>--</v>
      </c>
      <c r="AC31" s="740" t="str">
        <f t="shared" si="16"/>
        <v>--</v>
      </c>
      <c r="AD31" s="719">
        <f t="shared" si="17"/>
      </c>
      <c r="AE31" s="16">
        <f t="shared" si="18"/>
      </c>
      <c r="AF31" s="636"/>
    </row>
    <row r="32" spans="2:32" s="5" customFormat="1" ht="16.5" customHeight="1">
      <c r="B32" s="50"/>
      <c r="C32" s="149"/>
      <c r="D32" s="149"/>
      <c r="E32" s="149"/>
      <c r="F32" s="143"/>
      <c r="G32" s="144"/>
      <c r="H32" s="680"/>
      <c r="I32" s="144"/>
      <c r="J32" s="627">
        <f t="shared" si="0"/>
        <v>20</v>
      </c>
      <c r="K32" s="628">
        <f t="shared" si="1"/>
        <v>97.649</v>
      </c>
      <c r="L32" s="177"/>
      <c r="M32" s="207"/>
      <c r="N32" s="179">
        <f t="shared" si="2"/>
      </c>
      <c r="O32" s="180">
        <f t="shared" si="3"/>
      </c>
      <c r="P32" s="208"/>
      <c r="Q32" s="718">
        <f t="shared" si="4"/>
      </c>
      <c r="R32" s="209">
        <f t="shared" si="5"/>
      </c>
      <c r="S32" s="209">
        <f t="shared" si="6"/>
      </c>
      <c r="T32" s="733" t="str">
        <f t="shared" si="7"/>
        <v>--</v>
      </c>
      <c r="U32" s="734" t="str">
        <f t="shared" si="8"/>
        <v>--</v>
      </c>
      <c r="V32" s="735" t="str">
        <f t="shared" si="9"/>
        <v>--</v>
      </c>
      <c r="W32" s="736" t="str">
        <f t="shared" si="10"/>
        <v>--</v>
      </c>
      <c r="X32" s="737" t="str">
        <f t="shared" si="11"/>
        <v>--</v>
      </c>
      <c r="Y32" s="731" t="str">
        <f t="shared" si="12"/>
        <v>--</v>
      </c>
      <c r="Z32" s="732" t="str">
        <f t="shared" si="13"/>
        <v>--</v>
      </c>
      <c r="AA32" s="738" t="str">
        <f t="shared" si="14"/>
        <v>--</v>
      </c>
      <c r="AB32" s="739" t="str">
        <f t="shared" si="15"/>
        <v>--</v>
      </c>
      <c r="AC32" s="740" t="str">
        <f t="shared" si="16"/>
        <v>--</v>
      </c>
      <c r="AD32" s="719">
        <f t="shared" si="17"/>
      </c>
      <c r="AE32" s="16">
        <f t="shared" si="18"/>
      </c>
      <c r="AF32" s="636"/>
    </row>
    <row r="33" spans="2:32" s="5" customFormat="1" ht="16.5" customHeight="1">
      <c r="B33" s="50"/>
      <c r="C33" s="262"/>
      <c r="D33" s="262"/>
      <c r="E33" s="262"/>
      <c r="F33" s="143"/>
      <c r="G33" s="144"/>
      <c r="H33" s="680"/>
      <c r="I33" s="144"/>
      <c r="J33" s="627">
        <f t="shared" si="0"/>
        <v>20</v>
      </c>
      <c r="K33" s="628">
        <f t="shared" si="1"/>
        <v>97.649</v>
      </c>
      <c r="L33" s="177"/>
      <c r="M33" s="178"/>
      <c r="N33" s="179">
        <f t="shared" si="2"/>
      </c>
      <c r="O33" s="180">
        <f t="shared" si="3"/>
      </c>
      <c r="P33" s="208"/>
      <c r="Q33" s="718">
        <f t="shared" si="4"/>
      </c>
      <c r="R33" s="209">
        <f t="shared" si="5"/>
      </c>
      <c r="S33" s="209">
        <f t="shared" si="6"/>
      </c>
      <c r="T33" s="733" t="str">
        <f t="shared" si="7"/>
        <v>--</v>
      </c>
      <c r="U33" s="734" t="str">
        <f t="shared" si="8"/>
        <v>--</v>
      </c>
      <c r="V33" s="735" t="str">
        <f t="shared" si="9"/>
        <v>--</v>
      </c>
      <c r="W33" s="736" t="str">
        <f t="shared" si="10"/>
        <v>--</v>
      </c>
      <c r="X33" s="737" t="str">
        <f t="shared" si="11"/>
        <v>--</v>
      </c>
      <c r="Y33" s="731" t="str">
        <f t="shared" si="12"/>
        <v>--</v>
      </c>
      <c r="Z33" s="732" t="str">
        <f t="shared" si="13"/>
        <v>--</v>
      </c>
      <c r="AA33" s="738" t="str">
        <f t="shared" si="14"/>
        <v>--</v>
      </c>
      <c r="AB33" s="739" t="str">
        <f t="shared" si="15"/>
        <v>--</v>
      </c>
      <c r="AC33" s="740" t="str">
        <f t="shared" si="16"/>
        <v>--</v>
      </c>
      <c r="AD33" s="719">
        <f t="shared" si="17"/>
      </c>
      <c r="AE33" s="16">
        <f t="shared" si="18"/>
      </c>
      <c r="AF33" s="636"/>
    </row>
    <row r="34" spans="2:32" s="5" customFormat="1" ht="16.5" customHeight="1">
      <c r="B34" s="50"/>
      <c r="C34" s="149"/>
      <c r="D34" s="149"/>
      <c r="E34" s="149"/>
      <c r="F34" s="143"/>
      <c r="G34" s="144"/>
      <c r="H34" s="680"/>
      <c r="I34" s="144"/>
      <c r="J34" s="627">
        <f t="shared" si="0"/>
        <v>20</v>
      </c>
      <c r="K34" s="628">
        <f t="shared" si="1"/>
        <v>97.649</v>
      </c>
      <c r="L34" s="177"/>
      <c r="M34" s="178"/>
      <c r="N34" s="179">
        <f t="shared" si="2"/>
      </c>
      <c r="O34" s="180">
        <f t="shared" si="3"/>
      </c>
      <c r="P34" s="208"/>
      <c r="Q34" s="718">
        <f t="shared" si="4"/>
      </c>
      <c r="R34" s="209">
        <f t="shared" si="5"/>
      </c>
      <c r="S34" s="209">
        <f t="shared" si="6"/>
      </c>
      <c r="T34" s="733" t="str">
        <f t="shared" si="7"/>
        <v>--</v>
      </c>
      <c r="U34" s="734" t="str">
        <f t="shared" si="8"/>
        <v>--</v>
      </c>
      <c r="V34" s="735" t="str">
        <f t="shared" si="9"/>
        <v>--</v>
      </c>
      <c r="W34" s="736" t="str">
        <f t="shared" si="10"/>
        <v>--</v>
      </c>
      <c r="X34" s="737" t="str">
        <f t="shared" si="11"/>
        <v>--</v>
      </c>
      <c r="Y34" s="731" t="str">
        <f t="shared" si="12"/>
        <v>--</v>
      </c>
      <c r="Z34" s="732" t="str">
        <f t="shared" si="13"/>
        <v>--</v>
      </c>
      <c r="AA34" s="738" t="str">
        <f t="shared" si="14"/>
        <v>--</v>
      </c>
      <c r="AB34" s="739" t="str">
        <f t="shared" si="15"/>
        <v>--</v>
      </c>
      <c r="AC34" s="740" t="str">
        <f t="shared" si="16"/>
        <v>--</v>
      </c>
      <c r="AD34" s="719">
        <f t="shared" si="17"/>
      </c>
      <c r="AE34" s="16">
        <f t="shared" si="18"/>
      </c>
      <c r="AF34" s="636"/>
    </row>
    <row r="35" spans="2:32" s="5" customFormat="1" ht="16.5" customHeight="1">
      <c r="B35" s="50"/>
      <c r="C35" s="262"/>
      <c r="D35" s="262"/>
      <c r="E35" s="262"/>
      <c r="F35" s="143"/>
      <c r="G35" s="144"/>
      <c r="H35" s="680"/>
      <c r="I35" s="144"/>
      <c r="J35" s="627">
        <f t="shared" si="0"/>
        <v>20</v>
      </c>
      <c r="K35" s="628">
        <f t="shared" si="1"/>
        <v>97.649</v>
      </c>
      <c r="L35" s="177"/>
      <c r="M35" s="178"/>
      <c r="N35" s="179">
        <f t="shared" si="2"/>
      </c>
      <c r="O35" s="180">
        <f t="shared" si="3"/>
      </c>
      <c r="P35" s="208"/>
      <c r="Q35" s="718">
        <f t="shared" si="4"/>
      </c>
      <c r="R35" s="209">
        <f t="shared" si="5"/>
      </c>
      <c r="S35" s="209">
        <f t="shared" si="6"/>
      </c>
      <c r="T35" s="733" t="str">
        <f t="shared" si="7"/>
        <v>--</v>
      </c>
      <c r="U35" s="734" t="str">
        <f t="shared" si="8"/>
        <v>--</v>
      </c>
      <c r="V35" s="735" t="str">
        <f t="shared" si="9"/>
        <v>--</v>
      </c>
      <c r="W35" s="736" t="str">
        <f t="shared" si="10"/>
        <v>--</v>
      </c>
      <c r="X35" s="737" t="str">
        <f t="shared" si="11"/>
        <v>--</v>
      </c>
      <c r="Y35" s="731" t="str">
        <f t="shared" si="12"/>
        <v>--</v>
      </c>
      <c r="Z35" s="732" t="str">
        <f t="shared" si="13"/>
        <v>--</v>
      </c>
      <c r="AA35" s="738" t="str">
        <f t="shared" si="14"/>
        <v>--</v>
      </c>
      <c r="AB35" s="739" t="str">
        <f t="shared" si="15"/>
        <v>--</v>
      </c>
      <c r="AC35" s="740" t="str">
        <f t="shared" si="16"/>
        <v>--</v>
      </c>
      <c r="AD35" s="719">
        <f t="shared" si="17"/>
      </c>
      <c r="AE35" s="16">
        <f t="shared" si="18"/>
      </c>
      <c r="AF35" s="636"/>
    </row>
    <row r="36" spans="2:32" s="5" customFormat="1" ht="16.5" customHeight="1">
      <c r="B36" s="50"/>
      <c r="C36" s="149"/>
      <c r="D36" s="149"/>
      <c r="E36" s="149"/>
      <c r="F36" s="143"/>
      <c r="G36" s="144"/>
      <c r="H36" s="680"/>
      <c r="I36" s="144"/>
      <c r="J36" s="627">
        <f t="shared" si="0"/>
        <v>20</v>
      </c>
      <c r="K36" s="628">
        <f t="shared" si="1"/>
        <v>97.649</v>
      </c>
      <c r="L36" s="177"/>
      <c r="M36" s="178"/>
      <c r="N36" s="179">
        <f t="shared" si="2"/>
      </c>
      <c r="O36" s="180">
        <f t="shared" si="3"/>
      </c>
      <c r="P36" s="208"/>
      <c r="Q36" s="718">
        <f t="shared" si="4"/>
      </c>
      <c r="R36" s="209">
        <f t="shared" si="5"/>
      </c>
      <c r="S36" s="209">
        <f t="shared" si="6"/>
      </c>
      <c r="T36" s="733" t="str">
        <f t="shared" si="7"/>
        <v>--</v>
      </c>
      <c r="U36" s="734" t="str">
        <f t="shared" si="8"/>
        <v>--</v>
      </c>
      <c r="V36" s="735" t="str">
        <f t="shared" si="9"/>
        <v>--</v>
      </c>
      <c r="W36" s="736" t="str">
        <f t="shared" si="10"/>
        <v>--</v>
      </c>
      <c r="X36" s="737" t="str">
        <f t="shared" si="11"/>
        <v>--</v>
      </c>
      <c r="Y36" s="731" t="str">
        <f t="shared" si="12"/>
        <v>--</v>
      </c>
      <c r="Z36" s="732" t="str">
        <f t="shared" si="13"/>
        <v>--</v>
      </c>
      <c r="AA36" s="738" t="str">
        <f t="shared" si="14"/>
        <v>--</v>
      </c>
      <c r="AB36" s="739" t="str">
        <f t="shared" si="15"/>
        <v>--</v>
      </c>
      <c r="AC36" s="740" t="str">
        <f t="shared" si="16"/>
        <v>--</v>
      </c>
      <c r="AD36" s="719">
        <f t="shared" si="17"/>
      </c>
      <c r="AE36" s="16">
        <f t="shared" si="18"/>
      </c>
      <c r="AF36" s="636"/>
    </row>
    <row r="37" spans="2:32" s="5" customFormat="1" ht="16.5" customHeight="1">
      <c r="B37" s="50"/>
      <c r="C37" s="262"/>
      <c r="D37" s="262"/>
      <c r="E37" s="262"/>
      <c r="F37" s="143"/>
      <c r="G37" s="144"/>
      <c r="H37" s="680"/>
      <c r="I37" s="144"/>
      <c r="J37" s="627">
        <f t="shared" si="0"/>
        <v>20</v>
      </c>
      <c r="K37" s="628">
        <f t="shared" si="1"/>
        <v>97.649</v>
      </c>
      <c r="L37" s="177"/>
      <c r="M37" s="178"/>
      <c r="N37" s="179">
        <f t="shared" si="2"/>
      </c>
      <c r="O37" s="180">
        <f t="shared" si="3"/>
      </c>
      <c r="P37" s="208"/>
      <c r="Q37" s="718">
        <f t="shared" si="4"/>
      </c>
      <c r="R37" s="209">
        <f t="shared" si="5"/>
      </c>
      <c r="S37" s="209">
        <f t="shared" si="6"/>
      </c>
      <c r="T37" s="733" t="str">
        <f t="shared" si="7"/>
        <v>--</v>
      </c>
      <c r="U37" s="734" t="str">
        <f t="shared" si="8"/>
        <v>--</v>
      </c>
      <c r="V37" s="735" t="str">
        <f t="shared" si="9"/>
        <v>--</v>
      </c>
      <c r="W37" s="736" t="str">
        <f t="shared" si="10"/>
        <v>--</v>
      </c>
      <c r="X37" s="737" t="str">
        <f t="shared" si="11"/>
        <v>--</v>
      </c>
      <c r="Y37" s="731" t="str">
        <f t="shared" si="12"/>
        <v>--</v>
      </c>
      <c r="Z37" s="732" t="str">
        <f t="shared" si="13"/>
        <v>--</v>
      </c>
      <c r="AA37" s="738" t="str">
        <f t="shared" si="14"/>
        <v>--</v>
      </c>
      <c r="AB37" s="739" t="str">
        <f t="shared" si="15"/>
        <v>--</v>
      </c>
      <c r="AC37" s="740" t="str">
        <f t="shared" si="16"/>
        <v>--</v>
      </c>
      <c r="AD37" s="719">
        <f t="shared" si="17"/>
      </c>
      <c r="AE37" s="16">
        <f t="shared" si="18"/>
      </c>
      <c r="AF37" s="636"/>
    </row>
    <row r="38" spans="2:32" s="5" customFormat="1" ht="16.5" customHeight="1">
      <c r="B38" s="50"/>
      <c r="C38" s="149"/>
      <c r="D38" s="149"/>
      <c r="E38" s="149"/>
      <c r="F38" s="143"/>
      <c r="G38" s="144"/>
      <c r="H38" s="680"/>
      <c r="I38" s="144"/>
      <c r="J38" s="627">
        <f t="shared" si="0"/>
        <v>20</v>
      </c>
      <c r="K38" s="628">
        <f t="shared" si="1"/>
        <v>97.649</v>
      </c>
      <c r="L38" s="177"/>
      <c r="M38" s="178"/>
      <c r="N38" s="179">
        <f t="shared" si="2"/>
      </c>
      <c r="O38" s="180">
        <f t="shared" si="3"/>
      </c>
      <c r="P38" s="208"/>
      <c r="Q38" s="718">
        <f t="shared" si="4"/>
      </c>
      <c r="R38" s="209">
        <f t="shared" si="5"/>
      </c>
      <c r="S38" s="209">
        <f t="shared" si="6"/>
      </c>
      <c r="T38" s="733" t="str">
        <f t="shared" si="7"/>
        <v>--</v>
      </c>
      <c r="U38" s="734" t="str">
        <f t="shared" si="8"/>
        <v>--</v>
      </c>
      <c r="V38" s="735" t="str">
        <f t="shared" si="9"/>
        <v>--</v>
      </c>
      <c r="W38" s="736" t="str">
        <f t="shared" si="10"/>
        <v>--</v>
      </c>
      <c r="X38" s="737" t="str">
        <f t="shared" si="11"/>
        <v>--</v>
      </c>
      <c r="Y38" s="731" t="str">
        <f t="shared" si="12"/>
        <v>--</v>
      </c>
      <c r="Z38" s="732" t="str">
        <f t="shared" si="13"/>
        <v>--</v>
      </c>
      <c r="AA38" s="738" t="str">
        <f t="shared" si="14"/>
        <v>--</v>
      </c>
      <c r="AB38" s="739" t="str">
        <f t="shared" si="15"/>
        <v>--</v>
      </c>
      <c r="AC38" s="740" t="str">
        <f t="shared" si="16"/>
        <v>--</v>
      </c>
      <c r="AD38" s="719">
        <f t="shared" si="17"/>
      </c>
      <c r="AE38" s="16">
        <f t="shared" si="18"/>
      </c>
      <c r="AF38" s="636"/>
    </row>
    <row r="39" spans="2:32" s="5" customFormat="1" ht="16.5" customHeight="1">
      <c r="B39" s="50"/>
      <c r="C39" s="262"/>
      <c r="D39" s="262"/>
      <c r="E39" s="262"/>
      <c r="F39" s="143"/>
      <c r="G39" s="144"/>
      <c r="H39" s="680"/>
      <c r="I39" s="144"/>
      <c r="J39" s="627">
        <f t="shared" si="0"/>
        <v>20</v>
      </c>
      <c r="K39" s="628">
        <f t="shared" si="1"/>
        <v>97.649</v>
      </c>
      <c r="L39" s="177"/>
      <c r="M39" s="178"/>
      <c r="N39" s="179">
        <f t="shared" si="2"/>
      </c>
      <c r="O39" s="180">
        <f t="shared" si="3"/>
      </c>
      <c r="P39" s="208"/>
      <c r="Q39" s="718">
        <f t="shared" si="4"/>
      </c>
      <c r="R39" s="209">
        <f t="shared" si="5"/>
      </c>
      <c r="S39" s="209">
        <f t="shared" si="6"/>
      </c>
      <c r="T39" s="733" t="str">
        <f t="shared" si="7"/>
        <v>--</v>
      </c>
      <c r="U39" s="734" t="str">
        <f t="shared" si="8"/>
        <v>--</v>
      </c>
      <c r="V39" s="735" t="str">
        <f t="shared" si="9"/>
        <v>--</v>
      </c>
      <c r="W39" s="736" t="str">
        <f t="shared" si="10"/>
        <v>--</v>
      </c>
      <c r="X39" s="737" t="str">
        <f t="shared" si="11"/>
        <v>--</v>
      </c>
      <c r="Y39" s="731" t="str">
        <f t="shared" si="12"/>
        <v>--</v>
      </c>
      <c r="Z39" s="732" t="str">
        <f t="shared" si="13"/>
        <v>--</v>
      </c>
      <c r="AA39" s="738" t="str">
        <f t="shared" si="14"/>
        <v>--</v>
      </c>
      <c r="AB39" s="739" t="str">
        <f t="shared" si="15"/>
        <v>--</v>
      </c>
      <c r="AC39" s="740" t="str">
        <f t="shared" si="16"/>
        <v>--</v>
      </c>
      <c r="AD39" s="719">
        <f t="shared" si="17"/>
      </c>
      <c r="AE39" s="16">
        <f t="shared" si="18"/>
      </c>
      <c r="AF39" s="636"/>
    </row>
    <row r="40" spans="2:32" s="5" customFormat="1" ht="16.5" customHeight="1">
      <c r="B40" s="50"/>
      <c r="C40" s="149"/>
      <c r="D40" s="149"/>
      <c r="E40" s="149"/>
      <c r="F40" s="143"/>
      <c r="G40" s="144"/>
      <c r="H40" s="680"/>
      <c r="I40" s="144"/>
      <c r="J40" s="627">
        <f t="shared" si="0"/>
        <v>20</v>
      </c>
      <c r="K40" s="628">
        <f t="shared" si="1"/>
        <v>97.649</v>
      </c>
      <c r="L40" s="177"/>
      <c r="M40" s="178"/>
      <c r="N40" s="179">
        <f t="shared" si="2"/>
      </c>
      <c r="O40" s="180">
        <f t="shared" si="3"/>
      </c>
      <c r="P40" s="208"/>
      <c r="Q40" s="718">
        <f t="shared" si="4"/>
      </c>
      <c r="R40" s="209">
        <f t="shared" si="5"/>
      </c>
      <c r="S40" s="209">
        <f t="shared" si="6"/>
      </c>
      <c r="T40" s="733" t="str">
        <f t="shared" si="7"/>
        <v>--</v>
      </c>
      <c r="U40" s="734" t="str">
        <f t="shared" si="8"/>
        <v>--</v>
      </c>
      <c r="V40" s="735" t="str">
        <f t="shared" si="9"/>
        <v>--</v>
      </c>
      <c r="W40" s="736" t="str">
        <f t="shared" si="10"/>
        <v>--</v>
      </c>
      <c r="X40" s="737" t="str">
        <f t="shared" si="11"/>
        <v>--</v>
      </c>
      <c r="Y40" s="731" t="str">
        <f t="shared" si="12"/>
        <v>--</v>
      </c>
      <c r="Z40" s="732" t="str">
        <f t="shared" si="13"/>
        <v>--</v>
      </c>
      <c r="AA40" s="738" t="str">
        <f t="shared" si="14"/>
        <v>--</v>
      </c>
      <c r="AB40" s="739" t="str">
        <f t="shared" si="15"/>
        <v>--</v>
      </c>
      <c r="AC40" s="740" t="str">
        <f t="shared" si="16"/>
        <v>--</v>
      </c>
      <c r="AD40" s="719">
        <f t="shared" si="17"/>
      </c>
      <c r="AE40" s="16">
        <f t="shared" si="18"/>
      </c>
      <c r="AF40" s="636"/>
    </row>
    <row r="41" spans="2:32" s="5" customFormat="1" ht="16.5" customHeight="1">
      <c r="B41" s="50"/>
      <c r="C41" s="262"/>
      <c r="D41" s="262"/>
      <c r="E41" s="262"/>
      <c r="F41" s="143"/>
      <c r="G41" s="144"/>
      <c r="H41" s="680"/>
      <c r="I41" s="144"/>
      <c r="J41" s="627">
        <f t="shared" si="0"/>
        <v>20</v>
      </c>
      <c r="K41" s="628">
        <f t="shared" si="1"/>
        <v>97.649</v>
      </c>
      <c r="L41" s="177"/>
      <c r="M41" s="178"/>
      <c r="N41" s="179">
        <f t="shared" si="2"/>
      </c>
      <c r="O41" s="180">
        <f t="shared" si="3"/>
      </c>
      <c r="P41" s="208"/>
      <c r="Q41" s="718">
        <f t="shared" si="4"/>
      </c>
      <c r="R41" s="209">
        <f t="shared" si="5"/>
      </c>
      <c r="S41" s="209">
        <f t="shared" si="6"/>
      </c>
      <c r="T41" s="733" t="str">
        <f t="shared" si="7"/>
        <v>--</v>
      </c>
      <c r="U41" s="734" t="str">
        <f t="shared" si="8"/>
        <v>--</v>
      </c>
      <c r="V41" s="735" t="str">
        <f t="shared" si="9"/>
        <v>--</v>
      </c>
      <c r="W41" s="736" t="str">
        <f t="shared" si="10"/>
        <v>--</v>
      </c>
      <c r="X41" s="737" t="str">
        <f t="shared" si="11"/>
        <v>--</v>
      </c>
      <c r="Y41" s="731" t="str">
        <f t="shared" si="12"/>
        <v>--</v>
      </c>
      <c r="Z41" s="732" t="str">
        <f t="shared" si="13"/>
        <v>--</v>
      </c>
      <c r="AA41" s="738" t="str">
        <f t="shared" si="14"/>
        <v>--</v>
      </c>
      <c r="AB41" s="739" t="str">
        <f t="shared" si="15"/>
        <v>--</v>
      </c>
      <c r="AC41" s="740" t="str">
        <f t="shared" si="16"/>
        <v>--</v>
      </c>
      <c r="AD41" s="719">
        <f t="shared" si="17"/>
      </c>
      <c r="AE41" s="16">
        <f t="shared" si="18"/>
      </c>
      <c r="AF41" s="636"/>
    </row>
    <row r="42" spans="2:32" s="5" customFormat="1" ht="16.5" customHeight="1" thickBot="1">
      <c r="B42" s="50"/>
      <c r="C42" s="149"/>
      <c r="D42" s="149"/>
      <c r="E42" s="149"/>
      <c r="F42" s="146"/>
      <c r="G42" s="216"/>
      <c r="H42" s="674"/>
      <c r="I42" s="217"/>
      <c r="J42" s="641"/>
      <c r="K42" s="642"/>
      <c r="L42" s="672"/>
      <c r="M42" s="672"/>
      <c r="N42" s="9"/>
      <c r="O42" s="9"/>
      <c r="P42" s="148"/>
      <c r="Q42" s="182"/>
      <c r="R42" s="148"/>
      <c r="S42" s="148"/>
      <c r="T42" s="643"/>
      <c r="U42" s="644"/>
      <c r="V42" s="218"/>
      <c r="W42" s="219"/>
      <c r="X42" s="220"/>
      <c r="Y42" s="645"/>
      <c r="Z42" s="646"/>
      <c r="AA42" s="647"/>
      <c r="AB42" s="221"/>
      <c r="AC42" s="222"/>
      <c r="AD42" s="648"/>
      <c r="AE42" s="223"/>
      <c r="AF42" s="636"/>
    </row>
    <row r="43" spans="2:32" s="5" customFormat="1" ht="16.5" customHeight="1" thickBot="1" thickTop="1">
      <c r="B43" s="50"/>
      <c r="C43" s="125" t="s">
        <v>23</v>
      </c>
      <c r="D43" s="875" t="s">
        <v>256</v>
      </c>
      <c r="E43" s="125"/>
      <c r="F43" s="126"/>
      <c r="G43" s="224"/>
      <c r="H43" s="194"/>
      <c r="I43" s="225"/>
      <c r="J43" s="194"/>
      <c r="K43" s="183"/>
      <c r="L43" s="183"/>
      <c r="M43" s="183"/>
      <c r="N43" s="183"/>
      <c r="O43" s="183"/>
      <c r="P43" s="183"/>
      <c r="Q43" s="226"/>
      <c r="R43" s="183"/>
      <c r="S43" s="183"/>
      <c r="T43" s="649">
        <f aca="true" t="shared" si="19" ref="T43:AC43">SUM(T20:T42)</f>
        <v>0</v>
      </c>
      <c r="U43" s="650">
        <f t="shared" si="19"/>
        <v>0</v>
      </c>
      <c r="V43" s="651">
        <f t="shared" si="19"/>
        <v>0</v>
      </c>
      <c r="W43" s="651">
        <f t="shared" si="19"/>
        <v>0</v>
      </c>
      <c r="X43" s="651">
        <f t="shared" si="19"/>
        <v>0</v>
      </c>
      <c r="Y43" s="652">
        <f t="shared" si="19"/>
        <v>0</v>
      </c>
      <c r="Z43" s="652">
        <f t="shared" si="19"/>
        <v>0</v>
      </c>
      <c r="AA43" s="652">
        <f t="shared" si="19"/>
        <v>0</v>
      </c>
      <c r="AB43" s="227">
        <f t="shared" si="19"/>
        <v>0</v>
      </c>
      <c r="AC43" s="228">
        <f t="shared" si="19"/>
        <v>0</v>
      </c>
      <c r="AD43" s="229"/>
      <c r="AE43" s="230">
        <f>ROUND(SUM(AE20:AE42),2)</f>
        <v>422948.69</v>
      </c>
      <c r="AF43" s="636"/>
    </row>
    <row r="44" spans="2:32" s="5" customFormat="1" ht="16.5" customHeight="1" thickBot="1" thickTop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6"/>
    </row>
    <row r="45" spans="2:32" ht="16.5" customHeight="1" thickTop="1">
      <c r="B45" s="1"/>
      <c r="C45" s="1"/>
      <c r="D45" s="1"/>
      <c r="AF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E156"/>
  <sheetViews>
    <sheetView zoomScale="70" zoomScaleNormal="70" workbookViewId="0" topLeftCell="C1">
      <selection activeCell="I54" sqref="I54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142"/>
    </row>
    <row r="2" spans="1:30" s="18" customFormat="1" ht="26.25">
      <c r="A2" s="89"/>
      <c r="B2" s="231" t="str">
        <f>+'TOT-0709'!B2</f>
        <v>ANEXO II al Memorándum D.T.E.E. N° 256 /2011</v>
      </c>
      <c r="C2" s="231"/>
      <c r="D2" s="231"/>
      <c r="E2" s="231"/>
      <c r="F2" s="231"/>
      <c r="G2" s="19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</row>
    <row r="3" spans="1:30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25" customFormat="1" ht="11.25">
      <c r="A4" s="232" t="s">
        <v>59</v>
      </c>
      <c r="B4" s="112"/>
      <c r="C4" s="112"/>
      <c r="D4" s="11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1:30" s="25" customFormat="1" ht="11.25">
      <c r="A5" s="232" t="s">
        <v>2</v>
      </c>
      <c r="B5" s="112"/>
      <c r="C5" s="112"/>
      <c r="D5" s="11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</row>
    <row r="8" spans="1:30" s="29" customFormat="1" ht="20.25">
      <c r="A8" s="103"/>
      <c r="B8" s="104"/>
      <c r="C8" s="94"/>
      <c r="D8" s="94"/>
      <c r="E8" s="103"/>
      <c r="F8" s="233" t="s">
        <v>54</v>
      </c>
      <c r="G8" s="103"/>
      <c r="H8" s="103"/>
      <c r="I8" s="234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94"/>
      <c r="U8" s="94"/>
      <c r="V8" s="94"/>
      <c r="W8" s="94"/>
      <c r="X8" s="94"/>
      <c r="Y8" s="94"/>
      <c r="Z8" s="94"/>
      <c r="AA8" s="94"/>
      <c r="AB8" s="94"/>
      <c r="AC8" s="94"/>
      <c r="AD8" s="105"/>
    </row>
    <row r="9" spans="1:30" s="5" customFormat="1" ht="12.75">
      <c r="A9" s="88"/>
      <c r="B9" s="93"/>
      <c r="C9" s="15"/>
      <c r="D9" s="15"/>
      <c r="E9" s="88"/>
      <c r="F9" s="15"/>
      <c r="G9" s="235"/>
      <c r="H9" s="88"/>
      <c r="I9" s="15"/>
      <c r="J9" s="88"/>
      <c r="K9" s="88"/>
      <c r="L9" s="88"/>
      <c r="M9" s="88"/>
      <c r="N9" s="88"/>
      <c r="O9" s="88"/>
      <c r="P9" s="88"/>
      <c r="Q9" s="88"/>
      <c r="R9" s="88"/>
      <c r="S9" s="88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698" customFormat="1" ht="30" customHeight="1">
      <c r="A10" s="692"/>
      <c r="B10" s="693"/>
      <c r="C10" s="696"/>
      <c r="D10" s="696"/>
      <c r="E10" s="692"/>
      <c r="F10" s="694" t="s">
        <v>119</v>
      </c>
      <c r="G10" s="692"/>
      <c r="H10" s="695"/>
      <c r="I10" s="696"/>
      <c r="J10" s="692"/>
      <c r="K10" s="692"/>
      <c r="L10" s="692"/>
      <c r="M10" s="692"/>
      <c r="N10" s="692"/>
      <c r="O10" s="692"/>
      <c r="P10" s="692"/>
      <c r="Q10" s="692"/>
      <c r="R10" s="692"/>
      <c r="S10" s="692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7"/>
    </row>
    <row r="11" spans="1:30" s="703" customFormat="1" ht="9.75" customHeight="1">
      <c r="A11" s="699"/>
      <c r="B11" s="700"/>
      <c r="C11" s="701"/>
      <c r="D11" s="701"/>
      <c r="E11" s="699"/>
      <c r="G11" s="701"/>
      <c r="H11" s="701"/>
      <c r="I11" s="701"/>
      <c r="J11" s="699"/>
      <c r="K11" s="699"/>
      <c r="L11" s="699"/>
      <c r="M11" s="699"/>
      <c r="N11" s="699"/>
      <c r="O11" s="699"/>
      <c r="P11" s="699"/>
      <c r="Q11" s="699"/>
      <c r="R11" s="699"/>
      <c r="S11" s="699"/>
      <c r="T11" s="701"/>
      <c r="U11" s="701"/>
      <c r="V11" s="701"/>
      <c r="W11" s="701"/>
      <c r="X11" s="701"/>
      <c r="Y11" s="701"/>
      <c r="Z11" s="701"/>
      <c r="AA11" s="701"/>
      <c r="AB11" s="701"/>
      <c r="AC11" s="701"/>
      <c r="AD11" s="702"/>
    </row>
    <row r="12" spans="1:30" s="703" customFormat="1" ht="21" customHeight="1">
      <c r="A12" s="692"/>
      <c r="B12" s="693"/>
      <c r="C12" s="696"/>
      <c r="D12" s="696"/>
      <c r="E12" s="692"/>
      <c r="F12" s="704" t="s">
        <v>120</v>
      </c>
      <c r="G12" s="692"/>
      <c r="H12" s="692"/>
      <c r="I12" s="692"/>
      <c r="J12" s="705"/>
      <c r="K12" s="705"/>
      <c r="L12" s="705"/>
      <c r="M12" s="705"/>
      <c r="N12" s="705"/>
      <c r="O12" s="699"/>
      <c r="P12" s="699"/>
      <c r="Q12" s="699"/>
      <c r="R12" s="699"/>
      <c r="S12" s="699"/>
      <c r="T12" s="701"/>
      <c r="U12" s="701"/>
      <c r="V12" s="701"/>
      <c r="W12" s="701"/>
      <c r="X12" s="701"/>
      <c r="Y12" s="701"/>
      <c r="Z12" s="701"/>
      <c r="AA12" s="701"/>
      <c r="AB12" s="701"/>
      <c r="AC12" s="701"/>
      <c r="AD12" s="702"/>
    </row>
    <row r="13" spans="1:30" s="5" customFormat="1" ht="12.75">
      <c r="A13" s="88"/>
      <c r="B13" s="93"/>
      <c r="C13" s="15"/>
      <c r="D13" s="15"/>
      <c r="E13" s="88"/>
      <c r="F13" s="15"/>
      <c r="G13" s="15"/>
      <c r="H13" s="15"/>
      <c r="I13" s="96"/>
      <c r="J13" s="15"/>
      <c r="K13" s="15"/>
      <c r="L13" s="15"/>
      <c r="M13" s="15"/>
      <c r="N13" s="15"/>
      <c r="O13" s="88"/>
      <c r="P13" s="88"/>
      <c r="Q13" s="88"/>
      <c r="R13" s="88"/>
      <c r="S13" s="88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7"/>
      <c r="B14" s="37" t="str">
        <f>'TOT-0709'!B14</f>
        <v>Desde el 01 al 31 de julio de 2009</v>
      </c>
      <c r="C14" s="40"/>
      <c r="D14" s="40"/>
      <c r="E14" s="236"/>
      <c r="F14" s="110"/>
      <c r="G14" s="110"/>
      <c r="H14" s="110"/>
      <c r="I14" s="110"/>
      <c r="J14" s="110"/>
      <c r="K14" s="110"/>
      <c r="L14" s="110"/>
      <c r="M14" s="110"/>
      <c r="N14" s="110"/>
      <c r="O14" s="236"/>
      <c r="P14" s="236"/>
      <c r="Q14" s="236"/>
      <c r="R14" s="236"/>
      <c r="S14" s="236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237"/>
    </row>
    <row r="15" spans="1:30" s="5" customFormat="1" ht="13.5" thickBot="1">
      <c r="A15" s="88"/>
      <c r="B15" s="93"/>
      <c r="C15" s="15"/>
      <c r="D15" s="15"/>
      <c r="E15" s="88"/>
      <c r="F15" s="15"/>
      <c r="G15" s="15"/>
      <c r="H15" s="15"/>
      <c r="I15" s="96"/>
      <c r="J15" s="15"/>
      <c r="K15" s="15"/>
      <c r="L15" s="15"/>
      <c r="M15" s="15"/>
      <c r="N15" s="15"/>
      <c r="O15" s="88"/>
      <c r="P15" s="88"/>
      <c r="Q15" s="88"/>
      <c r="R15" s="88"/>
      <c r="S15" s="88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88"/>
      <c r="B16" s="93"/>
      <c r="C16" s="15"/>
      <c r="D16" s="15"/>
      <c r="E16" s="88"/>
      <c r="F16" s="238" t="s">
        <v>60</v>
      </c>
      <c r="G16" s="239"/>
      <c r="H16" s="240">
        <v>0.319</v>
      </c>
      <c r="J16" s="88"/>
      <c r="K16" s="88"/>
      <c r="L16" s="88"/>
      <c r="M16" s="88"/>
      <c r="N16" s="88"/>
      <c r="O16" s="88"/>
      <c r="P16" s="88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88"/>
      <c r="B17" s="93"/>
      <c r="C17" s="15"/>
      <c r="D17" s="15"/>
      <c r="E17" s="88"/>
      <c r="F17" s="108" t="s">
        <v>24</v>
      </c>
      <c r="G17" s="109"/>
      <c r="H17" s="682">
        <v>200</v>
      </c>
      <c r="I17"/>
      <c r="J17" s="15"/>
      <c r="K17" s="192"/>
      <c r="L17" s="193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7"/>
      <c r="X17" s="97"/>
      <c r="Y17" s="97"/>
      <c r="Z17" s="97"/>
      <c r="AA17" s="97"/>
      <c r="AB17" s="97"/>
      <c r="AC17" s="88"/>
      <c r="AD17" s="17"/>
    </row>
    <row r="18" spans="1:30" s="5" customFormat="1" ht="16.5" customHeight="1" thickBot="1" thickTop="1">
      <c r="A18" s="88"/>
      <c r="B18" s="93"/>
      <c r="C18" s="727">
        <v>3</v>
      </c>
      <c r="D18" s="727">
        <v>4</v>
      </c>
      <c r="E18" s="727">
        <v>5</v>
      </c>
      <c r="F18" s="727">
        <v>6</v>
      </c>
      <c r="G18" s="727">
        <v>7</v>
      </c>
      <c r="H18" s="727">
        <v>8</v>
      </c>
      <c r="I18" s="727">
        <v>9</v>
      </c>
      <c r="J18" s="727">
        <v>10</v>
      </c>
      <c r="K18" s="727">
        <v>11</v>
      </c>
      <c r="L18" s="727">
        <v>12</v>
      </c>
      <c r="M18" s="727">
        <v>13</v>
      </c>
      <c r="N18" s="727">
        <v>14</v>
      </c>
      <c r="O18" s="727">
        <v>15</v>
      </c>
      <c r="P18" s="727">
        <v>16</v>
      </c>
      <c r="Q18" s="727">
        <v>17</v>
      </c>
      <c r="R18" s="727">
        <v>18</v>
      </c>
      <c r="S18" s="727">
        <v>19</v>
      </c>
      <c r="T18" s="727">
        <v>20</v>
      </c>
      <c r="U18" s="727">
        <v>21</v>
      </c>
      <c r="V18" s="727">
        <v>22</v>
      </c>
      <c r="W18" s="727">
        <v>23</v>
      </c>
      <c r="X18" s="727">
        <v>24</v>
      </c>
      <c r="Y18" s="727">
        <v>25</v>
      </c>
      <c r="Z18" s="727">
        <v>26</v>
      </c>
      <c r="AA18" s="727">
        <v>27</v>
      </c>
      <c r="AB18" s="727">
        <v>28</v>
      </c>
      <c r="AC18" s="727">
        <v>29</v>
      </c>
      <c r="AD18" s="17"/>
    </row>
    <row r="19" spans="1:30" s="5" customFormat="1" ht="33.75" customHeight="1" thickBot="1" thickTop="1">
      <c r="A19" s="88"/>
      <c r="B19" s="93"/>
      <c r="C19" s="121" t="s">
        <v>12</v>
      </c>
      <c r="D19" s="84" t="s">
        <v>128</v>
      </c>
      <c r="E19" s="84" t="s">
        <v>129</v>
      </c>
      <c r="F19" s="117" t="s">
        <v>25</v>
      </c>
      <c r="G19" s="116" t="s">
        <v>26</v>
      </c>
      <c r="H19" s="118" t="s">
        <v>27</v>
      </c>
      <c r="I19" s="119" t="s">
        <v>13</v>
      </c>
      <c r="J19" s="127" t="s">
        <v>15</v>
      </c>
      <c r="K19" s="116" t="s">
        <v>16</v>
      </c>
      <c r="L19" s="116" t="s">
        <v>17</v>
      </c>
      <c r="M19" s="117" t="s">
        <v>28</v>
      </c>
      <c r="N19" s="117" t="s">
        <v>29</v>
      </c>
      <c r="O19" s="87" t="s">
        <v>18</v>
      </c>
      <c r="P19" s="87" t="s">
        <v>44</v>
      </c>
      <c r="Q19" s="120" t="s">
        <v>30</v>
      </c>
      <c r="R19" s="116" t="s">
        <v>31</v>
      </c>
      <c r="S19" s="241" t="s">
        <v>35</v>
      </c>
      <c r="T19" s="242" t="s">
        <v>19</v>
      </c>
      <c r="U19" s="243" t="s">
        <v>20</v>
      </c>
      <c r="V19" s="196" t="s">
        <v>61</v>
      </c>
      <c r="W19" s="198"/>
      <c r="X19" s="244" t="s">
        <v>62</v>
      </c>
      <c r="Y19" s="245"/>
      <c r="Z19" s="246" t="s">
        <v>21</v>
      </c>
      <c r="AA19" s="247" t="s">
        <v>57</v>
      </c>
      <c r="AB19" s="130" t="s">
        <v>58</v>
      </c>
      <c r="AC19" s="119" t="s">
        <v>22</v>
      </c>
      <c r="AD19" s="17"/>
    </row>
    <row r="20" spans="1:30" s="5" customFormat="1" ht="16.5" customHeight="1" thickTop="1">
      <c r="A20" s="88"/>
      <c r="B20" s="93"/>
      <c r="C20" s="248"/>
      <c r="D20" s="248"/>
      <c r="E20" s="248"/>
      <c r="F20" s="248"/>
      <c r="G20" s="248"/>
      <c r="H20" s="248"/>
      <c r="I20" s="249"/>
      <c r="J20" s="250"/>
      <c r="K20" s="248"/>
      <c r="L20" s="248"/>
      <c r="M20" s="248"/>
      <c r="N20" s="248"/>
      <c r="O20" s="248"/>
      <c r="P20" s="173"/>
      <c r="Q20" s="251"/>
      <c r="R20" s="248"/>
      <c r="S20" s="252"/>
      <c r="T20" s="253"/>
      <c r="U20" s="254"/>
      <c r="V20" s="255"/>
      <c r="W20" s="256"/>
      <c r="X20" s="257"/>
      <c r="Y20" s="258"/>
      <c r="Z20" s="259"/>
      <c r="AA20" s="260"/>
      <c r="AB20" s="251"/>
      <c r="AC20" s="261"/>
      <c r="AD20" s="17"/>
    </row>
    <row r="21" spans="1:30" s="5" customFormat="1" ht="16.5" customHeight="1">
      <c r="A21" s="88"/>
      <c r="B21" s="93"/>
      <c r="C21" s="262"/>
      <c r="D21" s="262"/>
      <c r="E21" s="262"/>
      <c r="F21" s="262"/>
      <c r="G21" s="262"/>
      <c r="H21" s="262"/>
      <c r="I21" s="263"/>
      <c r="J21" s="264"/>
      <c r="K21" s="262"/>
      <c r="L21" s="262"/>
      <c r="M21" s="262"/>
      <c r="N21" s="262"/>
      <c r="O21" s="262"/>
      <c r="P21" s="175"/>
      <c r="Q21" s="265"/>
      <c r="R21" s="262"/>
      <c r="S21" s="266"/>
      <c r="T21" s="267"/>
      <c r="U21" s="268"/>
      <c r="V21" s="269"/>
      <c r="W21" s="270"/>
      <c r="X21" s="271"/>
      <c r="Y21" s="272"/>
      <c r="Z21" s="273"/>
      <c r="AA21" s="274"/>
      <c r="AB21" s="265"/>
      <c r="AC21" s="275"/>
      <c r="AD21" s="17"/>
    </row>
    <row r="22" spans="1:30" s="5" customFormat="1" ht="16.5" customHeight="1">
      <c r="A22" s="88"/>
      <c r="B22" s="93"/>
      <c r="C22" s="149"/>
      <c r="D22" s="149"/>
      <c r="E22" s="149"/>
      <c r="F22" s="145"/>
      <c r="G22" s="276"/>
      <c r="H22" s="277"/>
      <c r="I22" s="278"/>
      <c r="J22" s="279"/>
      <c r="K22" s="150"/>
      <c r="L22" s="150"/>
      <c r="M22" s="280"/>
      <c r="N22" s="14"/>
      <c r="O22" s="151"/>
      <c r="P22" s="452"/>
      <c r="Q22" s="8"/>
      <c r="R22" s="209"/>
      <c r="S22" s="281"/>
      <c r="T22" s="282"/>
      <c r="U22" s="283"/>
      <c r="V22" s="284"/>
      <c r="W22" s="285"/>
      <c r="X22" s="286"/>
      <c r="Y22" s="287"/>
      <c r="Z22" s="288"/>
      <c r="AA22" s="289"/>
      <c r="AB22" s="290"/>
      <c r="AC22" s="16"/>
      <c r="AD22" s="17"/>
    </row>
    <row r="23" spans="1:30" s="5" customFormat="1" ht="16.5" customHeight="1">
      <c r="A23" s="88"/>
      <c r="B23" s="93"/>
      <c r="C23" s="262">
        <v>23</v>
      </c>
      <c r="D23" s="262">
        <v>208645</v>
      </c>
      <c r="E23" s="262">
        <v>69</v>
      </c>
      <c r="F23" s="145" t="s">
        <v>153</v>
      </c>
      <c r="G23" s="276" t="s">
        <v>154</v>
      </c>
      <c r="H23" s="277">
        <v>300</v>
      </c>
      <c r="I23" s="278" t="s">
        <v>89</v>
      </c>
      <c r="J23" s="279">
        <f aca="true" t="shared" si="0" ref="J23:J41">H23*$H$16</f>
        <v>95.7</v>
      </c>
      <c r="K23" s="150">
        <v>39995.00277777778</v>
      </c>
      <c r="L23" s="150">
        <v>39995.09930555556</v>
      </c>
      <c r="M23" s="280">
        <f aca="true" t="shared" si="1" ref="M23:M41">IF(F23="","",(L23-K23)*24)</f>
        <v>2.3166666667093523</v>
      </c>
      <c r="N23" s="14">
        <f aca="true" t="shared" si="2" ref="N23:N41">IF(F23="","",ROUND((L23-K23)*24*60,0))</f>
        <v>139</v>
      </c>
      <c r="O23" s="151" t="s">
        <v>137</v>
      </c>
      <c r="P23" s="452" t="str">
        <f aca="true" t="shared" si="3" ref="P23:P41">IF(F23="","","--")</f>
        <v>--</v>
      </c>
      <c r="Q23" s="8" t="str">
        <f aca="true" t="shared" si="4" ref="Q23:Q41">IF(F23="","",IF(OR(O23="P",O23="RP"),"--","NO"))</f>
        <v>NO</v>
      </c>
      <c r="R23" s="209" t="str">
        <f aca="true" t="shared" si="5" ref="R23:R41">IF(F23="","","NO")</f>
        <v>NO</v>
      </c>
      <c r="S23" s="281">
        <f aca="true" t="shared" si="6" ref="S23:S41">$H$17*IF(OR(O23="P",O23="RP"),0.1,1)*IF(R23="SI",1,0.1)</f>
        <v>20</v>
      </c>
      <c r="T23" s="282" t="str">
        <f aca="true" t="shared" si="7" ref="T23:T41">IF(O23="P",J23*S23*ROUND(N23/60,2),"--")</f>
        <v>--</v>
      </c>
      <c r="U23" s="283" t="str">
        <f aca="true" t="shared" si="8" ref="U23:U41">IF(O23="RP",J23*S23*P23/100*ROUND(N23/60,2),"--")</f>
        <v>--</v>
      </c>
      <c r="V23" s="284">
        <f aca="true" t="shared" si="9" ref="V23:V41">IF(AND(O23="F",Q23="NO"),J23*S23,"--")</f>
        <v>1914</v>
      </c>
      <c r="W23" s="285">
        <f aca="true" t="shared" si="10" ref="W23:W41">IF(O23="F",J23*S23*ROUND(N23/60,2),"--")</f>
        <v>4440.48</v>
      </c>
      <c r="X23" s="286" t="str">
        <f aca="true" t="shared" si="11" ref="X23:X41">IF(AND(O23="R",Q23="NO"),J23*S23*P23/100,"--")</f>
        <v>--</v>
      </c>
      <c r="Y23" s="287" t="str">
        <f aca="true" t="shared" si="12" ref="Y23:Y41">IF(O23="R",J23*S23*P23/100*ROUND(N23/60,2),"--")</f>
        <v>--</v>
      </c>
      <c r="Z23" s="288" t="str">
        <f aca="true" t="shared" si="13" ref="Z23:Z41">IF(O23="RF",J23*S23*ROUND(N23/60,2),"--")</f>
        <v>--</v>
      </c>
      <c r="AA23" s="289" t="str">
        <f aca="true" t="shared" si="14" ref="AA23:AA41">IF(O23="RR",J23*S23*P23/100*ROUND(N23/60,2),"--")</f>
        <v>--</v>
      </c>
      <c r="AB23" s="290" t="s">
        <v>117</v>
      </c>
      <c r="AC23" s="16">
        <f aca="true" t="shared" si="15" ref="AC23:AC41">IF(F23="","",(SUM(T23:AA23)*IF(AB23="SI",1,2)*IF(AND(P23&lt;&gt;"--",O23="RF"),P23/100,1)))</f>
        <v>6354.48</v>
      </c>
      <c r="AD23" s="17"/>
    </row>
    <row r="24" spans="1:30" s="5" customFormat="1" ht="16.5" customHeight="1">
      <c r="A24" s="88"/>
      <c r="B24" s="93"/>
      <c r="C24" s="149">
        <v>24</v>
      </c>
      <c r="D24" s="149">
        <v>208492</v>
      </c>
      <c r="E24" s="149">
        <v>79</v>
      </c>
      <c r="F24" s="145" t="s">
        <v>155</v>
      </c>
      <c r="G24" s="276" t="s">
        <v>156</v>
      </c>
      <c r="H24" s="277">
        <v>300</v>
      </c>
      <c r="I24" s="278" t="s">
        <v>152</v>
      </c>
      <c r="J24" s="279">
        <f t="shared" si="0"/>
        <v>95.7</v>
      </c>
      <c r="K24" s="150">
        <v>39995.02638888889</v>
      </c>
      <c r="L24" s="150">
        <v>39995.115277777775</v>
      </c>
      <c r="M24" s="280">
        <f t="shared" si="1"/>
        <v>2.1333333333022892</v>
      </c>
      <c r="N24" s="14">
        <f t="shared" si="2"/>
        <v>128</v>
      </c>
      <c r="O24" s="151" t="s">
        <v>134</v>
      </c>
      <c r="P24" s="452" t="str">
        <f t="shared" si="3"/>
        <v>--</v>
      </c>
      <c r="Q24" s="8" t="str">
        <f t="shared" si="4"/>
        <v>--</v>
      </c>
      <c r="R24" s="209" t="str">
        <f t="shared" si="5"/>
        <v>NO</v>
      </c>
      <c r="S24" s="281">
        <f t="shared" si="6"/>
        <v>2</v>
      </c>
      <c r="T24" s="282">
        <f t="shared" si="7"/>
        <v>407.682</v>
      </c>
      <c r="U24" s="283" t="str">
        <f t="shared" si="8"/>
        <v>--</v>
      </c>
      <c r="V24" s="284" t="str">
        <f t="shared" si="9"/>
        <v>--</v>
      </c>
      <c r="W24" s="285" t="str">
        <f t="shared" si="10"/>
        <v>--</v>
      </c>
      <c r="X24" s="286" t="str">
        <f t="shared" si="11"/>
        <v>--</v>
      </c>
      <c r="Y24" s="287" t="str">
        <f t="shared" si="12"/>
        <v>--</v>
      </c>
      <c r="Z24" s="288" t="str">
        <f t="shared" si="13"/>
        <v>--</v>
      </c>
      <c r="AA24" s="289" t="str">
        <f t="shared" si="14"/>
        <v>--</v>
      </c>
      <c r="AB24" s="290" t="s">
        <v>117</v>
      </c>
      <c r="AC24" s="16">
        <f t="shared" si="15"/>
        <v>407.682</v>
      </c>
      <c r="AD24" s="17"/>
    </row>
    <row r="25" spans="1:30" s="5" customFormat="1" ht="16.5" customHeight="1">
      <c r="A25" s="88"/>
      <c r="B25" s="93"/>
      <c r="C25" s="149">
        <v>25</v>
      </c>
      <c r="D25" s="262">
        <v>208496</v>
      </c>
      <c r="E25" s="262">
        <v>65</v>
      </c>
      <c r="F25" s="145" t="s">
        <v>157</v>
      </c>
      <c r="G25" s="276" t="s">
        <v>158</v>
      </c>
      <c r="H25" s="277">
        <v>100</v>
      </c>
      <c r="I25" s="278" t="s">
        <v>89</v>
      </c>
      <c r="J25" s="279">
        <f t="shared" si="0"/>
        <v>31.900000000000002</v>
      </c>
      <c r="K25" s="150">
        <v>39995.34722222222</v>
      </c>
      <c r="L25" s="150">
        <v>39995.73611111111</v>
      </c>
      <c r="M25" s="280">
        <f t="shared" si="1"/>
        <v>9.333333333372138</v>
      </c>
      <c r="N25" s="14">
        <f t="shared" si="2"/>
        <v>560</v>
      </c>
      <c r="O25" s="151" t="s">
        <v>134</v>
      </c>
      <c r="P25" s="452" t="str">
        <f t="shared" si="3"/>
        <v>--</v>
      </c>
      <c r="Q25" s="8" t="str">
        <f t="shared" si="4"/>
        <v>--</v>
      </c>
      <c r="R25" s="209" t="str">
        <f t="shared" si="5"/>
        <v>NO</v>
      </c>
      <c r="S25" s="281">
        <f t="shared" si="6"/>
        <v>2</v>
      </c>
      <c r="T25" s="282">
        <f t="shared" si="7"/>
        <v>595.254</v>
      </c>
      <c r="U25" s="283" t="str">
        <f t="shared" si="8"/>
        <v>--</v>
      </c>
      <c r="V25" s="284" t="str">
        <f t="shared" si="9"/>
        <v>--</v>
      </c>
      <c r="W25" s="285" t="str">
        <f t="shared" si="10"/>
        <v>--</v>
      </c>
      <c r="X25" s="286" t="str">
        <f t="shared" si="11"/>
        <v>--</v>
      </c>
      <c r="Y25" s="287" t="str">
        <f t="shared" si="12"/>
        <v>--</v>
      </c>
      <c r="Z25" s="288" t="str">
        <f t="shared" si="13"/>
        <v>--</v>
      </c>
      <c r="AA25" s="289" t="str">
        <f t="shared" si="14"/>
        <v>--</v>
      </c>
      <c r="AB25" s="290" t="s">
        <v>117</v>
      </c>
      <c r="AC25" s="16">
        <f t="shared" si="15"/>
        <v>595.254</v>
      </c>
      <c r="AD25" s="17"/>
    </row>
    <row r="26" spans="1:30" s="5" customFormat="1" ht="16.5" customHeight="1">
      <c r="A26" s="88"/>
      <c r="B26" s="93"/>
      <c r="C26" s="262">
        <v>26</v>
      </c>
      <c r="D26" s="149">
        <v>208498</v>
      </c>
      <c r="E26" s="149">
        <v>75</v>
      </c>
      <c r="F26" s="145" t="s">
        <v>159</v>
      </c>
      <c r="G26" s="276" t="s">
        <v>154</v>
      </c>
      <c r="H26" s="277">
        <v>150</v>
      </c>
      <c r="I26" s="278" t="s">
        <v>160</v>
      </c>
      <c r="J26" s="279">
        <f t="shared" si="0"/>
        <v>47.85</v>
      </c>
      <c r="K26" s="150">
        <v>39995.38888888889</v>
      </c>
      <c r="L26" s="150">
        <v>39995.486805555556</v>
      </c>
      <c r="M26" s="280">
        <f t="shared" si="1"/>
        <v>2.349999999976717</v>
      </c>
      <c r="N26" s="14">
        <f t="shared" si="2"/>
        <v>141</v>
      </c>
      <c r="O26" s="151" t="s">
        <v>134</v>
      </c>
      <c r="P26" s="452" t="str">
        <f t="shared" si="3"/>
        <v>--</v>
      </c>
      <c r="Q26" s="8" t="str">
        <f t="shared" si="4"/>
        <v>--</v>
      </c>
      <c r="R26" s="209" t="str">
        <f t="shared" si="5"/>
        <v>NO</v>
      </c>
      <c r="S26" s="281">
        <f t="shared" si="6"/>
        <v>2</v>
      </c>
      <c r="T26" s="282">
        <f t="shared" si="7"/>
        <v>224.895</v>
      </c>
      <c r="U26" s="283" t="str">
        <f t="shared" si="8"/>
        <v>--</v>
      </c>
      <c r="V26" s="284" t="str">
        <f t="shared" si="9"/>
        <v>--</v>
      </c>
      <c r="W26" s="285" t="str">
        <f t="shared" si="10"/>
        <v>--</v>
      </c>
      <c r="X26" s="286" t="str">
        <f t="shared" si="11"/>
        <v>--</v>
      </c>
      <c r="Y26" s="287" t="str">
        <f t="shared" si="12"/>
        <v>--</v>
      </c>
      <c r="Z26" s="288" t="str">
        <f t="shared" si="13"/>
        <v>--</v>
      </c>
      <c r="AA26" s="289" t="str">
        <f t="shared" si="14"/>
        <v>--</v>
      </c>
      <c r="AB26" s="290" t="s">
        <v>117</v>
      </c>
      <c r="AC26" s="16">
        <f t="shared" si="15"/>
        <v>224.895</v>
      </c>
      <c r="AD26" s="17"/>
    </row>
    <row r="27" spans="1:30" s="5" customFormat="1" ht="16.5" customHeight="1">
      <c r="A27" s="88"/>
      <c r="B27" s="93"/>
      <c r="C27" s="149">
        <v>27</v>
      </c>
      <c r="D27" s="262">
        <v>208501</v>
      </c>
      <c r="E27" s="262">
        <v>4666</v>
      </c>
      <c r="F27" s="145" t="s">
        <v>155</v>
      </c>
      <c r="G27" s="276" t="s">
        <v>161</v>
      </c>
      <c r="H27" s="277">
        <v>300</v>
      </c>
      <c r="I27" s="278" t="s">
        <v>152</v>
      </c>
      <c r="J27" s="279">
        <f t="shared" si="0"/>
        <v>95.7</v>
      </c>
      <c r="K27" s="150">
        <v>39996.035416666666</v>
      </c>
      <c r="L27" s="150">
        <v>39996.18819444445</v>
      </c>
      <c r="M27" s="280">
        <f t="shared" si="1"/>
        <v>3.666666666744277</v>
      </c>
      <c r="N27" s="14">
        <f t="shared" si="2"/>
        <v>220</v>
      </c>
      <c r="O27" s="151" t="s">
        <v>134</v>
      </c>
      <c r="P27" s="452" t="str">
        <f t="shared" si="3"/>
        <v>--</v>
      </c>
      <c r="Q27" s="8" t="str">
        <f t="shared" si="4"/>
        <v>--</v>
      </c>
      <c r="R27" s="209" t="str">
        <f t="shared" si="5"/>
        <v>NO</v>
      </c>
      <c r="S27" s="281">
        <f t="shared" si="6"/>
        <v>2</v>
      </c>
      <c r="T27" s="282">
        <f t="shared" si="7"/>
        <v>702.438</v>
      </c>
      <c r="U27" s="283" t="str">
        <f t="shared" si="8"/>
        <v>--</v>
      </c>
      <c r="V27" s="284" t="str">
        <f t="shared" si="9"/>
        <v>--</v>
      </c>
      <c r="W27" s="285" t="str">
        <f t="shared" si="10"/>
        <v>--</v>
      </c>
      <c r="X27" s="286" t="str">
        <f t="shared" si="11"/>
        <v>--</v>
      </c>
      <c r="Y27" s="287" t="str">
        <f t="shared" si="12"/>
        <v>--</v>
      </c>
      <c r="Z27" s="288" t="str">
        <f t="shared" si="13"/>
        <v>--</v>
      </c>
      <c r="AA27" s="289" t="str">
        <f t="shared" si="14"/>
        <v>--</v>
      </c>
      <c r="AB27" s="290" t="s">
        <v>117</v>
      </c>
      <c r="AC27" s="16">
        <f t="shared" si="15"/>
        <v>702.438</v>
      </c>
      <c r="AD27" s="17"/>
    </row>
    <row r="28" spans="1:31" s="5" customFormat="1" ht="16.5" customHeight="1">
      <c r="A28" s="88"/>
      <c r="B28" s="93"/>
      <c r="C28" s="149">
        <v>28</v>
      </c>
      <c r="D28" s="149">
        <v>208505</v>
      </c>
      <c r="E28" s="149">
        <v>76</v>
      </c>
      <c r="F28" s="145" t="s">
        <v>159</v>
      </c>
      <c r="G28" s="276" t="s">
        <v>156</v>
      </c>
      <c r="H28" s="277">
        <v>150</v>
      </c>
      <c r="I28" s="278" t="s">
        <v>160</v>
      </c>
      <c r="J28" s="279">
        <f t="shared" si="0"/>
        <v>47.85</v>
      </c>
      <c r="K28" s="150">
        <v>39996.35486111111</v>
      </c>
      <c r="L28" s="150">
        <v>39996.52222222222</v>
      </c>
      <c r="M28" s="280">
        <f t="shared" si="1"/>
        <v>4.016666666662786</v>
      </c>
      <c r="N28" s="14">
        <f t="shared" si="2"/>
        <v>241</v>
      </c>
      <c r="O28" s="151" t="s">
        <v>134</v>
      </c>
      <c r="P28" s="452" t="str">
        <f t="shared" si="3"/>
        <v>--</v>
      </c>
      <c r="Q28" s="8" t="str">
        <f t="shared" si="4"/>
        <v>--</v>
      </c>
      <c r="R28" s="209" t="str">
        <f t="shared" si="5"/>
        <v>NO</v>
      </c>
      <c r="S28" s="281">
        <f t="shared" si="6"/>
        <v>2</v>
      </c>
      <c r="T28" s="282">
        <f t="shared" si="7"/>
        <v>384.714</v>
      </c>
      <c r="U28" s="283" t="str">
        <f t="shared" si="8"/>
        <v>--</v>
      </c>
      <c r="V28" s="284" t="str">
        <f t="shared" si="9"/>
        <v>--</v>
      </c>
      <c r="W28" s="285" t="str">
        <f t="shared" si="10"/>
        <v>--</v>
      </c>
      <c r="X28" s="286" t="str">
        <f t="shared" si="11"/>
        <v>--</v>
      </c>
      <c r="Y28" s="287" t="str">
        <f t="shared" si="12"/>
        <v>--</v>
      </c>
      <c r="Z28" s="288" t="str">
        <f t="shared" si="13"/>
        <v>--</v>
      </c>
      <c r="AA28" s="289" t="str">
        <f t="shared" si="14"/>
        <v>--</v>
      </c>
      <c r="AB28" s="290" t="s">
        <v>117</v>
      </c>
      <c r="AC28" s="16">
        <f t="shared" si="15"/>
        <v>384.714</v>
      </c>
      <c r="AD28" s="17"/>
      <c r="AE28" s="15"/>
    </row>
    <row r="29" spans="1:30" s="5" customFormat="1" ht="16.5" customHeight="1">
      <c r="A29" s="88"/>
      <c r="B29" s="93"/>
      <c r="C29" s="262">
        <v>29</v>
      </c>
      <c r="D29" s="262">
        <v>208506</v>
      </c>
      <c r="E29" s="262">
        <v>65</v>
      </c>
      <c r="F29" s="145" t="s">
        <v>157</v>
      </c>
      <c r="G29" s="276" t="s">
        <v>158</v>
      </c>
      <c r="H29" s="277">
        <v>100</v>
      </c>
      <c r="I29" s="278" t="s">
        <v>89</v>
      </c>
      <c r="J29" s="279">
        <f t="shared" si="0"/>
        <v>31.900000000000002</v>
      </c>
      <c r="K29" s="150">
        <v>39996.35902777778</v>
      </c>
      <c r="L29" s="150">
        <v>39996.700694444444</v>
      </c>
      <c r="M29" s="280">
        <f t="shared" si="1"/>
        <v>8.200000000011642</v>
      </c>
      <c r="N29" s="14">
        <f t="shared" si="2"/>
        <v>492</v>
      </c>
      <c r="O29" s="151" t="s">
        <v>134</v>
      </c>
      <c r="P29" s="452" t="str">
        <f t="shared" si="3"/>
        <v>--</v>
      </c>
      <c r="Q29" s="8" t="str">
        <f t="shared" si="4"/>
        <v>--</v>
      </c>
      <c r="R29" s="209" t="str">
        <f t="shared" si="5"/>
        <v>NO</v>
      </c>
      <c r="S29" s="281">
        <f t="shared" si="6"/>
        <v>2</v>
      </c>
      <c r="T29" s="282">
        <f t="shared" si="7"/>
        <v>523.16</v>
      </c>
      <c r="U29" s="283" t="str">
        <f t="shared" si="8"/>
        <v>--</v>
      </c>
      <c r="V29" s="284" t="str">
        <f t="shared" si="9"/>
        <v>--</v>
      </c>
      <c r="W29" s="285" t="str">
        <f t="shared" si="10"/>
        <v>--</v>
      </c>
      <c r="X29" s="286" t="str">
        <f t="shared" si="11"/>
        <v>--</v>
      </c>
      <c r="Y29" s="287" t="str">
        <f t="shared" si="12"/>
        <v>--</v>
      </c>
      <c r="Z29" s="288" t="str">
        <f t="shared" si="13"/>
        <v>--</v>
      </c>
      <c r="AA29" s="289" t="str">
        <f t="shared" si="14"/>
        <v>--</v>
      </c>
      <c r="AB29" s="290" t="s">
        <v>117</v>
      </c>
      <c r="AC29" s="16">
        <f t="shared" si="15"/>
        <v>523.16</v>
      </c>
      <c r="AD29" s="17"/>
    </row>
    <row r="30" spans="1:30" s="5" customFormat="1" ht="16.5" customHeight="1">
      <c r="A30" s="88"/>
      <c r="B30" s="93"/>
      <c r="C30" s="149">
        <v>30</v>
      </c>
      <c r="D30" s="149">
        <v>208508</v>
      </c>
      <c r="E30" s="149">
        <v>69</v>
      </c>
      <c r="F30" s="145" t="s">
        <v>153</v>
      </c>
      <c r="G30" s="276" t="s">
        <v>154</v>
      </c>
      <c r="H30" s="277">
        <v>300</v>
      </c>
      <c r="I30" s="278" t="s">
        <v>89</v>
      </c>
      <c r="J30" s="279">
        <f t="shared" si="0"/>
        <v>95.7</v>
      </c>
      <c r="K30" s="150">
        <v>39997.10555555556</v>
      </c>
      <c r="L30" s="150">
        <v>39997.19652777778</v>
      </c>
      <c r="M30" s="280">
        <f t="shared" si="1"/>
        <v>2.1833333332906477</v>
      </c>
      <c r="N30" s="14">
        <f t="shared" si="2"/>
        <v>131</v>
      </c>
      <c r="O30" s="151" t="s">
        <v>134</v>
      </c>
      <c r="P30" s="452" t="str">
        <f t="shared" si="3"/>
        <v>--</v>
      </c>
      <c r="Q30" s="8" t="str">
        <f t="shared" si="4"/>
        <v>--</v>
      </c>
      <c r="R30" s="209" t="str">
        <f t="shared" si="5"/>
        <v>NO</v>
      </c>
      <c r="S30" s="281">
        <f t="shared" si="6"/>
        <v>2</v>
      </c>
      <c r="T30" s="282">
        <f t="shared" si="7"/>
        <v>417.25200000000007</v>
      </c>
      <c r="U30" s="283" t="str">
        <f t="shared" si="8"/>
        <v>--</v>
      </c>
      <c r="V30" s="284" t="str">
        <f t="shared" si="9"/>
        <v>--</v>
      </c>
      <c r="W30" s="285" t="str">
        <f t="shared" si="10"/>
        <v>--</v>
      </c>
      <c r="X30" s="286" t="str">
        <f t="shared" si="11"/>
        <v>--</v>
      </c>
      <c r="Y30" s="287" t="str">
        <f t="shared" si="12"/>
        <v>--</v>
      </c>
      <c r="Z30" s="288" t="str">
        <f t="shared" si="13"/>
        <v>--</v>
      </c>
      <c r="AA30" s="289" t="str">
        <f t="shared" si="14"/>
        <v>--</v>
      </c>
      <c r="AB30" s="290" t="s">
        <v>117</v>
      </c>
      <c r="AC30" s="16">
        <f t="shared" si="15"/>
        <v>417.25200000000007</v>
      </c>
      <c r="AD30" s="17"/>
    </row>
    <row r="31" spans="1:30" s="5" customFormat="1" ht="16.5" customHeight="1">
      <c r="A31" s="88"/>
      <c r="B31" s="93"/>
      <c r="C31" s="149">
        <v>31</v>
      </c>
      <c r="D31" s="262">
        <v>208519</v>
      </c>
      <c r="E31" s="262">
        <v>65</v>
      </c>
      <c r="F31" s="145" t="s">
        <v>157</v>
      </c>
      <c r="G31" s="276" t="s">
        <v>158</v>
      </c>
      <c r="H31" s="277">
        <v>100</v>
      </c>
      <c r="I31" s="278" t="s">
        <v>89</v>
      </c>
      <c r="J31" s="279">
        <f t="shared" si="0"/>
        <v>31.900000000000002</v>
      </c>
      <c r="K31" s="150">
        <v>39998.376388888886</v>
      </c>
      <c r="L31" s="150">
        <v>39998.760416666664</v>
      </c>
      <c r="M31" s="280">
        <f t="shared" si="1"/>
        <v>9.216666666674428</v>
      </c>
      <c r="N31" s="14">
        <f t="shared" si="2"/>
        <v>553</v>
      </c>
      <c r="O31" s="151" t="s">
        <v>134</v>
      </c>
      <c r="P31" s="452" t="str">
        <f t="shared" si="3"/>
        <v>--</v>
      </c>
      <c r="Q31" s="8" t="str">
        <f t="shared" si="4"/>
        <v>--</v>
      </c>
      <c r="R31" s="209" t="str">
        <f t="shared" si="5"/>
        <v>NO</v>
      </c>
      <c r="S31" s="281">
        <f t="shared" si="6"/>
        <v>2</v>
      </c>
      <c r="T31" s="282">
        <f t="shared" si="7"/>
        <v>588.2360000000001</v>
      </c>
      <c r="U31" s="283" t="str">
        <f t="shared" si="8"/>
        <v>--</v>
      </c>
      <c r="V31" s="284" t="str">
        <f t="shared" si="9"/>
        <v>--</v>
      </c>
      <c r="W31" s="285" t="str">
        <f t="shared" si="10"/>
        <v>--</v>
      </c>
      <c r="X31" s="286" t="str">
        <f t="shared" si="11"/>
        <v>--</v>
      </c>
      <c r="Y31" s="287" t="str">
        <f t="shared" si="12"/>
        <v>--</v>
      </c>
      <c r="Z31" s="288" t="str">
        <f t="shared" si="13"/>
        <v>--</v>
      </c>
      <c r="AA31" s="289" t="str">
        <f t="shared" si="14"/>
        <v>--</v>
      </c>
      <c r="AB31" s="290" t="s">
        <v>117</v>
      </c>
      <c r="AC31" s="16">
        <f t="shared" si="15"/>
        <v>588.2360000000001</v>
      </c>
      <c r="AD31" s="17"/>
    </row>
    <row r="32" spans="1:30" s="5" customFormat="1" ht="16.5" customHeight="1">
      <c r="A32" s="88"/>
      <c r="B32" s="93"/>
      <c r="C32" s="262">
        <v>32</v>
      </c>
      <c r="D32" s="149">
        <v>208522</v>
      </c>
      <c r="E32" s="149">
        <v>57</v>
      </c>
      <c r="F32" s="145" t="s">
        <v>162</v>
      </c>
      <c r="G32" s="292" t="s">
        <v>161</v>
      </c>
      <c r="H32" s="277">
        <v>800</v>
      </c>
      <c r="I32" s="278" t="s">
        <v>163</v>
      </c>
      <c r="J32" s="279">
        <f t="shared" si="0"/>
        <v>255.20000000000002</v>
      </c>
      <c r="K32" s="150">
        <v>39999.319444444445</v>
      </c>
      <c r="L32" s="150">
        <v>39999.739583333336</v>
      </c>
      <c r="M32" s="280">
        <f t="shared" si="1"/>
        <v>10.083333333372138</v>
      </c>
      <c r="N32" s="14">
        <f t="shared" si="2"/>
        <v>605</v>
      </c>
      <c r="O32" s="151" t="s">
        <v>134</v>
      </c>
      <c r="P32" s="452" t="str">
        <f t="shared" si="3"/>
        <v>--</v>
      </c>
      <c r="Q32" s="8" t="str">
        <f t="shared" si="4"/>
        <v>--</v>
      </c>
      <c r="R32" s="209" t="str">
        <f t="shared" si="5"/>
        <v>NO</v>
      </c>
      <c r="S32" s="281">
        <f t="shared" si="6"/>
        <v>2</v>
      </c>
      <c r="T32" s="282">
        <f t="shared" si="7"/>
        <v>5144.832</v>
      </c>
      <c r="U32" s="283" t="str">
        <f t="shared" si="8"/>
        <v>--</v>
      </c>
      <c r="V32" s="284" t="str">
        <f t="shared" si="9"/>
        <v>--</v>
      </c>
      <c r="W32" s="285" t="str">
        <f t="shared" si="10"/>
        <v>--</v>
      </c>
      <c r="X32" s="286" t="str">
        <f t="shared" si="11"/>
        <v>--</v>
      </c>
      <c r="Y32" s="287" t="str">
        <f t="shared" si="12"/>
        <v>--</v>
      </c>
      <c r="Z32" s="288" t="str">
        <f t="shared" si="13"/>
        <v>--</v>
      </c>
      <c r="AA32" s="289" t="str">
        <f t="shared" si="14"/>
        <v>--</v>
      </c>
      <c r="AB32" s="290" t="s">
        <v>117</v>
      </c>
      <c r="AC32" s="16">
        <f t="shared" si="15"/>
        <v>5144.832</v>
      </c>
      <c r="AD32" s="17"/>
    </row>
    <row r="33" spans="1:30" s="5" customFormat="1" ht="16.5" customHeight="1">
      <c r="A33" s="88"/>
      <c r="B33" s="93"/>
      <c r="C33" s="149">
        <v>33</v>
      </c>
      <c r="D33" s="262">
        <v>208651</v>
      </c>
      <c r="E33" s="262">
        <v>81</v>
      </c>
      <c r="F33" s="145" t="s">
        <v>164</v>
      </c>
      <c r="G33" s="292" t="s">
        <v>154</v>
      </c>
      <c r="H33" s="277">
        <v>300</v>
      </c>
      <c r="I33" s="278" t="s">
        <v>89</v>
      </c>
      <c r="J33" s="279">
        <f t="shared" si="0"/>
        <v>95.7</v>
      </c>
      <c r="K33" s="150">
        <v>40005.59027777778</v>
      </c>
      <c r="L33" s="150">
        <v>40005.634722222225</v>
      </c>
      <c r="M33" s="280">
        <f t="shared" si="1"/>
        <v>1.0666666666511446</v>
      </c>
      <c r="N33" s="14">
        <f t="shared" si="2"/>
        <v>64</v>
      </c>
      <c r="O33" s="151" t="s">
        <v>137</v>
      </c>
      <c r="P33" s="452" t="str">
        <f t="shared" si="3"/>
        <v>--</v>
      </c>
      <c r="Q33" s="209" t="s">
        <v>117</v>
      </c>
      <c r="R33" s="209" t="str">
        <f t="shared" si="5"/>
        <v>NO</v>
      </c>
      <c r="S33" s="281">
        <f t="shared" si="6"/>
        <v>20</v>
      </c>
      <c r="T33" s="282" t="str">
        <f t="shared" si="7"/>
        <v>--</v>
      </c>
      <c r="U33" s="283" t="str">
        <f t="shared" si="8"/>
        <v>--</v>
      </c>
      <c r="V33" s="284" t="str">
        <f t="shared" si="9"/>
        <v>--</v>
      </c>
      <c r="W33" s="285">
        <f t="shared" si="10"/>
        <v>2047.98</v>
      </c>
      <c r="X33" s="286" t="str">
        <f t="shared" si="11"/>
        <v>--</v>
      </c>
      <c r="Y33" s="287" t="str">
        <f t="shared" si="12"/>
        <v>--</v>
      </c>
      <c r="Z33" s="288" t="str">
        <f t="shared" si="13"/>
        <v>--</v>
      </c>
      <c r="AA33" s="289" t="str">
        <f t="shared" si="14"/>
        <v>--</v>
      </c>
      <c r="AB33" s="290" t="s">
        <v>117</v>
      </c>
      <c r="AC33" s="16">
        <f t="shared" si="15"/>
        <v>2047.98</v>
      </c>
      <c r="AD33" s="17"/>
    </row>
    <row r="34" spans="1:30" s="5" customFormat="1" ht="16.5" customHeight="1">
      <c r="A34" s="88"/>
      <c r="B34" s="93"/>
      <c r="C34" s="149">
        <v>34</v>
      </c>
      <c r="D34" s="149">
        <v>208948</v>
      </c>
      <c r="E34" s="149">
        <v>60</v>
      </c>
      <c r="F34" s="145" t="s">
        <v>150</v>
      </c>
      <c r="G34" s="292" t="s">
        <v>165</v>
      </c>
      <c r="H34" s="277">
        <v>100</v>
      </c>
      <c r="I34" s="278" t="s">
        <v>89</v>
      </c>
      <c r="J34" s="279">
        <f t="shared" si="0"/>
        <v>31.900000000000002</v>
      </c>
      <c r="K34" s="150">
        <v>40012.49652777778</v>
      </c>
      <c r="L34" s="150">
        <v>40012.697222222225</v>
      </c>
      <c r="M34" s="280">
        <f t="shared" si="1"/>
        <v>4.816666666651145</v>
      </c>
      <c r="N34" s="14">
        <f t="shared" si="2"/>
        <v>289</v>
      </c>
      <c r="O34" s="151" t="s">
        <v>134</v>
      </c>
      <c r="P34" s="452" t="str">
        <f t="shared" si="3"/>
        <v>--</v>
      </c>
      <c r="Q34" s="8" t="str">
        <f t="shared" si="4"/>
        <v>--</v>
      </c>
      <c r="R34" s="209" t="str">
        <f t="shared" si="5"/>
        <v>NO</v>
      </c>
      <c r="S34" s="281">
        <f t="shared" si="6"/>
        <v>2</v>
      </c>
      <c r="T34" s="282">
        <f t="shared" si="7"/>
        <v>307.516</v>
      </c>
      <c r="U34" s="283" t="str">
        <f t="shared" si="8"/>
        <v>--</v>
      </c>
      <c r="V34" s="284" t="str">
        <f t="shared" si="9"/>
        <v>--</v>
      </c>
      <c r="W34" s="285" t="str">
        <f t="shared" si="10"/>
        <v>--</v>
      </c>
      <c r="X34" s="286" t="str">
        <f t="shared" si="11"/>
        <v>--</v>
      </c>
      <c r="Y34" s="287" t="str">
        <f t="shared" si="12"/>
        <v>--</v>
      </c>
      <c r="Z34" s="288" t="str">
        <f t="shared" si="13"/>
        <v>--</v>
      </c>
      <c r="AA34" s="289" t="str">
        <f t="shared" si="14"/>
        <v>--</v>
      </c>
      <c r="AB34" s="290" t="s">
        <v>117</v>
      </c>
      <c r="AC34" s="16">
        <f t="shared" si="15"/>
        <v>307.516</v>
      </c>
      <c r="AD34" s="17"/>
    </row>
    <row r="35" spans="1:30" s="5" customFormat="1" ht="16.5" customHeight="1">
      <c r="A35" s="88"/>
      <c r="B35" s="93"/>
      <c r="C35" s="262">
        <v>35</v>
      </c>
      <c r="D35" s="262">
        <v>208929</v>
      </c>
      <c r="E35" s="262">
        <v>55</v>
      </c>
      <c r="F35" s="145" t="s">
        <v>162</v>
      </c>
      <c r="G35" s="292" t="s">
        <v>154</v>
      </c>
      <c r="H35" s="277">
        <v>800</v>
      </c>
      <c r="I35" s="278" t="s">
        <v>163</v>
      </c>
      <c r="J35" s="279">
        <f t="shared" si="0"/>
        <v>255.20000000000002</v>
      </c>
      <c r="K35" s="150">
        <v>40013.365277777775</v>
      </c>
      <c r="L35" s="150">
        <v>40013.50763888889</v>
      </c>
      <c r="M35" s="280">
        <f t="shared" si="1"/>
        <v>3.4166666668024845</v>
      </c>
      <c r="N35" s="14">
        <f t="shared" si="2"/>
        <v>205</v>
      </c>
      <c r="O35" s="151" t="s">
        <v>134</v>
      </c>
      <c r="P35" s="452" t="str">
        <f t="shared" si="3"/>
        <v>--</v>
      </c>
      <c r="Q35" s="8" t="str">
        <f t="shared" si="4"/>
        <v>--</v>
      </c>
      <c r="R35" s="209" t="str">
        <f t="shared" si="5"/>
        <v>NO</v>
      </c>
      <c r="S35" s="281">
        <f t="shared" si="6"/>
        <v>2</v>
      </c>
      <c r="T35" s="282">
        <f t="shared" si="7"/>
        <v>1745.568</v>
      </c>
      <c r="U35" s="283" t="str">
        <f t="shared" si="8"/>
        <v>--</v>
      </c>
      <c r="V35" s="284" t="str">
        <f t="shared" si="9"/>
        <v>--</v>
      </c>
      <c r="W35" s="285" t="str">
        <f t="shared" si="10"/>
        <v>--</v>
      </c>
      <c r="X35" s="286" t="str">
        <f t="shared" si="11"/>
        <v>--</v>
      </c>
      <c r="Y35" s="287" t="str">
        <f t="shared" si="12"/>
        <v>--</v>
      </c>
      <c r="Z35" s="288" t="str">
        <f t="shared" si="13"/>
        <v>--</v>
      </c>
      <c r="AA35" s="289" t="str">
        <f t="shared" si="14"/>
        <v>--</v>
      </c>
      <c r="AB35" s="290" t="s">
        <v>117</v>
      </c>
      <c r="AC35" s="16">
        <f t="shared" si="15"/>
        <v>1745.568</v>
      </c>
      <c r="AD35" s="17"/>
    </row>
    <row r="36" spans="1:30" s="5" customFormat="1" ht="16.5" customHeight="1">
      <c r="A36" s="88"/>
      <c r="B36" s="93"/>
      <c r="C36" s="149">
        <v>36</v>
      </c>
      <c r="D36" s="149">
        <v>209109</v>
      </c>
      <c r="E36" s="149">
        <v>76</v>
      </c>
      <c r="F36" s="145" t="s">
        <v>159</v>
      </c>
      <c r="G36" s="292" t="s">
        <v>156</v>
      </c>
      <c r="H36" s="277">
        <v>150</v>
      </c>
      <c r="I36" s="278" t="s">
        <v>160</v>
      </c>
      <c r="J36" s="279">
        <f t="shared" si="0"/>
        <v>47.85</v>
      </c>
      <c r="K36" s="150">
        <v>40018.379166666666</v>
      </c>
      <c r="L36" s="150">
        <v>40018.44513888889</v>
      </c>
      <c r="M36" s="280">
        <f t="shared" si="1"/>
        <v>1.583333333430346</v>
      </c>
      <c r="N36" s="14">
        <f t="shared" si="2"/>
        <v>95</v>
      </c>
      <c r="O36" s="151" t="s">
        <v>134</v>
      </c>
      <c r="P36" s="452" t="str">
        <f t="shared" si="3"/>
        <v>--</v>
      </c>
      <c r="Q36" s="8" t="str">
        <f t="shared" si="4"/>
        <v>--</v>
      </c>
      <c r="R36" s="209" t="str">
        <f t="shared" si="5"/>
        <v>NO</v>
      </c>
      <c r="S36" s="281">
        <f t="shared" si="6"/>
        <v>2</v>
      </c>
      <c r="T36" s="282">
        <f t="shared" si="7"/>
        <v>151.20600000000002</v>
      </c>
      <c r="U36" s="283" t="str">
        <f t="shared" si="8"/>
        <v>--</v>
      </c>
      <c r="V36" s="284" t="str">
        <f t="shared" si="9"/>
        <v>--</v>
      </c>
      <c r="W36" s="285" t="str">
        <f t="shared" si="10"/>
        <v>--</v>
      </c>
      <c r="X36" s="286" t="str">
        <f t="shared" si="11"/>
        <v>--</v>
      </c>
      <c r="Y36" s="287" t="str">
        <f t="shared" si="12"/>
        <v>--</v>
      </c>
      <c r="Z36" s="288" t="str">
        <f t="shared" si="13"/>
        <v>--</v>
      </c>
      <c r="AA36" s="289" t="str">
        <f t="shared" si="14"/>
        <v>--</v>
      </c>
      <c r="AB36" s="290" t="s">
        <v>117</v>
      </c>
      <c r="AC36" s="16">
        <f t="shared" si="15"/>
        <v>151.20600000000002</v>
      </c>
      <c r="AD36" s="17"/>
    </row>
    <row r="37" spans="1:30" s="5" customFormat="1" ht="16.5" customHeight="1">
      <c r="A37" s="88"/>
      <c r="B37" s="93"/>
      <c r="C37" s="149">
        <v>37</v>
      </c>
      <c r="D37" s="262">
        <v>209110</v>
      </c>
      <c r="E37" s="262">
        <v>75</v>
      </c>
      <c r="F37" s="145" t="s">
        <v>159</v>
      </c>
      <c r="G37" s="292" t="s">
        <v>154</v>
      </c>
      <c r="H37" s="277">
        <v>150</v>
      </c>
      <c r="I37" s="278" t="s">
        <v>160</v>
      </c>
      <c r="J37" s="279">
        <f t="shared" si="0"/>
        <v>47.85</v>
      </c>
      <c r="K37" s="150">
        <v>40018.467361111114</v>
      </c>
      <c r="L37" s="150">
        <v>40018.532638888886</v>
      </c>
      <c r="M37" s="280">
        <f t="shared" si="1"/>
        <v>1.5666666665347293</v>
      </c>
      <c r="N37" s="14">
        <f t="shared" si="2"/>
        <v>94</v>
      </c>
      <c r="O37" s="151" t="s">
        <v>134</v>
      </c>
      <c r="P37" s="452" t="str">
        <f t="shared" si="3"/>
        <v>--</v>
      </c>
      <c r="Q37" s="8" t="str">
        <f t="shared" si="4"/>
        <v>--</v>
      </c>
      <c r="R37" s="209" t="str">
        <f t="shared" si="5"/>
        <v>NO</v>
      </c>
      <c r="S37" s="281">
        <f t="shared" si="6"/>
        <v>2</v>
      </c>
      <c r="T37" s="282">
        <f t="shared" si="7"/>
        <v>150.24900000000002</v>
      </c>
      <c r="U37" s="283" t="str">
        <f t="shared" si="8"/>
        <v>--</v>
      </c>
      <c r="V37" s="284" t="str">
        <f t="shared" si="9"/>
        <v>--</v>
      </c>
      <c r="W37" s="285" t="str">
        <f t="shared" si="10"/>
        <v>--</v>
      </c>
      <c r="X37" s="286" t="str">
        <f t="shared" si="11"/>
        <v>--</v>
      </c>
      <c r="Y37" s="287" t="str">
        <f t="shared" si="12"/>
        <v>--</v>
      </c>
      <c r="Z37" s="288" t="str">
        <f t="shared" si="13"/>
        <v>--</v>
      </c>
      <c r="AA37" s="289" t="str">
        <f t="shared" si="14"/>
        <v>--</v>
      </c>
      <c r="AB37" s="290" t="s">
        <v>117</v>
      </c>
      <c r="AC37" s="16">
        <f t="shared" si="15"/>
        <v>150.24900000000002</v>
      </c>
      <c r="AD37" s="17"/>
    </row>
    <row r="38" spans="1:30" s="5" customFormat="1" ht="16.5" customHeight="1">
      <c r="A38" s="88"/>
      <c r="B38" s="93"/>
      <c r="C38" s="149"/>
      <c r="D38" s="149"/>
      <c r="E38" s="149"/>
      <c r="F38" s="145"/>
      <c r="G38" s="292"/>
      <c r="H38" s="277"/>
      <c r="I38" s="278"/>
      <c r="J38" s="279">
        <f t="shared" si="0"/>
        <v>0</v>
      </c>
      <c r="K38" s="150"/>
      <c r="L38" s="150"/>
      <c r="M38" s="280">
        <f t="shared" si="1"/>
      </c>
      <c r="N38" s="14">
        <f t="shared" si="2"/>
      </c>
      <c r="O38" s="151"/>
      <c r="P38" s="452">
        <f t="shared" si="3"/>
      </c>
      <c r="Q38" s="8">
        <f t="shared" si="4"/>
      </c>
      <c r="R38" s="209">
        <f t="shared" si="5"/>
      </c>
      <c r="S38" s="281">
        <f t="shared" si="6"/>
        <v>20</v>
      </c>
      <c r="T38" s="282" t="str">
        <f t="shared" si="7"/>
        <v>--</v>
      </c>
      <c r="U38" s="283" t="str">
        <f t="shared" si="8"/>
        <v>--</v>
      </c>
      <c r="V38" s="284" t="str">
        <f t="shared" si="9"/>
        <v>--</v>
      </c>
      <c r="W38" s="285" t="str">
        <f t="shared" si="10"/>
        <v>--</v>
      </c>
      <c r="X38" s="286" t="str">
        <f t="shared" si="11"/>
        <v>--</v>
      </c>
      <c r="Y38" s="287" t="str">
        <f t="shared" si="12"/>
        <v>--</v>
      </c>
      <c r="Z38" s="288" t="str">
        <f t="shared" si="13"/>
        <v>--</v>
      </c>
      <c r="AA38" s="289" t="str">
        <f t="shared" si="14"/>
        <v>--</v>
      </c>
      <c r="AB38" s="290">
        <f>IF(F38="","","SI")</f>
      </c>
      <c r="AC38" s="16">
        <f t="shared" si="15"/>
      </c>
      <c r="AD38" s="17"/>
    </row>
    <row r="39" spans="1:30" s="5" customFormat="1" ht="16.5" customHeight="1">
      <c r="A39" s="88"/>
      <c r="B39" s="93"/>
      <c r="C39" s="262"/>
      <c r="D39" s="262"/>
      <c r="E39" s="262"/>
      <c r="F39" s="145"/>
      <c r="G39" s="292"/>
      <c r="H39" s="277"/>
      <c r="I39" s="278"/>
      <c r="J39" s="279">
        <f t="shared" si="0"/>
        <v>0</v>
      </c>
      <c r="K39" s="150"/>
      <c r="L39" s="150"/>
      <c r="M39" s="280">
        <f t="shared" si="1"/>
      </c>
      <c r="N39" s="14">
        <f t="shared" si="2"/>
      </c>
      <c r="O39" s="151"/>
      <c r="P39" s="452">
        <f t="shared" si="3"/>
      </c>
      <c r="Q39" s="8">
        <f t="shared" si="4"/>
      </c>
      <c r="R39" s="209">
        <f t="shared" si="5"/>
      </c>
      <c r="S39" s="281">
        <f t="shared" si="6"/>
        <v>20</v>
      </c>
      <c r="T39" s="282" t="str">
        <f t="shared" si="7"/>
        <v>--</v>
      </c>
      <c r="U39" s="283" t="str">
        <f t="shared" si="8"/>
        <v>--</v>
      </c>
      <c r="V39" s="284" t="str">
        <f t="shared" si="9"/>
        <v>--</v>
      </c>
      <c r="W39" s="285" t="str">
        <f t="shared" si="10"/>
        <v>--</v>
      </c>
      <c r="X39" s="286" t="str">
        <f t="shared" si="11"/>
        <v>--</v>
      </c>
      <c r="Y39" s="287" t="str">
        <f t="shared" si="12"/>
        <v>--</v>
      </c>
      <c r="Z39" s="288" t="str">
        <f t="shared" si="13"/>
        <v>--</v>
      </c>
      <c r="AA39" s="289" t="str">
        <f t="shared" si="14"/>
        <v>--</v>
      </c>
      <c r="AB39" s="290">
        <f>IF(F39="","","SI")</f>
      </c>
      <c r="AC39" s="16">
        <f t="shared" si="15"/>
      </c>
      <c r="AD39" s="17"/>
    </row>
    <row r="40" spans="1:30" s="5" customFormat="1" ht="16.5" customHeight="1">
      <c r="A40" s="88"/>
      <c r="B40" s="93"/>
      <c r="C40" s="149"/>
      <c r="D40" s="149"/>
      <c r="E40" s="149"/>
      <c r="F40" s="145"/>
      <c r="G40" s="292"/>
      <c r="H40" s="277"/>
      <c r="I40" s="278"/>
      <c r="J40" s="279">
        <f t="shared" si="0"/>
        <v>0</v>
      </c>
      <c r="K40" s="150"/>
      <c r="L40" s="150"/>
      <c r="M40" s="280">
        <f t="shared" si="1"/>
      </c>
      <c r="N40" s="14">
        <f t="shared" si="2"/>
      </c>
      <c r="O40" s="151"/>
      <c r="P40" s="452">
        <f t="shared" si="3"/>
      </c>
      <c r="Q40" s="8">
        <f t="shared" si="4"/>
      </c>
      <c r="R40" s="209">
        <f t="shared" si="5"/>
      </c>
      <c r="S40" s="281">
        <f t="shared" si="6"/>
        <v>20</v>
      </c>
      <c r="T40" s="282" t="str">
        <f t="shared" si="7"/>
        <v>--</v>
      </c>
      <c r="U40" s="283" t="str">
        <f t="shared" si="8"/>
        <v>--</v>
      </c>
      <c r="V40" s="284" t="str">
        <f t="shared" si="9"/>
        <v>--</v>
      </c>
      <c r="W40" s="285" t="str">
        <f t="shared" si="10"/>
        <v>--</v>
      </c>
      <c r="X40" s="286" t="str">
        <f t="shared" si="11"/>
        <v>--</v>
      </c>
      <c r="Y40" s="287" t="str">
        <f t="shared" si="12"/>
        <v>--</v>
      </c>
      <c r="Z40" s="288" t="str">
        <f t="shared" si="13"/>
        <v>--</v>
      </c>
      <c r="AA40" s="289" t="str">
        <f t="shared" si="14"/>
        <v>--</v>
      </c>
      <c r="AB40" s="290">
        <f>IF(F40="","","SI")</f>
      </c>
      <c r="AC40" s="16">
        <f t="shared" si="15"/>
      </c>
      <c r="AD40" s="17"/>
    </row>
    <row r="41" spans="1:30" s="5" customFormat="1" ht="16.5" customHeight="1">
      <c r="A41" s="88"/>
      <c r="B41" s="93"/>
      <c r="C41" s="262"/>
      <c r="D41" s="262"/>
      <c r="E41" s="262"/>
      <c r="F41" s="145"/>
      <c r="G41" s="292"/>
      <c r="H41" s="277"/>
      <c r="I41" s="278"/>
      <c r="J41" s="279">
        <f t="shared" si="0"/>
        <v>0</v>
      </c>
      <c r="K41" s="150"/>
      <c r="L41" s="150"/>
      <c r="M41" s="280">
        <f t="shared" si="1"/>
      </c>
      <c r="N41" s="14">
        <f t="shared" si="2"/>
      </c>
      <c r="O41" s="151"/>
      <c r="P41" s="452">
        <f t="shared" si="3"/>
      </c>
      <c r="Q41" s="8">
        <f t="shared" si="4"/>
      </c>
      <c r="R41" s="209">
        <f t="shared" si="5"/>
      </c>
      <c r="S41" s="281">
        <f t="shared" si="6"/>
        <v>20</v>
      </c>
      <c r="T41" s="282" t="str">
        <f t="shared" si="7"/>
        <v>--</v>
      </c>
      <c r="U41" s="283" t="str">
        <f t="shared" si="8"/>
        <v>--</v>
      </c>
      <c r="V41" s="284" t="str">
        <f t="shared" si="9"/>
        <v>--</v>
      </c>
      <c r="W41" s="285" t="str">
        <f t="shared" si="10"/>
        <v>--</v>
      </c>
      <c r="X41" s="286" t="str">
        <f t="shared" si="11"/>
        <v>--</v>
      </c>
      <c r="Y41" s="287" t="str">
        <f t="shared" si="12"/>
        <v>--</v>
      </c>
      <c r="Z41" s="288" t="str">
        <f t="shared" si="13"/>
        <v>--</v>
      </c>
      <c r="AA41" s="289" t="str">
        <f t="shared" si="14"/>
        <v>--</v>
      </c>
      <c r="AB41" s="290">
        <f>IF(F41="","","SI")</f>
      </c>
      <c r="AC41" s="16">
        <f t="shared" si="15"/>
      </c>
      <c r="AD41" s="17"/>
    </row>
    <row r="42" spans="1:30" s="5" customFormat="1" ht="16.5" customHeight="1" thickBot="1">
      <c r="A42" s="88"/>
      <c r="B42" s="93"/>
      <c r="C42" s="149"/>
      <c r="D42" s="149"/>
      <c r="E42" s="149"/>
      <c r="F42" s="293"/>
      <c r="G42" s="294"/>
      <c r="H42" s="293"/>
      <c r="I42" s="295"/>
      <c r="J42" s="129"/>
      <c r="K42" s="152"/>
      <c r="L42" s="296"/>
      <c r="M42" s="297"/>
      <c r="N42" s="298"/>
      <c r="O42" s="155"/>
      <c r="P42" s="182"/>
      <c r="Q42" s="153"/>
      <c r="R42" s="155"/>
      <c r="S42" s="299"/>
      <c r="T42" s="300"/>
      <c r="U42" s="301"/>
      <c r="V42" s="302"/>
      <c r="W42" s="303"/>
      <c r="X42" s="304"/>
      <c r="Y42" s="305"/>
      <c r="Z42" s="306"/>
      <c r="AA42" s="307"/>
      <c r="AB42" s="308"/>
      <c r="AC42" s="309"/>
      <c r="AD42" s="17"/>
    </row>
    <row r="43" spans="1:30" s="5" customFormat="1" ht="16.5" customHeight="1" thickBot="1" thickTop="1">
      <c r="A43" s="88"/>
      <c r="B43" s="93"/>
      <c r="C43" s="125" t="s">
        <v>23</v>
      </c>
      <c r="D43" s="725" t="s">
        <v>216</v>
      </c>
      <c r="E43" s="125"/>
      <c r="F43" s="126"/>
      <c r="G43" s="15"/>
      <c r="H43" s="15"/>
      <c r="I43" s="15"/>
      <c r="J43" s="15"/>
      <c r="K43" s="15"/>
      <c r="L43" s="97"/>
      <c r="M43" s="15"/>
      <c r="N43" s="15"/>
      <c r="O43" s="15"/>
      <c r="P43" s="15"/>
      <c r="Q43" s="15"/>
      <c r="R43" s="15"/>
      <c r="S43" s="15"/>
      <c r="T43" s="310">
        <f aca="true" t="shared" si="16" ref="T43:AA43">SUM(T20:T42)</f>
        <v>11343.001999999999</v>
      </c>
      <c r="U43" s="311">
        <f t="shared" si="16"/>
        <v>0</v>
      </c>
      <c r="V43" s="312">
        <f t="shared" si="16"/>
        <v>1914</v>
      </c>
      <c r="W43" s="313">
        <f t="shared" si="16"/>
        <v>6488.459999999999</v>
      </c>
      <c r="X43" s="314">
        <f t="shared" si="16"/>
        <v>0</v>
      </c>
      <c r="Y43" s="315">
        <f t="shared" si="16"/>
        <v>0</v>
      </c>
      <c r="Z43" s="316">
        <f t="shared" si="16"/>
        <v>0</v>
      </c>
      <c r="AA43" s="317">
        <f t="shared" si="16"/>
        <v>0</v>
      </c>
      <c r="AB43" s="88"/>
      <c r="AC43" s="318">
        <f>ROUND(SUM(AC20:AC42),2)</f>
        <v>19745.46</v>
      </c>
      <c r="AD43" s="17"/>
    </row>
    <row r="44" spans="1:30" s="5" customFormat="1" ht="16.5" customHeight="1" thickBot="1" thickTop="1">
      <c r="A44" s="88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1"/>
    </row>
    <row r="45" spans="1:31" ht="16.5" customHeight="1" thickTop="1">
      <c r="A45" s="2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</row>
    <row r="46" spans="1:31" ht="16.5" customHeight="1">
      <c r="A46" s="2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</row>
    <row r="47" spans="1:31" ht="16.5" customHeight="1">
      <c r="A47" s="2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</row>
    <row r="48" spans="1:31" ht="16.5" customHeight="1">
      <c r="A48" s="2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</row>
    <row r="49" spans="6:31" ht="16.5" customHeight="1"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</row>
    <row r="50" spans="6:31" ht="16.5" customHeight="1"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</row>
    <row r="51" spans="6:31" ht="16.5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</row>
    <row r="52" spans="6:31" ht="16.5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</row>
    <row r="53" spans="6:31" ht="16.5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</row>
    <row r="54" spans="6:31" ht="16.5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</row>
    <row r="55" spans="6:31" ht="16.5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</row>
    <row r="56" spans="6:31" ht="16.5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</row>
    <row r="57" spans="6:31" ht="16.5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</row>
    <row r="58" spans="6:31" ht="16.5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</row>
    <row r="59" spans="6:31" ht="16.5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</row>
    <row r="60" spans="6:31" ht="16.5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</row>
    <row r="61" spans="6:31" ht="16.5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</row>
    <row r="62" spans="6:31" ht="16.5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</row>
    <row r="63" spans="6:31" ht="16.5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</row>
    <row r="64" spans="6:31" ht="16.5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</row>
    <row r="65" spans="6:31" ht="16.5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</row>
    <row r="66" spans="6:31" ht="16.5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</row>
    <row r="67" spans="6:31" ht="16.5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</row>
    <row r="68" spans="6:31" ht="16.5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</row>
    <row r="69" spans="6:31" ht="16.5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</row>
    <row r="70" spans="6:31" ht="16.5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</row>
    <row r="71" spans="6:31" ht="16.5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</row>
    <row r="72" spans="6:31" ht="16.5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</row>
    <row r="73" spans="6:31" ht="16.5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</row>
    <row r="74" spans="6:31" ht="16.5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</row>
    <row r="75" spans="6:31" ht="16.5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</row>
    <row r="76" spans="6:31" ht="16.5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</row>
    <row r="77" spans="6:31" ht="16.5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</row>
    <row r="78" spans="6:31" ht="16.5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</row>
    <row r="79" spans="6:31" ht="16.5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</row>
    <row r="80" spans="6:31" ht="16.5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</row>
    <row r="81" spans="6:31" ht="16.5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</row>
    <row r="82" spans="6:31" ht="16.5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</row>
    <row r="83" spans="6:31" ht="16.5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</row>
    <row r="84" spans="6:31" ht="16.5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</row>
    <row r="85" spans="6:31" ht="16.5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</row>
    <row r="86" spans="6:31" ht="16.5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</row>
    <row r="87" spans="6:31" ht="16.5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</row>
    <row r="88" spans="6:31" ht="16.5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</row>
    <row r="89" spans="6:31" ht="16.5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</row>
    <row r="90" spans="6:31" ht="16.5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</row>
    <row r="91" spans="6:31" ht="16.5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</row>
    <row r="92" spans="6:31" ht="16.5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6:31" ht="16.5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</row>
    <row r="94" spans="6:31" ht="16.5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</row>
    <row r="95" spans="6:31" ht="16.5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</row>
    <row r="96" spans="6:31" ht="16.5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</row>
    <row r="97" spans="6:31" ht="16.5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</row>
    <row r="98" spans="6:31" ht="16.5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</row>
    <row r="99" spans="6:31" ht="16.5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</row>
    <row r="100" spans="6:31" ht="16.5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</row>
    <row r="101" spans="6:31" ht="16.5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</row>
    <row r="102" spans="6:31" ht="16.5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</row>
    <row r="103" spans="6:31" ht="16.5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</row>
    <row r="104" spans="6:31" ht="16.5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</row>
    <row r="105" spans="6:31" ht="16.5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</row>
    <row r="106" spans="6:31" ht="16.5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</row>
    <row r="107" spans="6:31" ht="16.5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</row>
    <row r="108" spans="6:31" ht="16.5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</row>
    <row r="109" spans="6:31" ht="16.5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</row>
    <row r="110" spans="6:31" ht="16.5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</row>
    <row r="111" spans="6:31" ht="16.5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</row>
    <row r="112" spans="6:31" ht="16.5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</row>
    <row r="113" spans="6:31" ht="16.5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</row>
    <row r="114" spans="6:31" ht="16.5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</row>
    <row r="115" spans="6:31" ht="16.5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</row>
    <row r="116" spans="6:31" ht="16.5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</row>
    <row r="117" spans="6:31" ht="16.5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</row>
    <row r="118" spans="6:31" ht="16.5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6:31" ht="16.5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6:31" ht="16.5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</row>
    <row r="121" spans="6:31" ht="16.5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6:31" ht="16.5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</row>
    <row r="123" spans="6:31" ht="16.5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</row>
    <row r="124" spans="6:31" ht="16.5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</row>
    <row r="125" spans="6:31" ht="16.5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</row>
    <row r="126" spans="6:31" ht="16.5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</row>
    <row r="127" spans="6:31" ht="16.5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6:31" ht="16.5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6:31" ht="16.5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</row>
    <row r="130" spans="6:31" ht="16.5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pans="6:31" ht="16.5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</row>
    <row r="132" spans="6:31" ht="16.5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</row>
    <row r="133" spans="6:31" ht="16.5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</row>
    <row r="134" spans="6:31" ht="16.5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pans="6:31" ht="16.5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</row>
    <row r="136" spans="6:31" ht="16.5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</row>
    <row r="137" spans="6:31" ht="16.5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</row>
    <row r="138" spans="6:31" ht="16.5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</row>
    <row r="139" spans="6:31" ht="16.5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</row>
    <row r="140" spans="6:31" ht="16.5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</row>
    <row r="141" spans="6:31" ht="16.5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</row>
    <row r="142" spans="6:31" ht="16.5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</row>
    <row r="143" spans="6:31" ht="16.5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</row>
    <row r="144" spans="6:31" ht="16.5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</row>
    <row r="145" spans="6:31" ht="16.5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</row>
    <row r="146" spans="6:31" ht="16.5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</row>
    <row r="147" spans="6:31" ht="16.5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</row>
    <row r="148" spans="6:31" ht="16.5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</row>
    <row r="149" spans="6:31" ht="16.5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</row>
    <row r="150" spans="6:31" ht="16.5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</row>
    <row r="151" spans="6:31" ht="16.5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</row>
    <row r="152" spans="6:31" ht="16.5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</row>
    <row r="153" ht="16.5" customHeight="1">
      <c r="AE153" s="168"/>
    </row>
    <row r="154" ht="16.5" customHeight="1">
      <c r="AE154" s="168"/>
    </row>
    <row r="155" ht="16.5" customHeight="1">
      <c r="AE155" s="168"/>
    </row>
    <row r="156" ht="16.5" customHeight="1">
      <c r="AE156" s="168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E156"/>
  <sheetViews>
    <sheetView zoomScale="70" zoomScaleNormal="70" workbookViewId="0" topLeftCell="F1">
      <selection activeCell="AC67" sqref="AC67"/>
    </sheetView>
  </sheetViews>
  <sheetFormatPr defaultColWidth="11.421875" defaultRowHeight="12.75"/>
  <cols>
    <col min="1" max="2" width="4.140625" style="0" customWidth="1"/>
    <col min="3" max="3" width="5.421875" style="0" customWidth="1"/>
    <col min="4" max="5" width="13.57421875" style="0" customWidth="1"/>
    <col min="6" max="7" width="25.7109375" style="0" customWidth="1"/>
    <col min="8" max="8" width="9.7109375" style="0" customWidth="1"/>
    <col min="9" max="9" width="12.7109375" style="0" customWidth="1"/>
    <col min="10" max="10" width="13.7109375" style="0" hidden="1" customWidth="1"/>
    <col min="11" max="12" width="15.7109375" style="0" customWidth="1"/>
    <col min="13" max="16" width="9.7109375" style="0" customWidth="1"/>
    <col min="17" max="17" width="5.8515625" style="0" customWidth="1"/>
    <col min="18" max="18" width="7.00390625" style="0" customWidth="1"/>
    <col min="19" max="19" width="13.140625" style="0" hidden="1" customWidth="1"/>
    <col min="20" max="21" width="16.421875" style="0" hidden="1" customWidth="1"/>
    <col min="22" max="22" width="16.57421875" style="0" hidden="1" customWidth="1"/>
    <col min="23" max="27" width="16.2812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2:30" s="18" customFormat="1" ht="26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142"/>
    </row>
    <row r="2" spans="1:30" s="18" customFormat="1" ht="26.25">
      <c r="A2" s="89"/>
      <c r="B2" s="231" t="str">
        <f>+'TOT-0709'!B2</f>
        <v>ANEXO II al Memorándum D.T.E.E. N° 256 /2011</v>
      </c>
      <c r="C2" s="231"/>
      <c r="D2" s="231"/>
      <c r="E2" s="231"/>
      <c r="F2" s="231"/>
      <c r="G2" s="19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</row>
    <row r="3" spans="1:30" s="5" customFormat="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s="25" customFormat="1" ht="11.25">
      <c r="A4" s="232" t="s">
        <v>59</v>
      </c>
      <c r="B4" s="112"/>
      <c r="C4" s="112"/>
      <c r="D4" s="11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</row>
    <row r="5" spans="1:30" s="25" customFormat="1" ht="11.25">
      <c r="A5" s="232" t="s">
        <v>2</v>
      </c>
      <c r="B5" s="112"/>
      <c r="C5" s="112"/>
      <c r="D5" s="11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5" customFormat="1" ht="13.5" thickBo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</row>
    <row r="7" spans="1:30" s="5" customFormat="1" ht="13.5" thickTop="1">
      <c r="A7" s="88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</row>
    <row r="8" spans="1:30" s="29" customFormat="1" ht="20.25">
      <c r="A8" s="103"/>
      <c r="B8" s="104"/>
      <c r="C8" s="94"/>
      <c r="D8" s="94"/>
      <c r="E8" s="103"/>
      <c r="F8" s="233" t="s">
        <v>54</v>
      </c>
      <c r="G8" s="103"/>
      <c r="H8" s="103"/>
      <c r="I8" s="234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94"/>
      <c r="U8" s="94"/>
      <c r="V8" s="94"/>
      <c r="W8" s="94"/>
      <c r="X8" s="94"/>
      <c r="Y8" s="94"/>
      <c r="Z8" s="94"/>
      <c r="AA8" s="94"/>
      <c r="AB8" s="94"/>
      <c r="AC8" s="94"/>
      <c r="AD8" s="105"/>
    </row>
    <row r="9" spans="1:30" s="5" customFormat="1" ht="12.75">
      <c r="A9" s="88"/>
      <c r="B9" s="93"/>
      <c r="C9" s="15"/>
      <c r="D9" s="15"/>
      <c r="E9" s="88"/>
      <c r="F9" s="15"/>
      <c r="G9" s="235"/>
      <c r="H9" s="88"/>
      <c r="I9" s="15"/>
      <c r="J9" s="88"/>
      <c r="K9" s="88"/>
      <c r="L9" s="88"/>
      <c r="M9" s="88"/>
      <c r="N9" s="88"/>
      <c r="O9" s="88"/>
      <c r="P9" s="88"/>
      <c r="Q9" s="88"/>
      <c r="R9" s="88"/>
      <c r="S9" s="88"/>
      <c r="T9" s="15"/>
      <c r="U9" s="15"/>
      <c r="V9" s="15"/>
      <c r="W9" s="15"/>
      <c r="X9" s="15"/>
      <c r="Y9" s="15"/>
      <c r="Z9" s="15"/>
      <c r="AA9" s="15"/>
      <c r="AB9" s="15"/>
      <c r="AC9" s="15"/>
      <c r="AD9" s="17"/>
    </row>
    <row r="10" spans="1:30" s="698" customFormat="1" ht="30" customHeight="1">
      <c r="A10" s="692"/>
      <c r="B10" s="693"/>
      <c r="C10" s="696"/>
      <c r="D10" s="696"/>
      <c r="E10" s="692"/>
      <c r="F10" s="694" t="s">
        <v>119</v>
      </c>
      <c r="G10" s="692"/>
      <c r="H10" s="695"/>
      <c r="I10" s="696"/>
      <c r="J10" s="692"/>
      <c r="K10" s="692"/>
      <c r="L10" s="692"/>
      <c r="M10" s="692"/>
      <c r="N10" s="692"/>
      <c r="O10" s="692"/>
      <c r="P10" s="692"/>
      <c r="Q10" s="692"/>
      <c r="R10" s="692"/>
      <c r="S10" s="692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7"/>
    </row>
    <row r="11" spans="1:30" s="703" customFormat="1" ht="9.75" customHeight="1">
      <c r="A11" s="699"/>
      <c r="B11" s="700"/>
      <c r="C11" s="701"/>
      <c r="D11" s="701"/>
      <c r="E11" s="699"/>
      <c r="G11" s="701"/>
      <c r="H11" s="701"/>
      <c r="I11" s="701"/>
      <c r="J11" s="699"/>
      <c r="K11" s="699"/>
      <c r="L11" s="699"/>
      <c r="M11" s="699"/>
      <c r="N11" s="699"/>
      <c r="O11" s="699"/>
      <c r="P11" s="699"/>
      <c r="Q11" s="699"/>
      <c r="R11" s="699"/>
      <c r="S11" s="699"/>
      <c r="T11" s="701"/>
      <c r="U11" s="701"/>
      <c r="V11" s="701"/>
      <c r="W11" s="701"/>
      <c r="X11" s="701"/>
      <c r="Y11" s="701"/>
      <c r="Z11" s="701"/>
      <c r="AA11" s="701"/>
      <c r="AB11" s="701"/>
      <c r="AC11" s="701"/>
      <c r="AD11" s="702"/>
    </row>
    <row r="12" spans="1:30" s="703" customFormat="1" ht="21" customHeight="1">
      <c r="A12" s="692"/>
      <c r="B12" s="693"/>
      <c r="C12" s="696"/>
      <c r="D12" s="696"/>
      <c r="E12" s="692"/>
      <c r="F12" s="694" t="s">
        <v>290</v>
      </c>
      <c r="G12" s="692"/>
      <c r="H12" s="692"/>
      <c r="I12" s="692"/>
      <c r="J12" s="705"/>
      <c r="K12" s="705"/>
      <c r="L12" s="705"/>
      <c r="M12" s="705"/>
      <c r="N12" s="705"/>
      <c r="O12" s="699"/>
      <c r="P12" s="699"/>
      <c r="Q12" s="699"/>
      <c r="R12" s="699"/>
      <c r="S12" s="699"/>
      <c r="T12" s="701"/>
      <c r="U12" s="701"/>
      <c r="V12" s="701"/>
      <c r="W12" s="701"/>
      <c r="X12" s="701"/>
      <c r="Y12" s="701"/>
      <c r="Z12" s="701"/>
      <c r="AA12" s="701"/>
      <c r="AB12" s="701"/>
      <c r="AC12" s="701"/>
      <c r="AD12" s="702"/>
    </row>
    <row r="13" spans="1:30" s="5" customFormat="1" ht="12.75">
      <c r="A13" s="88"/>
      <c r="B13" s="93"/>
      <c r="C13" s="15"/>
      <c r="D13" s="15"/>
      <c r="E13" s="88"/>
      <c r="F13" s="15"/>
      <c r="G13" s="15"/>
      <c r="H13" s="15"/>
      <c r="I13" s="96"/>
      <c r="J13" s="15"/>
      <c r="K13" s="15"/>
      <c r="L13" s="15"/>
      <c r="M13" s="15"/>
      <c r="N13" s="15"/>
      <c r="O13" s="88"/>
      <c r="P13" s="88"/>
      <c r="Q13" s="88"/>
      <c r="R13" s="88"/>
      <c r="S13" s="88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7"/>
    </row>
    <row r="14" spans="1:30" s="36" customFormat="1" ht="19.5">
      <c r="A14" s="107"/>
      <c r="B14" s="37" t="str">
        <f>'TOT-0709'!B14</f>
        <v>Desde el 01 al 31 de julio de 2009</v>
      </c>
      <c r="C14" s="40"/>
      <c r="D14" s="40"/>
      <c r="E14" s="236"/>
      <c r="F14" s="110"/>
      <c r="G14" s="110"/>
      <c r="H14" s="110"/>
      <c r="I14" s="110"/>
      <c r="J14" s="110"/>
      <c r="K14" s="110"/>
      <c r="L14" s="110"/>
      <c r="M14" s="110"/>
      <c r="N14" s="110"/>
      <c r="O14" s="236"/>
      <c r="P14" s="236"/>
      <c r="Q14" s="236"/>
      <c r="R14" s="236"/>
      <c r="S14" s="236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237"/>
    </row>
    <row r="15" spans="1:30" s="5" customFormat="1" ht="13.5" thickBot="1">
      <c r="A15" s="88"/>
      <c r="B15" s="93"/>
      <c r="C15" s="15"/>
      <c r="D15" s="15"/>
      <c r="E15" s="88"/>
      <c r="F15" s="15"/>
      <c r="G15" s="15"/>
      <c r="H15" s="15"/>
      <c r="I15" s="96"/>
      <c r="J15" s="15"/>
      <c r="K15" s="15"/>
      <c r="L15" s="15"/>
      <c r="M15" s="15"/>
      <c r="N15" s="15"/>
      <c r="O15" s="88"/>
      <c r="P15" s="88"/>
      <c r="Q15" s="88"/>
      <c r="R15" s="88"/>
      <c r="S15" s="88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7"/>
    </row>
    <row r="16" spans="1:30" s="5" customFormat="1" ht="16.5" customHeight="1" thickBot="1" thickTop="1">
      <c r="A16" s="88"/>
      <c r="B16" s="93"/>
      <c r="C16" s="15"/>
      <c r="D16" s="15"/>
      <c r="E16" s="88"/>
      <c r="F16" s="238" t="s">
        <v>60</v>
      </c>
      <c r="G16" s="239"/>
      <c r="H16" s="240">
        <v>0.319</v>
      </c>
      <c r="J16" s="88"/>
      <c r="K16" s="88"/>
      <c r="L16" s="88"/>
      <c r="M16" s="88"/>
      <c r="N16" s="88"/>
      <c r="O16" s="88"/>
      <c r="P16" s="88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7"/>
    </row>
    <row r="17" spans="1:30" s="5" customFormat="1" ht="16.5" customHeight="1" thickBot="1" thickTop="1">
      <c r="A17" s="88"/>
      <c r="B17" s="93"/>
      <c r="C17" s="15"/>
      <c r="D17" s="15"/>
      <c r="E17" s="88"/>
      <c r="F17" s="108" t="s">
        <v>24</v>
      </c>
      <c r="G17" s="109"/>
      <c r="H17" s="682">
        <v>200</v>
      </c>
      <c r="I17"/>
      <c r="J17" s="15"/>
      <c r="K17" s="192"/>
      <c r="L17" s="193"/>
      <c r="M17" s="4"/>
      <c r="N17" s="15"/>
      <c r="O17" s="15"/>
      <c r="P17" s="15"/>
      <c r="Q17" s="15"/>
      <c r="R17" s="15"/>
      <c r="S17" s="15"/>
      <c r="T17" s="15"/>
      <c r="U17" s="15"/>
      <c r="V17" s="15"/>
      <c r="W17" s="97"/>
      <c r="X17" s="97"/>
      <c r="Y17" s="97"/>
      <c r="Z17" s="97"/>
      <c r="AA17" s="97"/>
      <c r="AB17" s="97"/>
      <c r="AC17" s="88"/>
      <c r="AD17" s="17"/>
    </row>
    <row r="18" spans="1:30" s="5" customFormat="1" ht="16.5" customHeight="1" thickBot="1" thickTop="1">
      <c r="A18" s="88"/>
      <c r="B18" s="93"/>
      <c r="C18" s="727">
        <v>3</v>
      </c>
      <c r="D18" s="727">
        <v>4</v>
      </c>
      <c r="E18" s="727">
        <v>5</v>
      </c>
      <c r="F18" s="727">
        <v>6</v>
      </c>
      <c r="G18" s="727">
        <v>7</v>
      </c>
      <c r="H18" s="727">
        <v>8</v>
      </c>
      <c r="I18" s="727">
        <v>9</v>
      </c>
      <c r="J18" s="727">
        <v>10</v>
      </c>
      <c r="K18" s="727">
        <v>11</v>
      </c>
      <c r="L18" s="727">
        <v>12</v>
      </c>
      <c r="M18" s="727">
        <v>13</v>
      </c>
      <c r="N18" s="727">
        <v>14</v>
      </c>
      <c r="O18" s="727">
        <v>15</v>
      </c>
      <c r="P18" s="727">
        <v>16</v>
      </c>
      <c r="Q18" s="727">
        <v>17</v>
      </c>
      <c r="R18" s="727">
        <v>18</v>
      </c>
      <c r="S18" s="727">
        <v>19</v>
      </c>
      <c r="T18" s="727">
        <v>20</v>
      </c>
      <c r="U18" s="727">
        <v>21</v>
      </c>
      <c r="V18" s="727">
        <v>22</v>
      </c>
      <c r="W18" s="727">
        <v>23</v>
      </c>
      <c r="X18" s="727">
        <v>24</v>
      </c>
      <c r="Y18" s="727">
        <v>25</v>
      </c>
      <c r="Z18" s="727">
        <v>26</v>
      </c>
      <c r="AA18" s="727">
        <v>27</v>
      </c>
      <c r="AB18" s="727">
        <v>28</v>
      </c>
      <c r="AC18" s="727">
        <v>29</v>
      </c>
      <c r="AD18" s="17"/>
    </row>
    <row r="19" spans="1:30" s="5" customFormat="1" ht="33.75" customHeight="1" thickBot="1" thickTop="1">
      <c r="A19" s="88"/>
      <c r="B19" s="93"/>
      <c r="C19" s="121" t="s">
        <v>12</v>
      </c>
      <c r="D19" s="84" t="s">
        <v>128</v>
      </c>
      <c r="E19" s="84" t="s">
        <v>129</v>
      </c>
      <c r="F19" s="117" t="s">
        <v>25</v>
      </c>
      <c r="G19" s="116" t="s">
        <v>26</v>
      </c>
      <c r="H19" s="118" t="s">
        <v>27</v>
      </c>
      <c r="I19" s="119" t="s">
        <v>13</v>
      </c>
      <c r="J19" s="127" t="s">
        <v>15</v>
      </c>
      <c r="K19" s="116" t="s">
        <v>16</v>
      </c>
      <c r="L19" s="116" t="s">
        <v>17</v>
      </c>
      <c r="M19" s="117" t="s">
        <v>28</v>
      </c>
      <c r="N19" s="117" t="s">
        <v>29</v>
      </c>
      <c r="O19" s="87" t="s">
        <v>18</v>
      </c>
      <c r="P19" s="87" t="s">
        <v>44</v>
      </c>
      <c r="Q19" s="120" t="s">
        <v>30</v>
      </c>
      <c r="R19" s="116" t="s">
        <v>31</v>
      </c>
      <c r="S19" s="241" t="s">
        <v>35</v>
      </c>
      <c r="T19" s="242" t="s">
        <v>19</v>
      </c>
      <c r="U19" s="243" t="s">
        <v>20</v>
      </c>
      <c r="V19" s="196" t="s">
        <v>61</v>
      </c>
      <c r="W19" s="198"/>
      <c r="X19" s="244" t="s">
        <v>62</v>
      </c>
      <c r="Y19" s="245"/>
      <c r="Z19" s="246" t="s">
        <v>21</v>
      </c>
      <c r="AA19" s="247" t="s">
        <v>57</v>
      </c>
      <c r="AB19" s="130" t="s">
        <v>58</v>
      </c>
      <c r="AC19" s="119" t="s">
        <v>22</v>
      </c>
      <c r="AD19" s="17"/>
    </row>
    <row r="20" spans="1:30" s="5" customFormat="1" ht="16.5" customHeight="1" thickTop="1">
      <c r="A20" s="88"/>
      <c r="B20" s="93"/>
      <c r="C20" s="248"/>
      <c r="D20" s="248"/>
      <c r="E20" s="248"/>
      <c r="F20" s="248"/>
      <c r="G20" s="248"/>
      <c r="H20" s="248"/>
      <c r="I20" s="249"/>
      <c r="J20" s="250"/>
      <c r="K20" s="248"/>
      <c r="L20" s="248"/>
      <c r="M20" s="248"/>
      <c r="N20" s="248"/>
      <c r="O20" s="248"/>
      <c r="P20" s="173"/>
      <c r="Q20" s="251"/>
      <c r="R20" s="248"/>
      <c r="S20" s="252"/>
      <c r="T20" s="253"/>
      <c r="U20" s="254"/>
      <c r="V20" s="255"/>
      <c r="W20" s="256"/>
      <c r="X20" s="257"/>
      <c r="Y20" s="258"/>
      <c r="Z20" s="259"/>
      <c r="AA20" s="260"/>
      <c r="AB20" s="251"/>
      <c r="AC20" s="261"/>
      <c r="AD20" s="17"/>
    </row>
    <row r="21" spans="1:30" s="5" customFormat="1" ht="16.5" customHeight="1">
      <c r="A21" s="88"/>
      <c r="B21" s="93"/>
      <c r="C21" s="262"/>
      <c r="D21" s="262"/>
      <c r="E21" s="262"/>
      <c r="F21" s="262"/>
      <c r="G21" s="262"/>
      <c r="H21" s="262"/>
      <c r="I21" s="263"/>
      <c r="J21" s="264"/>
      <c r="K21" s="262"/>
      <c r="L21" s="262"/>
      <c r="M21" s="262"/>
      <c r="N21" s="262"/>
      <c r="O21" s="262"/>
      <c r="P21" s="175"/>
      <c r="Q21" s="265"/>
      <c r="R21" s="262"/>
      <c r="S21" s="266"/>
      <c r="T21" s="267"/>
      <c r="U21" s="268"/>
      <c r="V21" s="269"/>
      <c r="W21" s="270"/>
      <c r="X21" s="271"/>
      <c r="Y21" s="272"/>
      <c r="Z21" s="273"/>
      <c r="AA21" s="274"/>
      <c r="AB21" s="265"/>
      <c r="AC21" s="275"/>
      <c r="AD21" s="17"/>
    </row>
    <row r="22" spans="1:30" s="5" customFormat="1" ht="16.5" customHeight="1">
      <c r="A22" s="88"/>
      <c r="B22" s="93"/>
      <c r="C22" s="149">
        <v>22</v>
      </c>
      <c r="D22" s="149">
        <v>202170</v>
      </c>
      <c r="E22" s="149">
        <v>1689</v>
      </c>
      <c r="F22" s="145" t="s">
        <v>150</v>
      </c>
      <c r="G22" s="276" t="s">
        <v>151</v>
      </c>
      <c r="H22" s="277">
        <v>150</v>
      </c>
      <c r="I22" s="278" t="s">
        <v>152</v>
      </c>
      <c r="J22" s="279">
        <f>H22*$H$16</f>
        <v>47.85</v>
      </c>
      <c r="K22" s="150">
        <v>39995</v>
      </c>
      <c r="L22" s="150">
        <v>40025.99998842592</v>
      </c>
      <c r="M22" s="280">
        <f>IF(F22="","",(L22-K22)*24)</f>
        <v>743.9997222221573</v>
      </c>
      <c r="N22" s="14">
        <f>IF(F22="","",ROUND((L22-K22)*24*60,0))</f>
        <v>44640</v>
      </c>
      <c r="O22" s="151" t="s">
        <v>134</v>
      </c>
      <c r="P22" s="452" t="str">
        <f>IF(F22="","","--")</f>
        <v>--</v>
      </c>
      <c r="Q22" s="8" t="str">
        <f>IF(F22="","",IF(OR(O22="P",O22="RP"),"--","NO"))</f>
        <v>--</v>
      </c>
      <c r="R22" s="209" t="str">
        <f>IF(F22="","","NO")</f>
        <v>NO</v>
      </c>
      <c r="S22" s="281">
        <f>$H$17*IF(OR(O22="P",O22="RP"),0.1,1)*IF(R22="SI",1,0.1)</f>
        <v>2</v>
      </c>
      <c r="T22" s="282">
        <f>IF(O22="P",J22*S22*ROUND(N22/60,2),"--")</f>
        <v>71200.8</v>
      </c>
      <c r="U22" s="283" t="str">
        <f>IF(O22="RP",J22*S22*P22/100*ROUND(N22/60,2),"--")</f>
        <v>--</v>
      </c>
      <c r="V22" s="284" t="str">
        <f>IF(AND(O22="F",Q22="NO"),J22*S22,"--")</f>
        <v>--</v>
      </c>
      <c r="W22" s="285" t="str">
        <f>IF(O22="F",J22*S22*ROUND(N22/60,2),"--")</f>
        <v>--</v>
      </c>
      <c r="X22" s="286" t="str">
        <f>IF(AND(O22="R",Q22="NO"),J22*S22*P22/100,"--")</f>
        <v>--</v>
      </c>
      <c r="Y22" s="287" t="str">
        <f>IF(O22="R",J22*S22*P22/100*ROUND(N22/60,2),"--")</f>
        <v>--</v>
      </c>
      <c r="Z22" s="288" t="str">
        <f>IF(O22="RF",J22*S22*ROUND(N22/60,2),"--")</f>
        <v>--</v>
      </c>
      <c r="AA22" s="289" t="str">
        <f>IF(O22="RR",J22*S22*P22/100*ROUND(N22/60,2),"--")</f>
        <v>--</v>
      </c>
      <c r="AB22" s="290" t="s">
        <v>117</v>
      </c>
      <c r="AC22" s="16">
        <f>IF(F22="","",(SUM(T22:AA22)*IF(AB22="SI",1,2)*IF(AND(P22&lt;&gt;"--",O22="RF"),P22/100,1)))</f>
        <v>71200.8</v>
      </c>
      <c r="AD22" s="17"/>
    </row>
    <row r="23" spans="1:30" s="5" customFormat="1" ht="16.5" customHeight="1">
      <c r="A23" s="88"/>
      <c r="B23" s="93"/>
      <c r="C23" s="262"/>
      <c r="D23" s="262"/>
      <c r="E23" s="262"/>
      <c r="F23" s="145"/>
      <c r="G23" s="276"/>
      <c r="H23" s="277"/>
      <c r="I23" s="278"/>
      <c r="J23" s="279"/>
      <c r="K23" s="150"/>
      <c r="L23" s="150"/>
      <c r="M23" s="280"/>
      <c r="N23" s="14"/>
      <c r="O23" s="151"/>
      <c r="P23" s="452"/>
      <c r="Q23" s="8"/>
      <c r="R23" s="209"/>
      <c r="S23" s="281"/>
      <c r="T23" s="282"/>
      <c r="U23" s="283"/>
      <c r="V23" s="284"/>
      <c r="W23" s="285"/>
      <c r="X23" s="286"/>
      <c r="Y23" s="287"/>
      <c r="Z23" s="288"/>
      <c r="AA23" s="289"/>
      <c r="AB23" s="290"/>
      <c r="AC23" s="16"/>
      <c r="AD23" s="17"/>
    </row>
    <row r="24" spans="1:30" s="5" customFormat="1" ht="16.5" customHeight="1">
      <c r="A24" s="88"/>
      <c r="B24" s="93"/>
      <c r="C24" s="149"/>
      <c r="D24" s="149"/>
      <c r="E24" s="149"/>
      <c r="F24" s="145"/>
      <c r="G24" s="276"/>
      <c r="H24" s="277"/>
      <c r="I24" s="278"/>
      <c r="J24" s="279"/>
      <c r="K24" s="150"/>
      <c r="L24" s="150"/>
      <c r="M24" s="280"/>
      <c r="N24" s="14"/>
      <c r="O24" s="151"/>
      <c r="P24" s="452"/>
      <c r="Q24" s="8"/>
      <c r="R24" s="209"/>
      <c r="S24" s="281"/>
      <c r="T24" s="282"/>
      <c r="U24" s="283"/>
      <c r="V24" s="284"/>
      <c r="W24" s="285"/>
      <c r="X24" s="286"/>
      <c r="Y24" s="287"/>
      <c r="Z24" s="288"/>
      <c r="AA24" s="289"/>
      <c r="AB24" s="290"/>
      <c r="AC24" s="16"/>
      <c r="AD24" s="17"/>
    </row>
    <row r="25" spans="1:30" s="5" customFormat="1" ht="16.5" customHeight="1">
      <c r="A25" s="88"/>
      <c r="B25" s="93"/>
      <c r="C25" s="149"/>
      <c r="D25" s="262"/>
      <c r="E25" s="262"/>
      <c r="F25" s="145"/>
      <c r="G25" s="276"/>
      <c r="H25" s="277"/>
      <c r="I25" s="278"/>
      <c r="J25" s="279"/>
      <c r="K25" s="150"/>
      <c r="L25" s="150"/>
      <c r="M25" s="280"/>
      <c r="N25" s="14"/>
      <c r="O25" s="151"/>
      <c r="P25" s="452"/>
      <c r="Q25" s="8"/>
      <c r="R25" s="209"/>
      <c r="S25" s="281"/>
      <c r="T25" s="282"/>
      <c r="U25" s="283"/>
      <c r="V25" s="284"/>
      <c r="W25" s="285"/>
      <c r="X25" s="286"/>
      <c r="Y25" s="287"/>
      <c r="Z25" s="288"/>
      <c r="AA25" s="289"/>
      <c r="AB25" s="290"/>
      <c r="AC25" s="16"/>
      <c r="AD25" s="17"/>
    </row>
    <row r="26" spans="1:30" s="5" customFormat="1" ht="16.5" customHeight="1">
      <c r="A26" s="88"/>
      <c r="B26" s="93"/>
      <c r="C26" s="262"/>
      <c r="D26" s="149"/>
      <c r="E26" s="149"/>
      <c r="F26" s="145"/>
      <c r="G26" s="276"/>
      <c r="H26" s="277"/>
      <c r="I26" s="278"/>
      <c r="J26" s="279"/>
      <c r="K26" s="150"/>
      <c r="L26" s="150"/>
      <c r="M26" s="280"/>
      <c r="N26" s="14"/>
      <c r="O26" s="151"/>
      <c r="P26" s="452"/>
      <c r="Q26" s="8"/>
      <c r="R26" s="209"/>
      <c r="S26" s="281"/>
      <c r="T26" s="282"/>
      <c r="U26" s="283"/>
      <c r="V26" s="284"/>
      <c r="W26" s="285"/>
      <c r="X26" s="286"/>
      <c r="Y26" s="287"/>
      <c r="Z26" s="288"/>
      <c r="AA26" s="289"/>
      <c r="AB26" s="290"/>
      <c r="AC26" s="16"/>
      <c r="AD26" s="17"/>
    </row>
    <row r="27" spans="1:30" s="5" customFormat="1" ht="16.5" customHeight="1">
      <c r="A27" s="88"/>
      <c r="B27" s="93"/>
      <c r="C27" s="149"/>
      <c r="D27" s="262"/>
      <c r="E27" s="262"/>
      <c r="F27" s="145"/>
      <c r="G27" s="276"/>
      <c r="H27" s="277"/>
      <c r="I27" s="278"/>
      <c r="J27" s="279"/>
      <c r="K27" s="150"/>
      <c r="L27" s="150"/>
      <c r="M27" s="280"/>
      <c r="N27" s="14"/>
      <c r="O27" s="151"/>
      <c r="P27" s="452"/>
      <c r="Q27" s="8"/>
      <c r="R27" s="209"/>
      <c r="S27" s="281"/>
      <c r="T27" s="282"/>
      <c r="U27" s="283"/>
      <c r="V27" s="284"/>
      <c r="W27" s="285"/>
      <c r="X27" s="286"/>
      <c r="Y27" s="287"/>
      <c r="Z27" s="288"/>
      <c r="AA27" s="289"/>
      <c r="AB27" s="290"/>
      <c r="AC27" s="16"/>
      <c r="AD27" s="17"/>
    </row>
    <row r="28" spans="1:31" s="5" customFormat="1" ht="16.5" customHeight="1">
      <c r="A28" s="88"/>
      <c r="B28" s="93"/>
      <c r="C28" s="149"/>
      <c r="D28" s="149"/>
      <c r="E28" s="149"/>
      <c r="F28" s="145"/>
      <c r="G28" s="276"/>
      <c r="H28" s="277"/>
      <c r="I28" s="278"/>
      <c r="J28" s="279"/>
      <c r="K28" s="150"/>
      <c r="L28" s="150"/>
      <c r="M28" s="280"/>
      <c r="N28" s="14"/>
      <c r="O28" s="151"/>
      <c r="P28" s="452"/>
      <c r="Q28" s="8"/>
      <c r="R28" s="209"/>
      <c r="S28" s="281"/>
      <c r="T28" s="282"/>
      <c r="U28" s="283"/>
      <c r="V28" s="284"/>
      <c r="W28" s="285"/>
      <c r="X28" s="286"/>
      <c r="Y28" s="287"/>
      <c r="Z28" s="288"/>
      <c r="AA28" s="289"/>
      <c r="AB28" s="290"/>
      <c r="AC28" s="16"/>
      <c r="AD28" s="17"/>
      <c r="AE28" s="15"/>
    </row>
    <row r="29" spans="1:30" s="5" customFormat="1" ht="16.5" customHeight="1">
      <c r="A29" s="88"/>
      <c r="B29" s="93"/>
      <c r="C29" s="262"/>
      <c r="D29" s="262"/>
      <c r="E29" s="262"/>
      <c r="F29" s="145"/>
      <c r="G29" s="276"/>
      <c r="H29" s="277"/>
      <c r="I29" s="278"/>
      <c r="J29" s="279"/>
      <c r="K29" s="150"/>
      <c r="L29" s="150"/>
      <c r="M29" s="280"/>
      <c r="N29" s="14"/>
      <c r="O29" s="151"/>
      <c r="P29" s="452"/>
      <c r="Q29" s="8"/>
      <c r="R29" s="209"/>
      <c r="S29" s="281"/>
      <c r="T29" s="282"/>
      <c r="U29" s="283"/>
      <c r="V29" s="284"/>
      <c r="W29" s="285"/>
      <c r="X29" s="286"/>
      <c r="Y29" s="287"/>
      <c r="Z29" s="288"/>
      <c r="AA29" s="289"/>
      <c r="AB29" s="290"/>
      <c r="AC29" s="16"/>
      <c r="AD29" s="17"/>
    </row>
    <row r="30" spans="1:30" s="5" customFormat="1" ht="16.5" customHeight="1">
      <c r="A30" s="88"/>
      <c r="B30" s="93"/>
      <c r="C30" s="149"/>
      <c r="D30" s="149"/>
      <c r="E30" s="149"/>
      <c r="F30" s="145"/>
      <c r="G30" s="276"/>
      <c r="H30" s="277"/>
      <c r="I30" s="278"/>
      <c r="J30" s="279"/>
      <c r="K30" s="150"/>
      <c r="L30" s="150"/>
      <c r="M30" s="280"/>
      <c r="N30" s="14"/>
      <c r="O30" s="151"/>
      <c r="P30" s="452"/>
      <c r="Q30" s="8"/>
      <c r="R30" s="209"/>
      <c r="S30" s="281"/>
      <c r="T30" s="282"/>
      <c r="U30" s="283"/>
      <c r="V30" s="284"/>
      <c r="W30" s="285"/>
      <c r="X30" s="286"/>
      <c r="Y30" s="287"/>
      <c r="Z30" s="288"/>
      <c r="AA30" s="289"/>
      <c r="AB30" s="290"/>
      <c r="AC30" s="16"/>
      <c r="AD30" s="17"/>
    </row>
    <row r="31" spans="1:30" s="5" customFormat="1" ht="16.5" customHeight="1">
      <c r="A31" s="88"/>
      <c r="B31" s="93"/>
      <c r="C31" s="149"/>
      <c r="D31" s="262"/>
      <c r="E31" s="262"/>
      <c r="F31" s="145"/>
      <c r="G31" s="276"/>
      <c r="H31" s="277"/>
      <c r="I31" s="278"/>
      <c r="J31" s="279"/>
      <c r="K31" s="150"/>
      <c r="L31" s="150"/>
      <c r="M31" s="280"/>
      <c r="N31" s="14"/>
      <c r="O31" s="151"/>
      <c r="P31" s="452"/>
      <c r="Q31" s="8"/>
      <c r="R31" s="209"/>
      <c r="S31" s="281"/>
      <c r="T31" s="282"/>
      <c r="U31" s="283"/>
      <c r="V31" s="284"/>
      <c r="W31" s="285"/>
      <c r="X31" s="286"/>
      <c r="Y31" s="287"/>
      <c r="Z31" s="288"/>
      <c r="AA31" s="289"/>
      <c r="AB31" s="290"/>
      <c r="AC31" s="16"/>
      <c r="AD31" s="17"/>
    </row>
    <row r="32" spans="1:30" s="5" customFormat="1" ht="16.5" customHeight="1">
      <c r="A32" s="88"/>
      <c r="B32" s="93"/>
      <c r="C32" s="262"/>
      <c r="D32" s="149"/>
      <c r="E32" s="149"/>
      <c r="F32" s="145"/>
      <c r="G32" s="292"/>
      <c r="H32" s="277"/>
      <c r="I32" s="278"/>
      <c r="J32" s="279"/>
      <c r="K32" s="150"/>
      <c r="L32" s="150"/>
      <c r="M32" s="280"/>
      <c r="N32" s="14"/>
      <c r="O32" s="151"/>
      <c r="P32" s="452"/>
      <c r="Q32" s="8"/>
      <c r="R32" s="209"/>
      <c r="S32" s="281"/>
      <c r="T32" s="282"/>
      <c r="U32" s="283"/>
      <c r="V32" s="284"/>
      <c r="W32" s="285"/>
      <c r="X32" s="286"/>
      <c r="Y32" s="287"/>
      <c r="Z32" s="288"/>
      <c r="AA32" s="289"/>
      <c r="AB32" s="290"/>
      <c r="AC32" s="16"/>
      <c r="AD32" s="17"/>
    </row>
    <row r="33" spans="1:30" s="5" customFormat="1" ht="16.5" customHeight="1">
      <c r="A33" s="88"/>
      <c r="B33" s="93"/>
      <c r="C33" s="149"/>
      <c r="D33" s="262"/>
      <c r="E33" s="262"/>
      <c r="F33" s="145"/>
      <c r="G33" s="292"/>
      <c r="H33" s="277"/>
      <c r="I33" s="278"/>
      <c r="J33" s="279"/>
      <c r="K33" s="150"/>
      <c r="L33" s="150"/>
      <c r="M33" s="280"/>
      <c r="N33" s="14"/>
      <c r="O33" s="151"/>
      <c r="P33" s="452"/>
      <c r="Q33" s="209"/>
      <c r="R33" s="209"/>
      <c r="S33" s="281"/>
      <c r="T33" s="282"/>
      <c r="U33" s="283"/>
      <c r="V33" s="284"/>
      <c r="W33" s="285"/>
      <c r="X33" s="286"/>
      <c r="Y33" s="287"/>
      <c r="Z33" s="288"/>
      <c r="AA33" s="289"/>
      <c r="AB33" s="290"/>
      <c r="AC33" s="16"/>
      <c r="AD33" s="17"/>
    </row>
    <row r="34" spans="1:30" s="5" customFormat="1" ht="16.5" customHeight="1">
      <c r="A34" s="88"/>
      <c r="B34" s="93"/>
      <c r="C34" s="149"/>
      <c r="D34" s="149"/>
      <c r="E34" s="149"/>
      <c r="F34" s="145"/>
      <c r="G34" s="292"/>
      <c r="H34" s="277"/>
      <c r="I34" s="278"/>
      <c r="J34" s="279"/>
      <c r="K34" s="150"/>
      <c r="L34" s="150"/>
      <c r="M34" s="280"/>
      <c r="N34" s="14"/>
      <c r="O34" s="151"/>
      <c r="P34" s="452"/>
      <c r="Q34" s="8"/>
      <c r="R34" s="209"/>
      <c r="S34" s="281"/>
      <c r="T34" s="282"/>
      <c r="U34" s="283"/>
      <c r="V34" s="284"/>
      <c r="W34" s="285"/>
      <c r="X34" s="286"/>
      <c r="Y34" s="287"/>
      <c r="Z34" s="288"/>
      <c r="AA34" s="289"/>
      <c r="AB34" s="290"/>
      <c r="AC34" s="16"/>
      <c r="AD34" s="17"/>
    </row>
    <row r="35" spans="1:30" s="5" customFormat="1" ht="16.5" customHeight="1">
      <c r="A35" s="88"/>
      <c r="B35" s="93"/>
      <c r="C35" s="262"/>
      <c r="D35" s="262"/>
      <c r="E35" s="262"/>
      <c r="F35" s="145"/>
      <c r="G35" s="292"/>
      <c r="H35" s="277"/>
      <c r="I35" s="278"/>
      <c r="J35" s="279"/>
      <c r="K35" s="150"/>
      <c r="L35" s="150"/>
      <c r="M35" s="280"/>
      <c r="N35" s="14"/>
      <c r="O35" s="151"/>
      <c r="P35" s="452"/>
      <c r="Q35" s="8"/>
      <c r="R35" s="209"/>
      <c r="S35" s="281"/>
      <c r="T35" s="282"/>
      <c r="U35" s="283"/>
      <c r="V35" s="284"/>
      <c r="W35" s="285"/>
      <c r="X35" s="286"/>
      <c r="Y35" s="287"/>
      <c r="Z35" s="288"/>
      <c r="AA35" s="289"/>
      <c r="AB35" s="290"/>
      <c r="AC35" s="16"/>
      <c r="AD35" s="17"/>
    </row>
    <row r="36" spans="1:30" s="5" customFormat="1" ht="16.5" customHeight="1">
      <c r="A36" s="88"/>
      <c r="B36" s="93"/>
      <c r="C36" s="149"/>
      <c r="D36" s="149"/>
      <c r="E36" s="149"/>
      <c r="F36" s="145"/>
      <c r="G36" s="292"/>
      <c r="H36" s="277"/>
      <c r="I36" s="278"/>
      <c r="J36" s="279"/>
      <c r="K36" s="150"/>
      <c r="L36" s="150"/>
      <c r="M36" s="280"/>
      <c r="N36" s="14"/>
      <c r="O36" s="151"/>
      <c r="P36" s="452"/>
      <c r="Q36" s="8"/>
      <c r="R36" s="209"/>
      <c r="S36" s="281"/>
      <c r="T36" s="282"/>
      <c r="U36" s="283"/>
      <c r="V36" s="284"/>
      <c r="W36" s="285"/>
      <c r="X36" s="286"/>
      <c r="Y36" s="287"/>
      <c r="Z36" s="288"/>
      <c r="AA36" s="289"/>
      <c r="AB36" s="290"/>
      <c r="AC36" s="16"/>
      <c r="AD36" s="17"/>
    </row>
    <row r="37" spans="1:30" s="5" customFormat="1" ht="16.5" customHeight="1">
      <c r="A37" s="88"/>
      <c r="B37" s="93"/>
      <c r="C37" s="149"/>
      <c r="D37" s="262"/>
      <c r="E37" s="262"/>
      <c r="F37" s="145"/>
      <c r="G37" s="292"/>
      <c r="H37" s="277"/>
      <c r="I37" s="278"/>
      <c r="J37" s="279"/>
      <c r="K37" s="150"/>
      <c r="L37" s="150"/>
      <c r="M37" s="280"/>
      <c r="N37" s="14"/>
      <c r="O37" s="151"/>
      <c r="P37" s="452"/>
      <c r="Q37" s="8"/>
      <c r="R37" s="209"/>
      <c r="S37" s="281"/>
      <c r="T37" s="282"/>
      <c r="U37" s="283"/>
      <c r="V37" s="284"/>
      <c r="W37" s="285"/>
      <c r="X37" s="286"/>
      <c r="Y37" s="287"/>
      <c r="Z37" s="288"/>
      <c r="AA37" s="289"/>
      <c r="AB37" s="290"/>
      <c r="AC37" s="16"/>
      <c r="AD37" s="17"/>
    </row>
    <row r="38" spans="1:30" s="5" customFormat="1" ht="16.5" customHeight="1">
      <c r="A38" s="88"/>
      <c r="B38" s="93"/>
      <c r="C38" s="149"/>
      <c r="D38" s="149"/>
      <c r="E38" s="149"/>
      <c r="F38" s="145"/>
      <c r="G38" s="292"/>
      <c r="H38" s="277"/>
      <c r="I38" s="278"/>
      <c r="J38" s="279">
        <f>H38*$H$16</f>
        <v>0</v>
      </c>
      <c r="K38" s="150"/>
      <c r="L38" s="150"/>
      <c r="M38" s="280">
        <f>IF(F38="","",(L38-K38)*24)</f>
      </c>
      <c r="N38" s="14">
        <f>IF(F38="","",ROUND((L38-K38)*24*60,0))</f>
      </c>
      <c r="O38" s="151"/>
      <c r="P38" s="452">
        <f>IF(F38="","","--")</f>
      </c>
      <c r="Q38" s="8">
        <f>IF(F38="","",IF(OR(O38="P",O38="RP"),"--","NO"))</f>
      </c>
      <c r="R38" s="209">
        <f>IF(F38="","","NO")</f>
      </c>
      <c r="S38" s="281">
        <f>$H$17*IF(OR(O38="P",O38="RP"),0.1,1)*IF(R38="SI",1,0.1)</f>
        <v>20</v>
      </c>
      <c r="T38" s="282" t="str">
        <f>IF(O38="P",J38*S38*ROUND(N38/60,2),"--")</f>
        <v>--</v>
      </c>
      <c r="U38" s="283" t="str">
        <f>IF(O38="RP",J38*S38*P38/100*ROUND(N38/60,2),"--")</f>
        <v>--</v>
      </c>
      <c r="V38" s="284" t="str">
        <f>IF(AND(O38="F",Q38="NO"),J38*S38,"--")</f>
        <v>--</v>
      </c>
      <c r="W38" s="285" t="str">
        <f>IF(O38="F",J38*S38*ROUND(N38/60,2),"--")</f>
        <v>--</v>
      </c>
      <c r="X38" s="286" t="str">
        <f>IF(AND(O38="R",Q38="NO"),J38*S38*P38/100,"--")</f>
        <v>--</v>
      </c>
      <c r="Y38" s="287" t="str">
        <f>IF(O38="R",J38*S38*P38/100*ROUND(N38/60,2),"--")</f>
        <v>--</v>
      </c>
      <c r="Z38" s="288" t="str">
        <f>IF(O38="RF",J38*S38*ROUND(N38/60,2),"--")</f>
        <v>--</v>
      </c>
      <c r="AA38" s="289" t="str">
        <f>IF(O38="RR",J38*S38*P38/100*ROUND(N38/60,2),"--")</f>
        <v>--</v>
      </c>
      <c r="AB38" s="290">
        <f>IF(F38="","","SI")</f>
      </c>
      <c r="AC38" s="16">
        <f>IF(F38="","",(SUM(T38:AA38)*IF(AB38="SI",1,2)*IF(AND(P38&lt;&gt;"--",O38="RF"),P38/100,1)))</f>
      </c>
      <c r="AD38" s="17"/>
    </row>
    <row r="39" spans="1:30" s="5" customFormat="1" ht="16.5" customHeight="1">
      <c r="A39" s="88"/>
      <c r="B39" s="93"/>
      <c r="C39" s="262"/>
      <c r="D39" s="262"/>
      <c r="E39" s="262"/>
      <c r="F39" s="145"/>
      <c r="G39" s="292"/>
      <c r="H39" s="277"/>
      <c r="I39" s="278"/>
      <c r="J39" s="279">
        <f>H39*$H$16</f>
        <v>0</v>
      </c>
      <c r="K39" s="150"/>
      <c r="L39" s="150"/>
      <c r="M39" s="280">
        <f>IF(F39="","",(L39-K39)*24)</f>
      </c>
      <c r="N39" s="14">
        <f>IF(F39="","",ROUND((L39-K39)*24*60,0))</f>
      </c>
      <c r="O39" s="151"/>
      <c r="P39" s="452">
        <f>IF(F39="","","--")</f>
      </c>
      <c r="Q39" s="8">
        <f>IF(F39="","",IF(OR(O39="P",O39="RP"),"--","NO"))</f>
      </c>
      <c r="R39" s="209">
        <f>IF(F39="","","NO")</f>
      </c>
      <c r="S39" s="281">
        <f>$H$17*IF(OR(O39="P",O39="RP"),0.1,1)*IF(R39="SI",1,0.1)</f>
        <v>20</v>
      </c>
      <c r="T39" s="282" t="str">
        <f>IF(O39="P",J39*S39*ROUND(N39/60,2),"--")</f>
        <v>--</v>
      </c>
      <c r="U39" s="283" t="str">
        <f>IF(O39="RP",J39*S39*P39/100*ROUND(N39/60,2),"--")</f>
        <v>--</v>
      </c>
      <c r="V39" s="284" t="str">
        <f>IF(AND(O39="F",Q39="NO"),J39*S39,"--")</f>
        <v>--</v>
      </c>
      <c r="W39" s="285" t="str">
        <f>IF(O39="F",J39*S39*ROUND(N39/60,2),"--")</f>
        <v>--</v>
      </c>
      <c r="X39" s="286" t="str">
        <f>IF(AND(O39="R",Q39="NO"),J39*S39*P39/100,"--")</f>
        <v>--</v>
      </c>
      <c r="Y39" s="287" t="str">
        <f>IF(O39="R",J39*S39*P39/100*ROUND(N39/60,2),"--")</f>
        <v>--</v>
      </c>
      <c r="Z39" s="288" t="str">
        <f>IF(O39="RF",J39*S39*ROUND(N39/60,2),"--")</f>
        <v>--</v>
      </c>
      <c r="AA39" s="289" t="str">
        <f>IF(O39="RR",J39*S39*P39/100*ROUND(N39/60,2),"--")</f>
        <v>--</v>
      </c>
      <c r="AB39" s="290">
        <f>IF(F39="","","SI")</f>
      </c>
      <c r="AC39" s="16">
        <f>IF(F39="","",(SUM(T39:AA39)*IF(AB39="SI",1,2)*IF(AND(P39&lt;&gt;"--",O39="RF"),P39/100,1)))</f>
      </c>
      <c r="AD39" s="17"/>
    </row>
    <row r="40" spans="1:30" s="5" customFormat="1" ht="16.5" customHeight="1">
      <c r="A40" s="88"/>
      <c r="B40" s="93"/>
      <c r="C40" s="149"/>
      <c r="D40" s="149"/>
      <c r="E40" s="149"/>
      <c r="F40" s="145"/>
      <c r="G40" s="292"/>
      <c r="H40" s="277"/>
      <c r="I40" s="278"/>
      <c r="J40" s="279">
        <f>H40*$H$16</f>
        <v>0</v>
      </c>
      <c r="K40" s="150"/>
      <c r="L40" s="150"/>
      <c r="M40" s="280">
        <f>IF(F40="","",(L40-K40)*24)</f>
      </c>
      <c r="N40" s="14">
        <f>IF(F40="","",ROUND((L40-K40)*24*60,0))</f>
      </c>
      <c r="O40" s="151"/>
      <c r="P40" s="452">
        <f>IF(F40="","","--")</f>
      </c>
      <c r="Q40" s="8">
        <f>IF(F40="","",IF(OR(O40="P",O40="RP"),"--","NO"))</f>
      </c>
      <c r="R40" s="209">
        <f>IF(F40="","","NO")</f>
      </c>
      <c r="S40" s="281">
        <f>$H$17*IF(OR(O40="P",O40="RP"),0.1,1)*IF(R40="SI",1,0.1)</f>
        <v>20</v>
      </c>
      <c r="T40" s="282" t="str">
        <f>IF(O40="P",J40*S40*ROUND(N40/60,2),"--")</f>
        <v>--</v>
      </c>
      <c r="U40" s="283" t="str">
        <f>IF(O40="RP",J40*S40*P40/100*ROUND(N40/60,2),"--")</f>
        <v>--</v>
      </c>
      <c r="V40" s="284" t="str">
        <f>IF(AND(O40="F",Q40="NO"),J40*S40,"--")</f>
        <v>--</v>
      </c>
      <c r="W40" s="285" t="str">
        <f>IF(O40="F",J40*S40*ROUND(N40/60,2),"--")</f>
        <v>--</v>
      </c>
      <c r="X40" s="286" t="str">
        <f>IF(AND(O40="R",Q40="NO"),J40*S40*P40/100,"--")</f>
        <v>--</v>
      </c>
      <c r="Y40" s="287" t="str">
        <f>IF(O40="R",J40*S40*P40/100*ROUND(N40/60,2),"--")</f>
        <v>--</v>
      </c>
      <c r="Z40" s="288" t="str">
        <f>IF(O40="RF",J40*S40*ROUND(N40/60,2),"--")</f>
        <v>--</v>
      </c>
      <c r="AA40" s="289" t="str">
        <f>IF(O40="RR",J40*S40*P40/100*ROUND(N40/60,2),"--")</f>
        <v>--</v>
      </c>
      <c r="AB40" s="290">
        <f>IF(F40="","","SI")</f>
      </c>
      <c r="AC40" s="16">
        <f>IF(F40="","",(SUM(T40:AA40)*IF(AB40="SI",1,2)*IF(AND(P40&lt;&gt;"--",O40="RF"),P40/100,1)))</f>
      </c>
      <c r="AD40" s="17"/>
    </row>
    <row r="41" spans="1:30" s="5" customFormat="1" ht="16.5" customHeight="1">
      <c r="A41" s="88"/>
      <c r="B41" s="93"/>
      <c r="C41" s="262"/>
      <c r="D41" s="262"/>
      <c r="E41" s="262"/>
      <c r="F41" s="145"/>
      <c r="G41" s="292"/>
      <c r="H41" s="277"/>
      <c r="I41" s="278"/>
      <c r="J41" s="279">
        <f>H41*$H$16</f>
        <v>0</v>
      </c>
      <c r="K41" s="150"/>
      <c r="L41" s="150"/>
      <c r="M41" s="280">
        <f>IF(F41="","",(L41-K41)*24)</f>
      </c>
      <c r="N41" s="14">
        <f>IF(F41="","",ROUND((L41-K41)*24*60,0))</f>
      </c>
      <c r="O41" s="151"/>
      <c r="P41" s="452">
        <f>IF(F41="","","--")</f>
      </c>
      <c r="Q41" s="8">
        <f>IF(F41="","",IF(OR(O41="P",O41="RP"),"--","NO"))</f>
      </c>
      <c r="R41" s="209">
        <f>IF(F41="","","NO")</f>
      </c>
      <c r="S41" s="281">
        <f>$H$17*IF(OR(O41="P",O41="RP"),0.1,1)*IF(R41="SI",1,0.1)</f>
        <v>20</v>
      </c>
      <c r="T41" s="282" t="str">
        <f>IF(O41="P",J41*S41*ROUND(N41/60,2),"--")</f>
        <v>--</v>
      </c>
      <c r="U41" s="283" t="str">
        <f>IF(O41="RP",J41*S41*P41/100*ROUND(N41/60,2),"--")</f>
        <v>--</v>
      </c>
      <c r="V41" s="284" t="str">
        <f>IF(AND(O41="F",Q41="NO"),J41*S41,"--")</f>
        <v>--</v>
      </c>
      <c r="W41" s="285" t="str">
        <f>IF(O41="F",J41*S41*ROUND(N41/60,2),"--")</f>
        <v>--</v>
      </c>
      <c r="X41" s="286" t="str">
        <f>IF(AND(O41="R",Q41="NO"),J41*S41*P41/100,"--")</f>
        <v>--</v>
      </c>
      <c r="Y41" s="287" t="str">
        <f>IF(O41="R",J41*S41*P41/100*ROUND(N41/60,2),"--")</f>
        <v>--</v>
      </c>
      <c r="Z41" s="288" t="str">
        <f>IF(O41="RF",J41*S41*ROUND(N41/60,2),"--")</f>
        <v>--</v>
      </c>
      <c r="AA41" s="289" t="str">
        <f>IF(O41="RR",J41*S41*P41/100*ROUND(N41/60,2),"--")</f>
        <v>--</v>
      </c>
      <c r="AB41" s="290">
        <f>IF(F41="","","SI")</f>
      </c>
      <c r="AC41" s="16">
        <f>IF(F41="","",(SUM(T41:AA41)*IF(AB41="SI",1,2)*IF(AND(P41&lt;&gt;"--",O41="RF"),P41/100,1)))</f>
      </c>
      <c r="AD41" s="17"/>
    </row>
    <row r="42" spans="1:30" s="5" customFormat="1" ht="16.5" customHeight="1" thickBot="1">
      <c r="A42" s="88"/>
      <c r="B42" s="93"/>
      <c r="C42" s="149"/>
      <c r="D42" s="149"/>
      <c r="E42" s="149"/>
      <c r="F42" s="293"/>
      <c r="G42" s="294"/>
      <c r="H42" s="293"/>
      <c r="I42" s="295"/>
      <c r="J42" s="129"/>
      <c r="K42" s="152"/>
      <c r="L42" s="296"/>
      <c r="M42" s="297"/>
      <c r="N42" s="298"/>
      <c r="O42" s="155"/>
      <c r="P42" s="182"/>
      <c r="Q42" s="153"/>
      <c r="R42" s="155"/>
      <c r="S42" s="299"/>
      <c r="T42" s="300"/>
      <c r="U42" s="301"/>
      <c r="V42" s="302"/>
      <c r="W42" s="303"/>
      <c r="X42" s="304"/>
      <c r="Y42" s="305"/>
      <c r="Z42" s="306"/>
      <c r="AA42" s="307"/>
      <c r="AB42" s="308"/>
      <c r="AC42" s="309"/>
      <c r="AD42" s="17"/>
    </row>
    <row r="43" spans="1:30" s="5" customFormat="1" ht="16.5" customHeight="1" thickBot="1" thickTop="1">
      <c r="A43" s="88"/>
      <c r="B43" s="93"/>
      <c r="C43" s="125" t="s">
        <v>23</v>
      </c>
      <c r="D43" s="725" t="s">
        <v>216</v>
      </c>
      <c r="E43" s="125"/>
      <c r="F43" s="126"/>
      <c r="G43" s="15"/>
      <c r="H43" s="15"/>
      <c r="I43" s="15"/>
      <c r="J43" s="15"/>
      <c r="K43" s="15"/>
      <c r="L43" s="97"/>
      <c r="M43" s="15"/>
      <c r="N43" s="15"/>
      <c r="O43" s="15"/>
      <c r="P43" s="15"/>
      <c r="Q43" s="15"/>
      <c r="R43" s="15"/>
      <c r="S43" s="15"/>
      <c r="T43" s="310">
        <f aca="true" t="shared" si="0" ref="T43:AA43">SUM(T20:T42)</f>
        <v>71200.8</v>
      </c>
      <c r="U43" s="311">
        <f t="shared" si="0"/>
        <v>0</v>
      </c>
      <c r="V43" s="312">
        <f t="shared" si="0"/>
        <v>0</v>
      </c>
      <c r="W43" s="313">
        <f t="shared" si="0"/>
        <v>0</v>
      </c>
      <c r="X43" s="314">
        <f t="shared" si="0"/>
        <v>0</v>
      </c>
      <c r="Y43" s="315">
        <f t="shared" si="0"/>
        <v>0</v>
      </c>
      <c r="Z43" s="316">
        <f t="shared" si="0"/>
        <v>0</v>
      </c>
      <c r="AA43" s="317">
        <f t="shared" si="0"/>
        <v>0</v>
      </c>
      <c r="AB43" s="88"/>
      <c r="AC43" s="318">
        <f>ROUND(SUM(AC20:AC42),2)</f>
        <v>71200.8</v>
      </c>
      <c r="AD43" s="17"/>
    </row>
    <row r="44" spans="1:30" s="5" customFormat="1" ht="16.5" customHeight="1" thickBot="1" thickTop="1">
      <c r="A44" s="88"/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1"/>
    </row>
    <row r="45" spans="1:31" ht="16.5" customHeight="1" thickTop="1">
      <c r="A45" s="2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</row>
    <row r="46" spans="1:31" ht="16.5" customHeight="1">
      <c r="A46" s="2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</row>
    <row r="47" spans="1:31" ht="16.5" customHeight="1">
      <c r="A47" s="2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</row>
    <row r="48" spans="1:31" ht="16.5" customHeight="1">
      <c r="A48" s="2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</row>
    <row r="49" spans="6:31" ht="16.5" customHeight="1"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</row>
    <row r="50" spans="6:31" ht="16.5" customHeight="1"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</row>
    <row r="51" spans="6:31" ht="16.5" customHeight="1"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</row>
    <row r="52" spans="6:31" ht="16.5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</row>
    <row r="53" spans="6:31" ht="16.5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</row>
    <row r="54" spans="6:31" ht="16.5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</row>
    <row r="55" spans="6:31" ht="16.5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</row>
    <row r="56" spans="6:31" ht="16.5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</row>
    <row r="57" spans="6:31" ht="16.5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</row>
    <row r="58" spans="6:31" ht="16.5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</row>
    <row r="59" spans="6:31" ht="16.5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</row>
    <row r="60" spans="6:31" ht="16.5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</row>
    <row r="61" spans="6:31" ht="16.5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</row>
    <row r="62" spans="6:31" ht="16.5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</row>
    <row r="63" spans="6:31" ht="16.5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</row>
    <row r="64" spans="6:31" ht="16.5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</row>
    <row r="65" spans="6:31" ht="16.5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</row>
    <row r="66" spans="6:31" ht="16.5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</row>
    <row r="67" spans="6:31" ht="16.5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</row>
    <row r="68" spans="6:31" ht="16.5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</row>
    <row r="69" spans="6:31" ht="16.5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</row>
    <row r="70" spans="6:31" ht="16.5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</row>
    <row r="71" spans="6:31" ht="16.5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</row>
    <row r="72" spans="6:31" ht="16.5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</row>
    <row r="73" spans="6:31" ht="16.5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</row>
    <row r="74" spans="6:31" ht="16.5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</row>
    <row r="75" spans="6:31" ht="16.5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</row>
    <row r="76" spans="6:31" ht="16.5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</row>
    <row r="77" spans="6:31" ht="16.5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</row>
    <row r="78" spans="6:31" ht="16.5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</row>
    <row r="79" spans="6:31" ht="16.5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</row>
    <row r="80" spans="6:31" ht="16.5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</row>
    <row r="81" spans="6:31" ht="16.5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</row>
    <row r="82" spans="6:31" ht="16.5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</row>
    <row r="83" spans="6:31" ht="16.5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</row>
    <row r="84" spans="6:31" ht="16.5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</row>
    <row r="85" spans="6:31" ht="16.5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</row>
    <row r="86" spans="6:31" ht="16.5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</row>
    <row r="87" spans="6:31" ht="16.5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</row>
    <row r="88" spans="6:31" ht="16.5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</row>
    <row r="89" spans="6:31" ht="16.5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</row>
    <row r="90" spans="6:31" ht="16.5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</row>
    <row r="91" spans="6:31" ht="16.5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</row>
    <row r="92" spans="6:31" ht="16.5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6:31" ht="16.5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</row>
    <row r="94" spans="6:31" ht="16.5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</row>
    <row r="95" spans="6:31" ht="16.5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</row>
    <row r="96" spans="6:31" ht="16.5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</row>
    <row r="97" spans="6:31" ht="16.5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</row>
    <row r="98" spans="6:31" ht="16.5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</row>
    <row r="99" spans="6:31" ht="16.5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</row>
    <row r="100" spans="6:31" ht="16.5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</row>
    <row r="101" spans="6:31" ht="16.5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</row>
    <row r="102" spans="6:31" ht="16.5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</row>
    <row r="103" spans="6:31" ht="16.5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</row>
    <row r="104" spans="6:31" ht="16.5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</row>
    <row r="105" spans="6:31" ht="16.5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</row>
    <row r="106" spans="6:31" ht="16.5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</row>
    <row r="107" spans="6:31" ht="16.5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</row>
    <row r="108" spans="6:31" ht="16.5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</row>
    <row r="109" spans="6:31" ht="16.5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</row>
    <row r="110" spans="6:31" ht="16.5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</row>
    <row r="111" spans="6:31" ht="16.5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</row>
    <row r="112" spans="6:31" ht="16.5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</row>
    <row r="113" spans="6:31" ht="16.5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</row>
    <row r="114" spans="6:31" ht="16.5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</row>
    <row r="115" spans="6:31" ht="16.5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</row>
    <row r="116" spans="6:31" ht="16.5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</row>
    <row r="117" spans="6:31" ht="16.5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</row>
    <row r="118" spans="6:31" ht="16.5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</row>
    <row r="119" spans="6:31" ht="16.5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6:31" ht="16.5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</row>
    <row r="121" spans="6:31" ht="16.5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</row>
    <row r="122" spans="6:31" ht="16.5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</row>
    <row r="123" spans="6:31" ht="16.5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</row>
    <row r="124" spans="6:31" ht="16.5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</row>
    <row r="125" spans="6:31" ht="16.5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</row>
    <row r="126" spans="6:31" ht="16.5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</row>
    <row r="127" spans="6:31" ht="16.5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pans="6:31" ht="16.5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pans="6:31" ht="16.5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</row>
    <row r="130" spans="6:31" ht="16.5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pans="6:31" ht="16.5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</row>
    <row r="132" spans="6:31" ht="16.5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</row>
    <row r="133" spans="6:31" ht="16.5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</row>
    <row r="134" spans="6:31" ht="16.5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pans="6:31" ht="16.5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</row>
    <row r="136" spans="6:31" ht="16.5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</row>
    <row r="137" spans="6:31" ht="16.5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</row>
    <row r="138" spans="6:31" ht="16.5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</row>
    <row r="139" spans="6:31" ht="16.5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</row>
    <row r="140" spans="6:31" ht="16.5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</row>
    <row r="141" spans="6:31" ht="16.5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</row>
    <row r="142" spans="6:31" ht="16.5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</row>
    <row r="143" spans="6:31" ht="16.5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</row>
    <row r="144" spans="6:31" ht="16.5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</row>
    <row r="145" spans="6:31" ht="16.5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</row>
    <row r="146" spans="6:31" ht="16.5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</row>
    <row r="147" spans="6:31" ht="16.5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</row>
    <row r="148" spans="6:31" ht="16.5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</row>
    <row r="149" spans="6:31" ht="16.5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</row>
    <row r="150" spans="6:31" ht="16.5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</row>
    <row r="151" spans="6:31" ht="16.5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</row>
    <row r="152" spans="6:31" ht="16.5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</row>
    <row r="153" ht="16.5" customHeight="1">
      <c r="AE153" s="168"/>
    </row>
    <row r="154" ht="16.5" customHeight="1">
      <c r="AE154" s="168"/>
    </row>
    <row r="155" ht="16.5" customHeight="1">
      <c r="AE155" s="168"/>
    </row>
    <row r="156" ht="16.5" customHeight="1">
      <c r="AE156" s="168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Roman,Normal"&amp;5&amp;F  - TRANSPORTE de ENERGÍA ELÉCTRICA - PJL - JI -JM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62"/>
  <sheetViews>
    <sheetView zoomScale="70" zoomScaleNormal="70" workbookViewId="0" topLeftCell="F1">
      <selection activeCell="X45" sqref="X45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1"/>
    </row>
    <row r="2" spans="1:23" s="18" customFormat="1" ht="26.25">
      <c r="A2" s="89"/>
      <c r="B2" s="19" t="str">
        <f>+'TOT-0709'!B2</f>
        <v>ANEXO II al Memorándum D.T.E.E. N°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54</v>
      </c>
      <c r="N8" s="103"/>
      <c r="O8" s="103"/>
      <c r="P8" s="94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1" t="s">
        <v>118</v>
      </c>
      <c r="G10" s="320"/>
      <c r="H10" s="103"/>
      <c r="I10" s="106"/>
      <c r="K10" s="106"/>
      <c r="L10" s="106"/>
      <c r="M10" s="106"/>
      <c r="N10" s="106"/>
      <c r="O10" s="106"/>
      <c r="P10" s="106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21"/>
      <c r="G11" s="321"/>
      <c r="H11" s="88"/>
      <c r="I11" s="95"/>
      <c r="J11" s="52"/>
      <c r="K11" s="95"/>
      <c r="L11" s="95"/>
      <c r="M11" s="95"/>
      <c r="N11" s="95"/>
      <c r="O11" s="95"/>
      <c r="P11" s="95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1" t="s">
        <v>63</v>
      </c>
      <c r="G12" s="320"/>
      <c r="H12" s="103"/>
      <c r="I12" s="106"/>
      <c r="K12" s="106"/>
      <c r="L12" s="106"/>
      <c r="M12" s="106"/>
      <c r="N12" s="106"/>
      <c r="O12" s="106"/>
      <c r="P12" s="106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21"/>
      <c r="G13" s="321"/>
      <c r="H13" s="88"/>
      <c r="I13" s="95"/>
      <c r="J13" s="52"/>
      <c r="K13" s="95"/>
      <c r="L13" s="95"/>
      <c r="M13" s="95"/>
      <c r="N13" s="95"/>
      <c r="O13" s="95"/>
      <c r="P13" s="95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'TOT-0709'!B14</f>
        <v>Desde el 01 al 31 de julio de 2009</v>
      </c>
      <c r="C14" s="40"/>
      <c r="D14" s="40"/>
      <c r="E14" s="40"/>
      <c r="F14" s="40"/>
      <c r="G14" s="40"/>
      <c r="H14" s="40"/>
      <c r="I14" s="322"/>
      <c r="J14" s="322"/>
      <c r="K14" s="322"/>
      <c r="L14" s="322"/>
      <c r="M14" s="322"/>
      <c r="N14" s="322"/>
      <c r="O14" s="322"/>
      <c r="P14" s="322"/>
      <c r="Q14" s="40"/>
      <c r="R14" s="40"/>
      <c r="S14" s="40"/>
      <c r="T14" s="40"/>
      <c r="U14" s="40"/>
      <c r="V14" s="40"/>
      <c r="W14" s="323"/>
    </row>
    <row r="15" spans="2:23" s="5" customFormat="1" ht="14.25" thickBot="1">
      <c r="B15" s="324"/>
      <c r="C15" s="325"/>
      <c r="D15" s="325"/>
      <c r="E15" s="325"/>
      <c r="F15" s="325"/>
      <c r="G15" s="325"/>
      <c r="H15" s="325"/>
      <c r="I15" s="326"/>
      <c r="J15" s="326"/>
      <c r="K15" s="326"/>
      <c r="L15" s="326"/>
      <c r="M15" s="326"/>
      <c r="N15" s="326"/>
      <c r="O15" s="326"/>
      <c r="P15" s="326"/>
      <c r="Q15" s="325"/>
      <c r="R15" s="325"/>
      <c r="S15" s="325"/>
      <c r="T15" s="325"/>
      <c r="U15" s="325"/>
      <c r="V15" s="325"/>
      <c r="W15" s="327"/>
    </row>
    <row r="16" spans="2:23" s="5" customFormat="1" ht="15" thickBot="1" thickTop="1">
      <c r="B16" s="50"/>
      <c r="C16" s="4"/>
      <c r="D16" s="4"/>
      <c r="E16" s="4"/>
      <c r="F16" s="328"/>
      <c r="G16" s="328"/>
      <c r="H16" s="115" t="s">
        <v>64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29" t="s">
        <v>65</v>
      </c>
      <c r="G17" s="330">
        <v>63.904</v>
      </c>
      <c r="H17" s="331">
        <v>200</v>
      </c>
      <c r="V17" s="113"/>
      <c r="W17" s="6"/>
    </row>
    <row r="18" spans="2:23" s="5" customFormat="1" ht="16.5" customHeight="1" thickBot="1" thickTop="1">
      <c r="B18" s="50"/>
      <c r="C18" s="4"/>
      <c r="D18" s="4"/>
      <c r="E18" s="4"/>
      <c r="F18" s="332" t="s">
        <v>66</v>
      </c>
      <c r="G18" s="333">
        <v>57.511</v>
      </c>
      <c r="H18" s="331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34" t="s">
        <v>67</v>
      </c>
      <c r="G19" s="333">
        <v>51.126</v>
      </c>
      <c r="H19" s="331">
        <v>40</v>
      </c>
      <c r="K19" s="192"/>
      <c r="L19" s="193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726">
        <v>3</v>
      </c>
      <c r="D20" s="726">
        <v>4</v>
      </c>
      <c r="E20" s="726">
        <v>5</v>
      </c>
      <c r="F20" s="726">
        <v>6</v>
      </c>
      <c r="G20" s="726">
        <v>7</v>
      </c>
      <c r="H20" s="726">
        <v>8</v>
      </c>
      <c r="I20" s="726">
        <v>9</v>
      </c>
      <c r="J20" s="726">
        <v>10</v>
      </c>
      <c r="K20" s="726">
        <v>11</v>
      </c>
      <c r="L20" s="726">
        <v>12</v>
      </c>
      <c r="M20" s="726">
        <v>13</v>
      </c>
      <c r="N20" s="726">
        <v>14</v>
      </c>
      <c r="O20" s="726">
        <v>15</v>
      </c>
      <c r="P20" s="726">
        <v>16</v>
      </c>
      <c r="Q20" s="726">
        <v>17</v>
      </c>
      <c r="R20" s="726">
        <v>18</v>
      </c>
      <c r="S20" s="726">
        <v>19</v>
      </c>
      <c r="T20" s="726">
        <v>20</v>
      </c>
      <c r="U20" s="726">
        <v>21</v>
      </c>
      <c r="V20" s="726">
        <v>22</v>
      </c>
      <c r="W20" s="6"/>
    </row>
    <row r="21" spans="2:23" s="5" customFormat="1" ht="33.75" customHeight="1" thickBot="1" thickTop="1">
      <c r="B21" s="50"/>
      <c r="C21" s="121" t="s">
        <v>12</v>
      </c>
      <c r="D21" s="84" t="s">
        <v>128</v>
      </c>
      <c r="E21" s="84" t="s">
        <v>129</v>
      </c>
      <c r="F21" s="86" t="s">
        <v>25</v>
      </c>
      <c r="G21" s="335" t="s">
        <v>26</v>
      </c>
      <c r="H21" s="336" t="s">
        <v>13</v>
      </c>
      <c r="I21" s="127" t="s">
        <v>15</v>
      </c>
      <c r="J21" s="85" t="s">
        <v>16</v>
      </c>
      <c r="K21" s="335" t="s">
        <v>17</v>
      </c>
      <c r="L21" s="337" t="s">
        <v>34</v>
      </c>
      <c r="M21" s="337" t="s">
        <v>29</v>
      </c>
      <c r="N21" s="87" t="s">
        <v>18</v>
      </c>
      <c r="O21" s="171" t="s">
        <v>30</v>
      </c>
      <c r="P21" s="133" t="s">
        <v>35</v>
      </c>
      <c r="Q21" s="338" t="s">
        <v>55</v>
      </c>
      <c r="R21" s="172" t="s">
        <v>33</v>
      </c>
      <c r="S21" s="339"/>
      <c r="T21" s="132" t="s">
        <v>21</v>
      </c>
      <c r="U21" s="130" t="s">
        <v>58</v>
      </c>
      <c r="V21" s="119" t="s">
        <v>22</v>
      </c>
      <c r="W21" s="6"/>
    </row>
    <row r="22" spans="2:23" s="5" customFormat="1" ht="16.5" customHeight="1" thickTop="1">
      <c r="B22" s="50"/>
      <c r="C22" s="248"/>
      <c r="D22" s="248"/>
      <c r="E22" s="248"/>
      <c r="F22" s="340"/>
      <c r="G22" s="340"/>
      <c r="H22" s="340"/>
      <c r="I22" s="206"/>
      <c r="J22" s="340"/>
      <c r="K22" s="340"/>
      <c r="L22" s="340"/>
      <c r="M22" s="340"/>
      <c r="N22" s="340"/>
      <c r="O22" s="340"/>
      <c r="P22" s="341"/>
      <c r="Q22" s="342"/>
      <c r="R22" s="343"/>
      <c r="S22" s="344"/>
      <c r="T22" s="345"/>
      <c r="U22" s="340"/>
      <c r="V22" s="346"/>
      <c r="W22" s="6"/>
    </row>
    <row r="23" spans="2:23" s="5" customFormat="1" ht="16.5" customHeight="1">
      <c r="B23" s="50"/>
      <c r="C23" s="262"/>
      <c r="D23" s="262"/>
      <c r="E23" s="262"/>
      <c r="F23" s="347"/>
      <c r="G23" s="347"/>
      <c r="H23" s="347"/>
      <c r="I23" s="348"/>
      <c r="J23" s="347"/>
      <c r="K23" s="347"/>
      <c r="L23" s="347"/>
      <c r="M23" s="347"/>
      <c r="N23" s="347"/>
      <c r="O23" s="347"/>
      <c r="P23" s="349"/>
      <c r="Q23" s="350"/>
      <c r="R23" s="181"/>
      <c r="S23" s="351"/>
      <c r="T23" s="352"/>
      <c r="U23" s="347"/>
      <c r="V23" s="353"/>
      <c r="W23" s="6"/>
    </row>
    <row r="24" spans="2:23" s="5" customFormat="1" ht="16.5" customHeight="1">
      <c r="B24" s="50"/>
      <c r="C24" s="262">
        <v>38</v>
      </c>
      <c r="D24" s="262">
        <v>208494</v>
      </c>
      <c r="E24" s="149">
        <v>142</v>
      </c>
      <c r="F24" s="354" t="s">
        <v>164</v>
      </c>
      <c r="G24" s="354" t="s">
        <v>166</v>
      </c>
      <c r="H24" s="355">
        <v>132</v>
      </c>
      <c r="I24" s="128">
        <f aca="true" t="shared" si="0" ref="I24:I46">IF(H24=500,$G$17,IF(H24=220,$G$18,$G$19))</f>
        <v>51.126</v>
      </c>
      <c r="J24" s="356">
        <v>39995.33888888889</v>
      </c>
      <c r="K24" s="147">
        <v>39995.525</v>
      </c>
      <c r="L24" s="357">
        <f aca="true" t="shared" si="1" ref="L24:L46">IF(F24="","",(K24-J24)*24)</f>
        <v>4.466666666732635</v>
      </c>
      <c r="M24" s="358">
        <f aca="true" t="shared" si="2" ref="M24:M46">IF(F24="","",ROUND((K24-J24)*24*60,0))</f>
        <v>268</v>
      </c>
      <c r="N24" s="208" t="s">
        <v>134</v>
      </c>
      <c r="O24" s="209" t="str">
        <f aca="true" t="shared" si="3" ref="O24:O46">IF(F24="","",IF(N24="P","--","NO"))</f>
        <v>--</v>
      </c>
      <c r="P24" s="588">
        <f aca="true" t="shared" si="4" ref="P24:P46">IF(H24=500,$H$17,IF(H24=220,$H$18,$H$19))</f>
        <v>40</v>
      </c>
      <c r="Q24" s="722">
        <f aca="true" t="shared" si="5" ref="Q24:Q46">IF(N24="P",I24*P24*ROUND(M24/60,2)*0.1,"--")</f>
        <v>914.13288</v>
      </c>
      <c r="R24" s="181" t="str">
        <f aca="true" t="shared" si="6" ref="R24:R46">IF(AND(N24="F",O24="NO"),I24*P24,"--")</f>
        <v>--</v>
      </c>
      <c r="S24" s="351" t="str">
        <f aca="true" t="shared" si="7" ref="S24:S46">IF(N24="F",I24*P24*ROUND(M24/60,2),"--")</f>
        <v>--</v>
      </c>
      <c r="T24" s="728" t="s">
        <v>117</v>
      </c>
      <c r="U24" s="209" t="str">
        <f aca="true" t="shared" si="8" ref="U24:U46">IF(F24="","","SI")</f>
        <v>SI</v>
      </c>
      <c r="V24" s="359">
        <v>0</v>
      </c>
      <c r="W24" s="6"/>
    </row>
    <row r="25" spans="2:23" s="5" customFormat="1" ht="16.5" customHeight="1">
      <c r="B25" s="50"/>
      <c r="C25" s="262">
        <v>39</v>
      </c>
      <c r="D25" s="262">
        <v>208495</v>
      </c>
      <c r="E25" s="262">
        <v>99</v>
      </c>
      <c r="F25" s="354" t="s">
        <v>157</v>
      </c>
      <c r="G25" s="354" t="s">
        <v>259</v>
      </c>
      <c r="H25" s="355">
        <v>132</v>
      </c>
      <c r="I25" s="128">
        <f t="shared" si="0"/>
        <v>51.126</v>
      </c>
      <c r="J25" s="356">
        <v>39995.34166666667</v>
      </c>
      <c r="K25" s="147">
        <v>39995.73611111111</v>
      </c>
      <c r="L25" s="357">
        <f t="shared" si="1"/>
        <v>9.46666666661622</v>
      </c>
      <c r="M25" s="358">
        <f t="shared" si="2"/>
        <v>568</v>
      </c>
      <c r="N25" s="208" t="s">
        <v>134</v>
      </c>
      <c r="O25" s="209" t="str">
        <f t="shared" si="3"/>
        <v>--</v>
      </c>
      <c r="P25" s="588">
        <f t="shared" si="4"/>
        <v>40</v>
      </c>
      <c r="Q25" s="722">
        <f t="shared" si="5"/>
        <v>1936.65288</v>
      </c>
      <c r="R25" s="181" t="str">
        <f t="shared" si="6"/>
        <v>--</v>
      </c>
      <c r="S25" s="351" t="str">
        <f t="shared" si="7"/>
        <v>--</v>
      </c>
      <c r="T25" s="728" t="s">
        <v>117</v>
      </c>
      <c r="U25" s="209" t="str">
        <f t="shared" si="8"/>
        <v>SI</v>
      </c>
      <c r="V25" s="359">
        <f aca="true" t="shared" si="9" ref="V25:V46">IF(F25="","",SUM(Q25:T25)*IF(U25="SI",1,2))</f>
        <v>1936.65288</v>
      </c>
      <c r="W25" s="6"/>
    </row>
    <row r="26" spans="2:23" s="5" customFormat="1" ht="16.5" customHeight="1">
      <c r="B26" s="50"/>
      <c r="C26" s="262">
        <v>40</v>
      </c>
      <c r="D26" s="262">
        <v>208497</v>
      </c>
      <c r="E26" s="149">
        <v>119</v>
      </c>
      <c r="F26" s="354" t="s">
        <v>167</v>
      </c>
      <c r="G26" s="354" t="s">
        <v>168</v>
      </c>
      <c r="H26" s="355">
        <v>132</v>
      </c>
      <c r="I26" s="128">
        <f t="shared" si="0"/>
        <v>51.126</v>
      </c>
      <c r="J26" s="356">
        <v>39995.356944444444</v>
      </c>
      <c r="K26" s="147">
        <v>39995.68819444445</v>
      </c>
      <c r="L26" s="357">
        <f t="shared" si="1"/>
        <v>7.950000000069849</v>
      </c>
      <c r="M26" s="358">
        <f t="shared" si="2"/>
        <v>477</v>
      </c>
      <c r="N26" s="208" t="s">
        <v>134</v>
      </c>
      <c r="O26" s="209" t="str">
        <f t="shared" si="3"/>
        <v>--</v>
      </c>
      <c r="P26" s="588">
        <f t="shared" si="4"/>
        <v>40</v>
      </c>
      <c r="Q26" s="722">
        <f t="shared" si="5"/>
        <v>1625.8068</v>
      </c>
      <c r="R26" s="181" t="str">
        <f t="shared" si="6"/>
        <v>--</v>
      </c>
      <c r="S26" s="351" t="str">
        <f t="shared" si="7"/>
        <v>--</v>
      </c>
      <c r="T26" s="728" t="s">
        <v>117</v>
      </c>
      <c r="U26" s="209" t="str">
        <f t="shared" si="8"/>
        <v>SI</v>
      </c>
      <c r="V26" s="359">
        <f t="shared" si="9"/>
        <v>1625.8068</v>
      </c>
      <c r="W26" s="6"/>
    </row>
    <row r="27" spans="2:23" s="5" customFormat="1" ht="16.5" customHeight="1">
      <c r="B27" s="50"/>
      <c r="C27" s="262">
        <v>41</v>
      </c>
      <c r="D27" s="262">
        <v>208503</v>
      </c>
      <c r="E27" s="262">
        <v>125</v>
      </c>
      <c r="F27" s="354" t="s">
        <v>169</v>
      </c>
      <c r="G27" s="354" t="s">
        <v>170</v>
      </c>
      <c r="H27" s="355">
        <v>220</v>
      </c>
      <c r="I27" s="128">
        <f t="shared" si="0"/>
        <v>57.511</v>
      </c>
      <c r="J27" s="356">
        <v>39996.34583333333</v>
      </c>
      <c r="K27" s="147">
        <v>39996.708333333336</v>
      </c>
      <c r="L27" s="357">
        <f t="shared" si="1"/>
        <v>8.70000000006985</v>
      </c>
      <c r="M27" s="358">
        <f t="shared" si="2"/>
        <v>522</v>
      </c>
      <c r="N27" s="208" t="s">
        <v>134</v>
      </c>
      <c r="O27" s="209" t="str">
        <f t="shared" si="3"/>
        <v>--</v>
      </c>
      <c r="P27" s="588">
        <f t="shared" si="4"/>
        <v>100</v>
      </c>
      <c r="Q27" s="722">
        <f t="shared" si="5"/>
        <v>5003.457</v>
      </c>
      <c r="R27" s="181" t="str">
        <f t="shared" si="6"/>
        <v>--</v>
      </c>
      <c r="S27" s="351" t="str">
        <f t="shared" si="7"/>
        <v>--</v>
      </c>
      <c r="T27" s="728" t="s">
        <v>117</v>
      </c>
      <c r="U27" s="209" t="str">
        <f t="shared" si="8"/>
        <v>SI</v>
      </c>
      <c r="V27" s="359">
        <v>0</v>
      </c>
      <c r="W27" s="6"/>
    </row>
    <row r="28" spans="2:23" s="5" customFormat="1" ht="16.5" customHeight="1">
      <c r="B28" s="50"/>
      <c r="C28" s="262">
        <v>42</v>
      </c>
      <c r="D28" s="262">
        <v>208504</v>
      </c>
      <c r="E28" s="149">
        <v>99</v>
      </c>
      <c r="F28" s="354" t="s">
        <v>157</v>
      </c>
      <c r="G28" s="354" t="s">
        <v>259</v>
      </c>
      <c r="H28" s="355">
        <v>132</v>
      </c>
      <c r="I28" s="128">
        <f t="shared" si="0"/>
        <v>51.126</v>
      </c>
      <c r="J28" s="356">
        <v>39996.35277777778</v>
      </c>
      <c r="K28" s="147">
        <v>39996.709027777775</v>
      </c>
      <c r="L28" s="357">
        <f t="shared" si="1"/>
        <v>8.54999999993015</v>
      </c>
      <c r="M28" s="358">
        <f t="shared" si="2"/>
        <v>513</v>
      </c>
      <c r="N28" s="208" t="s">
        <v>134</v>
      </c>
      <c r="O28" s="209" t="str">
        <f t="shared" si="3"/>
        <v>--</v>
      </c>
      <c r="P28" s="588">
        <f t="shared" si="4"/>
        <v>40</v>
      </c>
      <c r="Q28" s="722">
        <f t="shared" si="5"/>
        <v>1748.5092000000002</v>
      </c>
      <c r="R28" s="181" t="str">
        <f t="shared" si="6"/>
        <v>--</v>
      </c>
      <c r="S28" s="351" t="str">
        <f t="shared" si="7"/>
        <v>--</v>
      </c>
      <c r="T28" s="728" t="s">
        <v>117</v>
      </c>
      <c r="U28" s="209" t="str">
        <f t="shared" si="8"/>
        <v>SI</v>
      </c>
      <c r="V28" s="359">
        <f t="shared" si="9"/>
        <v>1748.5092000000002</v>
      </c>
      <c r="W28" s="6"/>
    </row>
    <row r="29" spans="2:23" s="5" customFormat="1" ht="16.5" customHeight="1">
      <c r="B29" s="50"/>
      <c r="C29" s="262">
        <v>43</v>
      </c>
      <c r="D29" s="262">
        <v>208509</v>
      </c>
      <c r="E29" s="262">
        <v>144</v>
      </c>
      <c r="F29" s="354" t="s">
        <v>164</v>
      </c>
      <c r="G29" s="354" t="s">
        <v>171</v>
      </c>
      <c r="H29" s="355">
        <v>132</v>
      </c>
      <c r="I29" s="128">
        <f t="shared" si="0"/>
        <v>51.126</v>
      </c>
      <c r="J29" s="356">
        <v>39997.34583333333</v>
      </c>
      <c r="K29" s="147">
        <v>39997.42083333333</v>
      </c>
      <c r="L29" s="357">
        <f t="shared" si="1"/>
        <v>1.7999999999301508</v>
      </c>
      <c r="M29" s="358">
        <f t="shared" si="2"/>
        <v>108</v>
      </c>
      <c r="N29" s="208" t="s">
        <v>134</v>
      </c>
      <c r="O29" s="209" t="str">
        <f t="shared" si="3"/>
        <v>--</v>
      </c>
      <c r="P29" s="588">
        <f t="shared" si="4"/>
        <v>40</v>
      </c>
      <c r="Q29" s="722">
        <f t="shared" si="5"/>
        <v>368.10720000000003</v>
      </c>
      <c r="R29" s="181" t="str">
        <f t="shared" si="6"/>
        <v>--</v>
      </c>
      <c r="S29" s="351" t="str">
        <f t="shared" si="7"/>
        <v>--</v>
      </c>
      <c r="T29" s="728" t="s">
        <v>117</v>
      </c>
      <c r="U29" s="209" t="str">
        <f t="shared" si="8"/>
        <v>SI</v>
      </c>
      <c r="V29" s="359">
        <v>0</v>
      </c>
      <c r="W29" s="6"/>
    </row>
    <row r="30" spans="2:23" s="5" customFormat="1" ht="16.5" customHeight="1">
      <c r="B30" s="50"/>
      <c r="C30" s="262">
        <v>44</v>
      </c>
      <c r="D30" s="262">
        <v>208510</v>
      </c>
      <c r="E30" s="149">
        <v>3804</v>
      </c>
      <c r="F30" s="354" t="s">
        <v>172</v>
      </c>
      <c r="G30" s="354" t="s">
        <v>173</v>
      </c>
      <c r="H30" s="355">
        <v>132</v>
      </c>
      <c r="I30" s="128">
        <f t="shared" si="0"/>
        <v>51.126</v>
      </c>
      <c r="J30" s="356">
        <v>39997.365277777775</v>
      </c>
      <c r="K30" s="147">
        <v>39997.45416666667</v>
      </c>
      <c r="L30" s="357">
        <f t="shared" si="1"/>
        <v>2.1333333334769122</v>
      </c>
      <c r="M30" s="358">
        <f t="shared" si="2"/>
        <v>128</v>
      </c>
      <c r="N30" s="208" t="s">
        <v>134</v>
      </c>
      <c r="O30" s="209" t="str">
        <f t="shared" si="3"/>
        <v>--</v>
      </c>
      <c r="P30" s="588">
        <f t="shared" si="4"/>
        <v>40</v>
      </c>
      <c r="Q30" s="722">
        <f t="shared" si="5"/>
        <v>435.59352</v>
      </c>
      <c r="R30" s="181" t="str">
        <f t="shared" si="6"/>
        <v>--</v>
      </c>
      <c r="S30" s="351" t="str">
        <f t="shared" si="7"/>
        <v>--</v>
      </c>
      <c r="T30" s="728" t="s">
        <v>117</v>
      </c>
      <c r="U30" s="209" t="str">
        <f t="shared" si="8"/>
        <v>SI</v>
      </c>
      <c r="V30" s="359">
        <v>0</v>
      </c>
      <c r="W30" s="6"/>
    </row>
    <row r="31" spans="2:23" s="5" customFormat="1" ht="16.5" customHeight="1">
      <c r="B31" s="50"/>
      <c r="C31" s="262">
        <v>45</v>
      </c>
      <c r="D31" s="262">
        <v>208511</v>
      </c>
      <c r="E31" s="262">
        <v>119</v>
      </c>
      <c r="F31" s="354" t="s">
        <v>167</v>
      </c>
      <c r="G31" s="354" t="s">
        <v>168</v>
      </c>
      <c r="H31" s="355">
        <v>132</v>
      </c>
      <c r="I31" s="128">
        <f t="shared" si="0"/>
        <v>51.126</v>
      </c>
      <c r="J31" s="356">
        <v>39997.375</v>
      </c>
      <c r="K31" s="147">
        <v>39997.54027777778</v>
      </c>
      <c r="L31" s="357">
        <f t="shared" si="1"/>
        <v>3.9666666666744277</v>
      </c>
      <c r="M31" s="358">
        <f t="shared" si="2"/>
        <v>238</v>
      </c>
      <c r="N31" s="208" t="s">
        <v>134</v>
      </c>
      <c r="O31" s="209" t="str">
        <f t="shared" si="3"/>
        <v>--</v>
      </c>
      <c r="P31" s="588">
        <f t="shared" si="4"/>
        <v>40</v>
      </c>
      <c r="Q31" s="722">
        <f t="shared" si="5"/>
        <v>811.8808800000002</v>
      </c>
      <c r="R31" s="181" t="str">
        <f t="shared" si="6"/>
        <v>--</v>
      </c>
      <c r="S31" s="351" t="str">
        <f t="shared" si="7"/>
        <v>--</v>
      </c>
      <c r="T31" s="728" t="s">
        <v>117</v>
      </c>
      <c r="U31" s="209" t="str">
        <f t="shared" si="8"/>
        <v>SI</v>
      </c>
      <c r="V31" s="359">
        <f t="shared" si="9"/>
        <v>811.8808800000002</v>
      </c>
      <c r="W31" s="6"/>
    </row>
    <row r="32" spans="2:23" s="5" customFormat="1" ht="16.5" customHeight="1">
      <c r="B32" s="50"/>
      <c r="C32" s="262">
        <v>46</v>
      </c>
      <c r="D32" s="262">
        <v>208513</v>
      </c>
      <c r="E32" s="149">
        <v>3805</v>
      </c>
      <c r="F32" s="354" t="s">
        <v>172</v>
      </c>
      <c r="G32" s="354" t="s">
        <v>174</v>
      </c>
      <c r="H32" s="355">
        <v>132</v>
      </c>
      <c r="I32" s="128">
        <f t="shared" si="0"/>
        <v>51.126</v>
      </c>
      <c r="J32" s="356">
        <v>39997.45486111111</v>
      </c>
      <c r="K32" s="147">
        <v>39997.57013888889</v>
      </c>
      <c r="L32" s="357">
        <f t="shared" si="1"/>
        <v>2.7666666667792015</v>
      </c>
      <c r="M32" s="358">
        <f t="shared" si="2"/>
        <v>166</v>
      </c>
      <c r="N32" s="208" t="s">
        <v>134</v>
      </c>
      <c r="O32" s="209" t="str">
        <f t="shared" si="3"/>
        <v>--</v>
      </c>
      <c r="P32" s="588">
        <f t="shared" si="4"/>
        <v>40</v>
      </c>
      <c r="Q32" s="722">
        <f t="shared" si="5"/>
        <v>566.47608</v>
      </c>
      <c r="R32" s="181" t="str">
        <f t="shared" si="6"/>
        <v>--</v>
      </c>
      <c r="S32" s="351" t="str">
        <f t="shared" si="7"/>
        <v>--</v>
      </c>
      <c r="T32" s="728" t="s">
        <v>117</v>
      </c>
      <c r="U32" s="209" t="str">
        <f t="shared" si="8"/>
        <v>SI</v>
      </c>
      <c r="V32" s="359">
        <v>0</v>
      </c>
      <c r="W32" s="6"/>
    </row>
    <row r="33" spans="2:23" s="5" customFormat="1" ht="16.5" customHeight="1">
      <c r="B33" s="50"/>
      <c r="C33" s="262">
        <v>47</v>
      </c>
      <c r="D33" s="262">
        <v>208515</v>
      </c>
      <c r="E33" s="262">
        <v>2746</v>
      </c>
      <c r="F33" s="354" t="s">
        <v>159</v>
      </c>
      <c r="G33" s="354" t="s">
        <v>175</v>
      </c>
      <c r="H33" s="355">
        <v>132</v>
      </c>
      <c r="I33" s="128">
        <f t="shared" si="0"/>
        <v>51.126</v>
      </c>
      <c r="J33" s="356">
        <v>39998.33263888889</v>
      </c>
      <c r="K33" s="147">
        <v>39998.70347222222</v>
      </c>
      <c r="L33" s="357">
        <f t="shared" si="1"/>
        <v>8.900000000023283</v>
      </c>
      <c r="M33" s="358">
        <f t="shared" si="2"/>
        <v>534</v>
      </c>
      <c r="N33" s="208" t="s">
        <v>134</v>
      </c>
      <c r="O33" s="209" t="str">
        <f t="shared" si="3"/>
        <v>--</v>
      </c>
      <c r="P33" s="588">
        <f t="shared" si="4"/>
        <v>40</v>
      </c>
      <c r="Q33" s="722">
        <f t="shared" si="5"/>
        <v>1820.0856</v>
      </c>
      <c r="R33" s="181" t="str">
        <f t="shared" si="6"/>
        <v>--</v>
      </c>
      <c r="S33" s="351" t="str">
        <f t="shared" si="7"/>
        <v>--</v>
      </c>
      <c r="T33" s="728" t="s">
        <v>117</v>
      </c>
      <c r="U33" s="209" t="str">
        <f t="shared" si="8"/>
        <v>SI</v>
      </c>
      <c r="V33" s="359">
        <f t="shared" si="9"/>
        <v>1820.0856</v>
      </c>
      <c r="W33" s="6"/>
    </row>
    <row r="34" spans="2:23" s="5" customFormat="1" ht="16.5" customHeight="1">
      <c r="B34" s="50"/>
      <c r="C34" s="262">
        <v>48</v>
      </c>
      <c r="D34" s="262">
        <v>208516</v>
      </c>
      <c r="E34" s="149">
        <v>3815</v>
      </c>
      <c r="F34" s="354" t="s">
        <v>176</v>
      </c>
      <c r="G34" s="354" t="s">
        <v>177</v>
      </c>
      <c r="H34" s="355">
        <v>500</v>
      </c>
      <c r="I34" s="128">
        <f t="shared" si="0"/>
        <v>63.904</v>
      </c>
      <c r="J34" s="356">
        <v>39998.34375</v>
      </c>
      <c r="K34" s="147">
        <v>39998.479166666664</v>
      </c>
      <c r="L34" s="357">
        <f t="shared" si="1"/>
        <v>3.2499999999417923</v>
      </c>
      <c r="M34" s="358">
        <f t="shared" si="2"/>
        <v>195</v>
      </c>
      <c r="N34" s="208" t="s">
        <v>134</v>
      </c>
      <c r="O34" s="209" t="str">
        <f t="shared" si="3"/>
        <v>--</v>
      </c>
      <c r="P34" s="588">
        <f t="shared" si="4"/>
        <v>200</v>
      </c>
      <c r="Q34" s="722">
        <f t="shared" si="5"/>
        <v>4153.760000000001</v>
      </c>
      <c r="R34" s="181" t="str">
        <f t="shared" si="6"/>
        <v>--</v>
      </c>
      <c r="S34" s="351" t="str">
        <f t="shared" si="7"/>
        <v>--</v>
      </c>
      <c r="T34" s="728" t="s">
        <v>117</v>
      </c>
      <c r="U34" s="209" t="str">
        <f t="shared" si="8"/>
        <v>SI</v>
      </c>
      <c r="V34" s="359">
        <f t="shared" si="9"/>
        <v>4153.760000000001</v>
      </c>
      <c r="W34" s="6"/>
    </row>
    <row r="35" spans="2:23" s="5" customFormat="1" ht="16.5" customHeight="1">
      <c r="B35" s="50"/>
      <c r="C35" s="262" t="s">
        <v>287</v>
      </c>
      <c r="D35" s="262">
        <v>208516</v>
      </c>
      <c r="E35" s="149">
        <v>3815</v>
      </c>
      <c r="F35" s="354" t="s">
        <v>176</v>
      </c>
      <c r="G35" s="354" t="s">
        <v>177</v>
      </c>
      <c r="H35" s="355">
        <v>500</v>
      </c>
      <c r="I35" s="128">
        <f t="shared" si="0"/>
        <v>63.904</v>
      </c>
      <c r="J35" s="356">
        <v>39998.47986111111</v>
      </c>
      <c r="K35" s="147">
        <v>39998.74444444444</v>
      </c>
      <c r="L35" s="357">
        <f>IF(F35="","",(K35-J35)*24)</f>
        <v>6.349999999918509</v>
      </c>
      <c r="M35" s="358">
        <f>IF(F35="","",ROUND((K35-J35)*24*60,0))</f>
        <v>381</v>
      </c>
      <c r="N35" s="208" t="s">
        <v>134</v>
      </c>
      <c r="O35" s="209" t="str">
        <f>IF(F35="","",IF(N35="P","--","NO"))</f>
        <v>--</v>
      </c>
      <c r="P35" s="588">
        <f>IF(H35=500,$H$17,IF(H35=220,$H$18,$H$19))</f>
        <v>200</v>
      </c>
      <c r="Q35" s="722">
        <f>IF(N35="P",I35*P35*ROUND(M35/60,2)*0.1,"--")</f>
        <v>8115.808000000001</v>
      </c>
      <c r="R35" s="181" t="str">
        <f>IF(AND(N35="F",O35="NO"),I35*P35,"--")</f>
        <v>--</v>
      </c>
      <c r="S35" s="351" t="str">
        <f>IF(N35="F",I35*P35*ROUND(M35/60,2),"--")</f>
        <v>--</v>
      </c>
      <c r="T35" s="728" t="s">
        <v>117</v>
      </c>
      <c r="U35" s="209" t="str">
        <f>IF(F35="","","SI")</f>
        <v>SI</v>
      </c>
      <c r="V35" s="359">
        <v>0</v>
      </c>
      <c r="W35" s="6"/>
    </row>
    <row r="36" spans="2:23" s="5" customFormat="1" ht="16.5" customHeight="1">
      <c r="B36" s="50"/>
      <c r="C36" s="262">
        <v>49</v>
      </c>
      <c r="D36" s="262">
        <v>208518</v>
      </c>
      <c r="E36" s="262">
        <v>99</v>
      </c>
      <c r="F36" s="354" t="s">
        <v>157</v>
      </c>
      <c r="G36" s="354" t="s">
        <v>259</v>
      </c>
      <c r="H36" s="355">
        <v>132</v>
      </c>
      <c r="I36" s="128">
        <f t="shared" si="0"/>
        <v>51.126</v>
      </c>
      <c r="J36" s="356">
        <v>39998.373611111114</v>
      </c>
      <c r="K36" s="147">
        <v>39998.768055555556</v>
      </c>
      <c r="L36" s="357">
        <f t="shared" si="1"/>
        <v>9.46666666661622</v>
      </c>
      <c r="M36" s="358">
        <f t="shared" si="2"/>
        <v>568</v>
      </c>
      <c r="N36" s="208" t="s">
        <v>134</v>
      </c>
      <c r="O36" s="209" t="str">
        <f t="shared" si="3"/>
        <v>--</v>
      </c>
      <c r="P36" s="588">
        <f t="shared" si="4"/>
        <v>40</v>
      </c>
      <c r="Q36" s="722">
        <f t="shared" si="5"/>
        <v>1936.65288</v>
      </c>
      <c r="R36" s="181" t="str">
        <f t="shared" si="6"/>
        <v>--</v>
      </c>
      <c r="S36" s="351" t="str">
        <f t="shared" si="7"/>
        <v>--</v>
      </c>
      <c r="T36" s="728" t="s">
        <v>117</v>
      </c>
      <c r="U36" s="209" t="str">
        <f t="shared" si="8"/>
        <v>SI</v>
      </c>
      <c r="V36" s="359">
        <f t="shared" si="9"/>
        <v>1936.65288</v>
      </c>
      <c r="W36" s="6"/>
    </row>
    <row r="37" spans="2:23" s="5" customFormat="1" ht="16.5" customHeight="1">
      <c r="B37" s="50"/>
      <c r="C37" s="262">
        <v>50</v>
      </c>
      <c r="D37" s="262">
        <v>208520</v>
      </c>
      <c r="E37" s="149">
        <v>4822</v>
      </c>
      <c r="F37" s="354" t="s">
        <v>251</v>
      </c>
      <c r="G37" s="354" t="s">
        <v>252</v>
      </c>
      <c r="H37" s="355">
        <v>500</v>
      </c>
      <c r="I37" s="128">
        <f t="shared" si="0"/>
        <v>63.904</v>
      </c>
      <c r="J37" s="356">
        <v>39998.385416666664</v>
      </c>
      <c r="K37" s="147">
        <v>39998.79583333333</v>
      </c>
      <c r="L37" s="357">
        <f t="shared" si="1"/>
        <v>9.849999999976717</v>
      </c>
      <c r="M37" s="358">
        <f t="shared" si="2"/>
        <v>591</v>
      </c>
      <c r="N37" s="208" t="s">
        <v>134</v>
      </c>
      <c r="O37" s="209" t="str">
        <f t="shared" si="3"/>
        <v>--</v>
      </c>
      <c r="P37" s="588">
        <f t="shared" si="4"/>
        <v>200</v>
      </c>
      <c r="Q37" s="722">
        <f t="shared" si="5"/>
        <v>12589.088000000002</v>
      </c>
      <c r="R37" s="181" t="str">
        <f t="shared" si="6"/>
        <v>--</v>
      </c>
      <c r="S37" s="351" t="str">
        <f t="shared" si="7"/>
        <v>--</v>
      </c>
      <c r="T37" s="728" t="s">
        <v>117</v>
      </c>
      <c r="U37" s="209" t="str">
        <f t="shared" si="8"/>
        <v>SI</v>
      </c>
      <c r="V37" s="359">
        <v>0</v>
      </c>
      <c r="W37" s="6"/>
    </row>
    <row r="38" spans="2:23" s="5" customFormat="1" ht="16.5" customHeight="1">
      <c r="B38" s="50"/>
      <c r="C38" s="262">
        <v>51</v>
      </c>
      <c r="D38" s="262">
        <v>208525</v>
      </c>
      <c r="E38" s="262">
        <v>3815</v>
      </c>
      <c r="F38" s="354" t="s">
        <v>176</v>
      </c>
      <c r="G38" s="354" t="s">
        <v>177</v>
      </c>
      <c r="H38" s="355">
        <v>500</v>
      </c>
      <c r="I38" s="128">
        <f t="shared" si="0"/>
        <v>63.904</v>
      </c>
      <c r="J38" s="356">
        <v>39999.35625</v>
      </c>
      <c r="K38" s="147">
        <v>39999.37569444445</v>
      </c>
      <c r="L38" s="357">
        <f t="shared" si="1"/>
        <v>0.466666666790843</v>
      </c>
      <c r="M38" s="358">
        <f t="shared" si="2"/>
        <v>28</v>
      </c>
      <c r="N38" s="208" t="s">
        <v>134</v>
      </c>
      <c r="O38" s="209" t="str">
        <f t="shared" si="3"/>
        <v>--</v>
      </c>
      <c r="P38" s="588">
        <f t="shared" si="4"/>
        <v>200</v>
      </c>
      <c r="Q38" s="722">
        <f t="shared" si="5"/>
        <v>600.6976000000001</v>
      </c>
      <c r="R38" s="181" t="str">
        <f t="shared" si="6"/>
        <v>--</v>
      </c>
      <c r="S38" s="351" t="str">
        <f t="shared" si="7"/>
        <v>--</v>
      </c>
      <c r="T38" s="728" t="s">
        <v>117</v>
      </c>
      <c r="U38" s="209" t="str">
        <f t="shared" si="8"/>
        <v>SI</v>
      </c>
      <c r="V38" s="359">
        <f t="shared" si="9"/>
        <v>600.6976000000001</v>
      </c>
      <c r="W38" s="6"/>
    </row>
    <row r="39" spans="2:23" s="5" customFormat="1" ht="16.5" customHeight="1">
      <c r="B39" s="50"/>
      <c r="C39" s="262" t="s">
        <v>288</v>
      </c>
      <c r="D39" s="262">
        <v>208525</v>
      </c>
      <c r="E39" s="262">
        <v>3815</v>
      </c>
      <c r="F39" s="354" t="s">
        <v>176</v>
      </c>
      <c r="G39" s="354" t="s">
        <v>177</v>
      </c>
      <c r="H39" s="355">
        <v>500</v>
      </c>
      <c r="I39" s="128">
        <f t="shared" si="0"/>
        <v>63.904</v>
      </c>
      <c r="J39" s="356">
        <v>39999.376388888886</v>
      </c>
      <c r="K39" s="147">
        <v>39999.71319444444</v>
      </c>
      <c r="L39" s="357">
        <f>IF(F39="","",(K39-J39)*24)</f>
        <v>8.08333333331393</v>
      </c>
      <c r="M39" s="358">
        <f>IF(F39="","",ROUND((K39-J39)*24*60,0))</f>
        <v>485</v>
      </c>
      <c r="N39" s="208" t="s">
        <v>134</v>
      </c>
      <c r="O39" s="209" t="str">
        <f>IF(F39="","",IF(N39="P","--","NO"))</f>
        <v>--</v>
      </c>
      <c r="P39" s="588">
        <f>IF(H39=500,$H$17,IF(H39=220,$H$18,$H$19))</f>
        <v>200</v>
      </c>
      <c r="Q39" s="722">
        <f>IF(N39="P",I39*P39*ROUND(M39/60,2)*0.1,"--")</f>
        <v>10326.886400000003</v>
      </c>
      <c r="R39" s="181" t="str">
        <f>IF(AND(N39="F",O39="NO"),I39*P39,"--")</f>
        <v>--</v>
      </c>
      <c r="S39" s="351" t="str">
        <f>IF(N39="F",I39*P39*ROUND(M39/60,2),"--")</f>
        <v>--</v>
      </c>
      <c r="T39" s="728" t="s">
        <v>117</v>
      </c>
      <c r="U39" s="209" t="str">
        <f>IF(F39="","","SI")</f>
        <v>SI</v>
      </c>
      <c r="V39" s="359">
        <v>0</v>
      </c>
      <c r="W39" s="6"/>
    </row>
    <row r="40" spans="2:23" s="5" customFormat="1" ht="16.5" customHeight="1">
      <c r="B40" s="50"/>
      <c r="C40" s="262" t="s">
        <v>289</v>
      </c>
      <c r="D40" s="262">
        <v>208525</v>
      </c>
      <c r="E40" s="262">
        <v>3815</v>
      </c>
      <c r="F40" s="354" t="s">
        <v>176</v>
      </c>
      <c r="G40" s="354" t="s">
        <v>177</v>
      </c>
      <c r="H40" s="355">
        <v>500</v>
      </c>
      <c r="I40" s="128">
        <f t="shared" si="0"/>
        <v>63.904</v>
      </c>
      <c r="J40" s="356">
        <v>39999.71388888889</v>
      </c>
      <c r="K40" s="147">
        <v>39999.768055555556</v>
      </c>
      <c r="L40" s="357">
        <f>IF(F40="","",(K40-J40)*24)</f>
        <v>1.3000000000465661</v>
      </c>
      <c r="M40" s="358">
        <f>IF(F40="","",ROUND((K40-J40)*24*60,0))</f>
        <v>78</v>
      </c>
      <c r="N40" s="208" t="s">
        <v>134</v>
      </c>
      <c r="O40" s="209" t="str">
        <f>IF(F40="","",IF(N40="P","--","NO"))</f>
        <v>--</v>
      </c>
      <c r="P40" s="588">
        <f>IF(H40=500,$H$17,IF(H40=220,$H$18,$H$19))</f>
        <v>200</v>
      </c>
      <c r="Q40" s="722">
        <f>IF(N40="P",I40*P40*ROUND(M40/60,2)*0.1,"--")</f>
        <v>1661.5040000000001</v>
      </c>
      <c r="R40" s="181" t="str">
        <f>IF(AND(N40="F",O40="NO"),I40*P40,"--")</f>
        <v>--</v>
      </c>
      <c r="S40" s="351" t="str">
        <f>IF(N40="F",I40*P40*ROUND(M40/60,2),"--")</f>
        <v>--</v>
      </c>
      <c r="T40" s="728" t="s">
        <v>117</v>
      </c>
      <c r="U40" s="209" t="str">
        <f>IF(F40="","","SI")</f>
        <v>SI</v>
      </c>
      <c r="V40" s="359">
        <f>IF(F40="","",SUM(Q40:T40)*IF(U40="SI",1,2))</f>
        <v>1661.5040000000001</v>
      </c>
      <c r="W40" s="6"/>
    </row>
    <row r="41" spans="2:23" s="5" customFormat="1" ht="16.5" customHeight="1">
      <c r="B41" s="50"/>
      <c r="C41" s="262">
        <v>52</v>
      </c>
      <c r="D41" s="262">
        <v>208526</v>
      </c>
      <c r="E41" s="149">
        <v>4823</v>
      </c>
      <c r="F41" s="354" t="s">
        <v>251</v>
      </c>
      <c r="G41" s="354" t="s">
        <v>253</v>
      </c>
      <c r="H41" s="355">
        <v>500</v>
      </c>
      <c r="I41" s="128">
        <f t="shared" si="0"/>
        <v>63.904</v>
      </c>
      <c r="J41" s="356">
        <v>39999.455555555556</v>
      </c>
      <c r="K41" s="147">
        <v>39999.675</v>
      </c>
      <c r="L41" s="357">
        <f t="shared" si="1"/>
        <v>5.266666666720994</v>
      </c>
      <c r="M41" s="358">
        <f t="shared" si="2"/>
        <v>316</v>
      </c>
      <c r="N41" s="208" t="s">
        <v>134</v>
      </c>
      <c r="O41" s="209" t="str">
        <f t="shared" si="3"/>
        <v>--</v>
      </c>
      <c r="P41" s="588">
        <f t="shared" si="4"/>
        <v>200</v>
      </c>
      <c r="Q41" s="722">
        <f t="shared" si="5"/>
        <v>6735.481600000001</v>
      </c>
      <c r="R41" s="181" t="str">
        <f t="shared" si="6"/>
        <v>--</v>
      </c>
      <c r="S41" s="351" t="str">
        <f t="shared" si="7"/>
        <v>--</v>
      </c>
      <c r="T41" s="728" t="s">
        <v>117</v>
      </c>
      <c r="U41" s="209" t="str">
        <f t="shared" si="8"/>
        <v>SI</v>
      </c>
      <c r="V41" s="359">
        <v>0</v>
      </c>
      <c r="W41" s="6"/>
    </row>
    <row r="42" spans="2:23" s="5" customFormat="1" ht="16.5" customHeight="1">
      <c r="B42" s="50"/>
      <c r="C42" s="262">
        <v>53</v>
      </c>
      <c r="D42" s="262">
        <v>208646</v>
      </c>
      <c r="E42" s="262">
        <v>143</v>
      </c>
      <c r="F42" s="354" t="s">
        <v>164</v>
      </c>
      <c r="G42" s="354" t="s">
        <v>178</v>
      </c>
      <c r="H42" s="355">
        <v>132</v>
      </c>
      <c r="I42" s="128">
        <f t="shared" si="0"/>
        <v>51.126</v>
      </c>
      <c r="J42" s="356">
        <v>40001.33888888889</v>
      </c>
      <c r="K42" s="147">
        <v>40001.525</v>
      </c>
      <c r="L42" s="357">
        <f t="shared" si="1"/>
        <v>4.466666666732635</v>
      </c>
      <c r="M42" s="358">
        <f t="shared" si="2"/>
        <v>268</v>
      </c>
      <c r="N42" s="208" t="s">
        <v>134</v>
      </c>
      <c r="O42" s="209" t="str">
        <f t="shared" si="3"/>
        <v>--</v>
      </c>
      <c r="P42" s="588">
        <f t="shared" si="4"/>
        <v>40</v>
      </c>
      <c r="Q42" s="722">
        <f t="shared" si="5"/>
        <v>914.13288</v>
      </c>
      <c r="R42" s="181" t="str">
        <f t="shared" si="6"/>
        <v>--</v>
      </c>
      <c r="S42" s="351" t="str">
        <f t="shared" si="7"/>
        <v>--</v>
      </c>
      <c r="T42" s="728" t="s">
        <v>117</v>
      </c>
      <c r="U42" s="209" t="str">
        <f t="shared" si="8"/>
        <v>SI</v>
      </c>
      <c r="V42" s="359">
        <v>0</v>
      </c>
      <c r="W42" s="6"/>
    </row>
    <row r="43" spans="2:23" s="5" customFormat="1" ht="16.5" customHeight="1">
      <c r="B43" s="50"/>
      <c r="C43" s="262">
        <v>54</v>
      </c>
      <c r="D43" s="262">
        <v>208910</v>
      </c>
      <c r="E43" s="149">
        <v>3677</v>
      </c>
      <c r="F43" s="354" t="s">
        <v>159</v>
      </c>
      <c r="G43" s="354" t="s">
        <v>179</v>
      </c>
      <c r="H43" s="355">
        <v>132</v>
      </c>
      <c r="I43" s="128">
        <f t="shared" si="0"/>
        <v>51.126</v>
      </c>
      <c r="J43" s="356">
        <v>40008.3875</v>
      </c>
      <c r="K43" s="147">
        <v>40008.42152777778</v>
      </c>
      <c r="L43" s="357">
        <f t="shared" si="1"/>
        <v>0.8166666667093523</v>
      </c>
      <c r="M43" s="358">
        <f t="shared" si="2"/>
        <v>49</v>
      </c>
      <c r="N43" s="208" t="s">
        <v>137</v>
      </c>
      <c r="O43" s="209" t="s">
        <v>117</v>
      </c>
      <c r="P43" s="588">
        <f t="shared" si="4"/>
        <v>40</v>
      </c>
      <c r="Q43" s="722" t="str">
        <f t="shared" si="5"/>
        <v>--</v>
      </c>
      <c r="R43" s="181" t="str">
        <f t="shared" si="6"/>
        <v>--</v>
      </c>
      <c r="S43" s="351">
        <f t="shared" si="7"/>
        <v>1676.9327999999998</v>
      </c>
      <c r="T43" s="728" t="s">
        <v>117</v>
      </c>
      <c r="U43" s="209" t="str">
        <f t="shared" si="8"/>
        <v>SI</v>
      </c>
      <c r="V43" s="359">
        <f t="shared" si="9"/>
        <v>1676.9327999999998</v>
      </c>
      <c r="W43" s="6"/>
    </row>
    <row r="44" spans="2:23" s="5" customFormat="1" ht="16.5" customHeight="1">
      <c r="B44" s="50"/>
      <c r="C44" s="262">
        <v>55</v>
      </c>
      <c r="D44" s="262">
        <v>208911</v>
      </c>
      <c r="E44" s="262">
        <v>131</v>
      </c>
      <c r="F44" s="354" t="s">
        <v>159</v>
      </c>
      <c r="G44" s="354" t="s">
        <v>180</v>
      </c>
      <c r="H44" s="355">
        <v>132</v>
      </c>
      <c r="I44" s="128">
        <f t="shared" si="0"/>
        <v>51.126</v>
      </c>
      <c r="J44" s="356">
        <v>40008.424305555556</v>
      </c>
      <c r="K44" s="147">
        <v>40008.44583333333</v>
      </c>
      <c r="L44" s="357">
        <f t="shared" si="1"/>
        <v>0.5166666666045785</v>
      </c>
      <c r="M44" s="358">
        <f t="shared" si="2"/>
        <v>31</v>
      </c>
      <c r="N44" s="208" t="s">
        <v>137</v>
      </c>
      <c r="O44" s="209" t="s">
        <v>117</v>
      </c>
      <c r="P44" s="588">
        <f t="shared" si="4"/>
        <v>40</v>
      </c>
      <c r="Q44" s="722" t="str">
        <f t="shared" si="5"/>
        <v>--</v>
      </c>
      <c r="R44" s="181" t="str">
        <f t="shared" si="6"/>
        <v>--</v>
      </c>
      <c r="S44" s="351">
        <f t="shared" si="7"/>
        <v>1063.4208</v>
      </c>
      <c r="T44" s="728" t="s">
        <v>117</v>
      </c>
      <c r="U44" s="209" t="str">
        <f t="shared" si="8"/>
        <v>SI</v>
      </c>
      <c r="V44" s="359">
        <f t="shared" si="9"/>
        <v>1063.4208</v>
      </c>
      <c r="W44" s="6"/>
    </row>
    <row r="45" spans="2:23" s="5" customFormat="1" ht="16.5" customHeight="1">
      <c r="B45" s="50"/>
      <c r="C45" s="262">
        <v>56</v>
      </c>
      <c r="D45" s="262">
        <v>208915</v>
      </c>
      <c r="E45" s="149">
        <v>2746</v>
      </c>
      <c r="F45" s="354" t="s">
        <v>159</v>
      </c>
      <c r="G45" s="354" t="s">
        <v>175</v>
      </c>
      <c r="H45" s="355">
        <v>132</v>
      </c>
      <c r="I45" s="128">
        <f t="shared" si="0"/>
        <v>51.126</v>
      </c>
      <c r="J45" s="356">
        <v>40009.3625</v>
      </c>
      <c r="K45" s="147">
        <v>40009.709027777775</v>
      </c>
      <c r="L45" s="357">
        <f t="shared" si="1"/>
        <v>8.31666666653473</v>
      </c>
      <c r="M45" s="358">
        <f t="shared" si="2"/>
        <v>499</v>
      </c>
      <c r="N45" s="208" t="s">
        <v>134</v>
      </c>
      <c r="O45" s="209" t="str">
        <f t="shared" si="3"/>
        <v>--</v>
      </c>
      <c r="P45" s="588">
        <f t="shared" si="4"/>
        <v>40</v>
      </c>
      <c r="Q45" s="722">
        <f t="shared" si="5"/>
        <v>1701.4732800000002</v>
      </c>
      <c r="R45" s="181" t="str">
        <f t="shared" si="6"/>
        <v>--</v>
      </c>
      <c r="S45" s="351" t="str">
        <f t="shared" si="7"/>
        <v>--</v>
      </c>
      <c r="T45" s="728" t="s">
        <v>117</v>
      </c>
      <c r="U45" s="209" t="str">
        <f t="shared" si="8"/>
        <v>SI</v>
      </c>
      <c r="V45" s="359">
        <f t="shared" si="9"/>
        <v>1701.4732800000002</v>
      </c>
      <c r="W45" s="6"/>
    </row>
    <row r="46" spans="2:23" s="5" customFormat="1" ht="16.5" customHeight="1">
      <c r="B46" s="50"/>
      <c r="C46" s="262"/>
      <c r="D46" s="262"/>
      <c r="E46" s="262"/>
      <c r="F46" s="354"/>
      <c r="G46" s="354"/>
      <c r="H46" s="355"/>
      <c r="I46" s="128">
        <f t="shared" si="0"/>
        <v>51.126</v>
      </c>
      <c r="J46" s="356"/>
      <c r="K46" s="147"/>
      <c r="L46" s="357">
        <f t="shared" si="1"/>
      </c>
      <c r="M46" s="358">
        <f t="shared" si="2"/>
      </c>
      <c r="N46" s="208"/>
      <c r="O46" s="209">
        <f t="shared" si="3"/>
      </c>
      <c r="P46" s="588">
        <f t="shared" si="4"/>
        <v>40</v>
      </c>
      <c r="Q46" s="722" t="str">
        <f t="shared" si="5"/>
        <v>--</v>
      </c>
      <c r="R46" s="181" t="str">
        <f t="shared" si="6"/>
        <v>--</v>
      </c>
      <c r="S46" s="351" t="str">
        <f t="shared" si="7"/>
        <v>--</v>
      </c>
      <c r="T46" s="352" t="str">
        <f>IF(N46="RF",I46*P46*ROUND(M46/60,2),"--")</f>
        <v>--</v>
      </c>
      <c r="U46" s="209">
        <f t="shared" si="8"/>
      </c>
      <c r="V46" s="359">
        <f t="shared" si="9"/>
      </c>
      <c r="W46" s="6"/>
    </row>
    <row r="47" spans="2:23" s="5" customFormat="1" ht="16.5" customHeight="1" thickBot="1">
      <c r="B47" s="50"/>
      <c r="C47" s="216"/>
      <c r="D47" s="216"/>
      <c r="E47" s="216"/>
      <c r="F47" s="216"/>
      <c r="G47" s="216"/>
      <c r="H47" s="216"/>
      <c r="I47" s="129"/>
      <c r="J47" s="360"/>
      <c r="K47" s="360"/>
      <c r="L47" s="361"/>
      <c r="M47" s="361"/>
      <c r="N47" s="360"/>
      <c r="O47" s="148"/>
      <c r="P47" s="362"/>
      <c r="Q47" s="363"/>
      <c r="R47" s="364"/>
      <c r="S47" s="365"/>
      <c r="T47" s="154"/>
      <c r="U47" s="148"/>
      <c r="V47" s="366"/>
      <c r="W47" s="6"/>
    </row>
    <row r="48" spans="2:23" s="5" customFormat="1" ht="16.5" customHeight="1" thickBot="1" thickTop="1">
      <c r="B48" s="50"/>
      <c r="C48" s="125" t="s">
        <v>23</v>
      </c>
      <c r="D48" s="730" t="s">
        <v>216</v>
      </c>
      <c r="E48" s="125"/>
      <c r="F48" s="126"/>
      <c r="G48"/>
      <c r="H48" s="4"/>
      <c r="I48" s="4"/>
      <c r="J48" s="4"/>
      <c r="K48" s="4"/>
      <c r="L48" s="4"/>
      <c r="M48" s="4"/>
      <c r="N48" s="4"/>
      <c r="O48" s="4"/>
      <c r="P48" s="4"/>
      <c r="Q48" s="367">
        <f>SUM(Q22:Q47)</f>
        <v>63966.186680000006</v>
      </c>
      <c r="R48" s="368">
        <f>SUM(R22:R47)</f>
        <v>0</v>
      </c>
      <c r="S48" s="369">
        <f>SUM(S22:S47)</f>
        <v>2740.3536</v>
      </c>
      <c r="T48" s="370">
        <f>SUM(T22:T47)</f>
        <v>0</v>
      </c>
      <c r="U48" s="371"/>
      <c r="V48" s="98">
        <f>ROUND(SUM(V22:V47),2)</f>
        <v>20737.38</v>
      </c>
      <c r="W48" s="6"/>
    </row>
    <row r="49" spans="2:23" s="5" customFormat="1" ht="16.5" customHeight="1" thickBot="1" thickTop="1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</row>
    <row r="50" spans="23:25" ht="16.5" customHeight="1" thickTop="1">
      <c r="W50" s="168"/>
      <c r="X50" s="168"/>
      <c r="Y50" s="168"/>
    </row>
    <row r="51" spans="23:25" ht="16.5" customHeight="1">
      <c r="W51" s="168"/>
      <c r="X51" s="168"/>
      <c r="Y51" s="168"/>
    </row>
    <row r="52" spans="23:25" ht="16.5" customHeight="1">
      <c r="W52" s="168"/>
      <c r="X52" s="168"/>
      <c r="Y52" s="168"/>
    </row>
    <row r="53" spans="23:25" ht="16.5" customHeight="1">
      <c r="W53" s="168"/>
      <c r="X53" s="168"/>
      <c r="Y53" s="168"/>
    </row>
    <row r="54" spans="23:25" ht="16.5" customHeight="1">
      <c r="W54" s="168"/>
      <c r="X54" s="168"/>
      <c r="Y54" s="168"/>
    </row>
    <row r="55" spans="6:25" ht="16.5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</row>
    <row r="56" spans="6:25" ht="16.5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6:25" ht="16.5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</row>
    <row r="58" spans="6:25" ht="16.5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</row>
    <row r="59" spans="6:25" ht="16.5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6:25" ht="16.5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6:25" ht="16.5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</row>
    <row r="62" spans="6:25" ht="16.5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</row>
    <row r="63" spans="6:25" ht="16.5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</row>
    <row r="64" spans="6:25" ht="16.5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</row>
    <row r="65" spans="6:25" ht="16.5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</row>
    <row r="66" spans="6:25" ht="16.5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</row>
    <row r="67" spans="6:25" ht="16.5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</row>
    <row r="68" spans="6:25" ht="16.5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</row>
    <row r="69" spans="6:25" ht="16.5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</row>
    <row r="70" spans="6:25" ht="16.5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</row>
    <row r="71" spans="6:25" ht="16.5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</row>
    <row r="72" spans="6:25" ht="16.5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</row>
    <row r="73" spans="6:25" ht="16.5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</row>
    <row r="74" spans="6:25" ht="16.5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</row>
    <row r="75" spans="6:25" ht="16.5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</row>
    <row r="76" spans="6:25" ht="16.5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</row>
    <row r="77" spans="6:25" ht="16.5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</row>
    <row r="78" spans="6:25" ht="16.5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</row>
    <row r="79" spans="6:25" ht="16.5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</row>
    <row r="80" spans="6:25" ht="16.5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</row>
    <row r="81" spans="6:25" ht="16.5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</row>
    <row r="82" spans="6:25" ht="16.5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</row>
    <row r="83" spans="6:25" ht="16.5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</row>
    <row r="84" spans="6:25" ht="16.5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</row>
    <row r="85" spans="6:25" ht="16.5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6:25" ht="16.5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</row>
    <row r="87" spans="6:25" ht="16.5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</row>
    <row r="88" spans="6:25" ht="16.5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</row>
    <row r="89" spans="6:25" ht="16.5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</row>
    <row r="90" spans="6:25" ht="16.5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</row>
    <row r="91" spans="6:25" ht="16.5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</row>
    <row r="92" spans="6:25" ht="16.5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</row>
    <row r="93" spans="6:25" ht="16.5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</row>
    <row r="94" spans="6:25" ht="16.5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</row>
    <row r="95" spans="6:25" ht="16.5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</row>
    <row r="96" spans="6:25" ht="16.5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</row>
    <row r="97" spans="6:25" ht="16.5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</row>
    <row r="98" spans="6:25" ht="16.5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</row>
    <row r="99" spans="6:25" ht="16.5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</row>
    <row r="100" spans="6:25" ht="16.5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</row>
    <row r="101" spans="6:25" ht="16.5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</row>
    <row r="102" spans="6:25" ht="16.5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</row>
    <row r="103" spans="6:25" ht="16.5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</row>
    <row r="104" spans="6:25" ht="16.5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</row>
    <row r="105" spans="6:25" ht="16.5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</row>
    <row r="106" spans="6:25" ht="16.5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</row>
    <row r="107" spans="6:25" ht="16.5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</row>
    <row r="108" spans="6:25" ht="16.5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</row>
    <row r="109" spans="6:25" ht="16.5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</row>
    <row r="110" spans="6:25" ht="16.5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</row>
    <row r="111" spans="6:25" ht="16.5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</row>
    <row r="112" spans="6:25" ht="16.5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</row>
    <row r="113" spans="6:25" ht="16.5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</row>
    <row r="114" spans="6:25" ht="16.5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</row>
    <row r="115" spans="6:25" ht="16.5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</row>
    <row r="116" spans="6:25" ht="16.5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</row>
    <row r="117" spans="6:25" ht="16.5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</row>
    <row r="118" spans="6:25" ht="16.5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</row>
    <row r="119" spans="6:25" ht="16.5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</row>
    <row r="120" spans="6:25" ht="16.5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</row>
    <row r="121" spans="6:25" ht="16.5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</row>
    <row r="122" spans="6:25" ht="16.5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</row>
    <row r="123" spans="6:25" ht="16.5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6:25" ht="16.5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6:25" ht="16.5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6:25" ht="16.5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6:25" ht="16.5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6:25" ht="16.5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6:25" ht="16.5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6:25" ht="16.5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6:25" ht="16.5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6:25" ht="16.5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6:25" ht="16.5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6:25" ht="16.5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6:25" ht="16.5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6:25" ht="16.5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6:25" ht="16.5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6:25" ht="16.5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6:25" ht="16.5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6:25" ht="16.5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6:25" ht="16.5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6:25" ht="16.5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6:25" ht="16.5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6:25" ht="16.5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6:25" ht="16.5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6:25" ht="16.5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6:25" ht="16.5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6:25" ht="16.5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6:25" ht="16.5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6:25" ht="16.5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6:25" ht="16.5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6:25" ht="16.5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6:25" ht="16.5" customHeight="1"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6:25" ht="16.5" customHeight="1"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6:25" ht="16.5" customHeight="1"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6:25" ht="16.5" customHeight="1"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6:25" ht="16.5" customHeight="1"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6:25" ht="16.5" customHeight="1"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6:25" ht="16.5" customHeight="1"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  <row r="160" spans="6:25" ht="16.5" customHeight="1"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</row>
    <row r="161" spans="6:25" ht="16.5" customHeight="1"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</row>
    <row r="162" spans="6:25" ht="16.5" customHeight="1"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59"/>
  <sheetViews>
    <sheetView zoomScale="70" zoomScaleNormal="70" workbookViewId="0" topLeftCell="C1">
      <selection activeCell="V44" sqref="V44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1"/>
    </row>
    <row r="2" spans="1:23" s="18" customFormat="1" ht="26.25">
      <c r="A2" s="89"/>
      <c r="B2" s="19" t="str">
        <f>+'TOT-0709'!B2</f>
        <v>ANEXO II al Memorándum D.T.E.E. N°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54</v>
      </c>
      <c r="N8" s="103"/>
      <c r="O8" s="103"/>
      <c r="P8" s="94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1" t="s">
        <v>118</v>
      </c>
      <c r="G10" s="320"/>
      <c r="H10" s="103"/>
      <c r="I10" s="106"/>
      <c r="K10" s="106"/>
      <c r="L10" s="106"/>
      <c r="M10" s="106"/>
      <c r="N10" s="106"/>
      <c r="O10" s="106"/>
      <c r="P10" s="106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21"/>
      <c r="G11" s="321"/>
      <c r="H11" s="88"/>
      <c r="I11" s="95"/>
      <c r="J11" s="52"/>
      <c r="K11" s="95"/>
      <c r="L11" s="95"/>
      <c r="M11" s="95"/>
      <c r="N11" s="95"/>
      <c r="O11" s="95"/>
      <c r="P11" s="95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1" t="s">
        <v>63</v>
      </c>
      <c r="G12" s="320"/>
      <c r="H12" s="103"/>
      <c r="I12" s="106"/>
      <c r="K12" s="106"/>
      <c r="L12" s="106"/>
      <c r="M12" s="106"/>
      <c r="N12" s="106"/>
      <c r="O12" s="106"/>
      <c r="P12" s="106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21"/>
      <c r="G13" s="321"/>
      <c r="H13" s="88"/>
      <c r="I13" s="95"/>
      <c r="J13" s="52"/>
      <c r="K13" s="95"/>
      <c r="L13" s="95"/>
      <c r="M13" s="95"/>
      <c r="N13" s="95"/>
      <c r="O13" s="95"/>
      <c r="P13" s="95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'TOT-0709'!B14</f>
        <v>Desde el 01 al 31 de julio de 2009</v>
      </c>
      <c r="C14" s="40"/>
      <c r="D14" s="40"/>
      <c r="E14" s="40"/>
      <c r="F14" s="40"/>
      <c r="G14" s="40"/>
      <c r="H14" s="40"/>
      <c r="I14" s="322"/>
      <c r="J14" s="322"/>
      <c r="K14" s="322"/>
      <c r="L14" s="322"/>
      <c r="M14" s="322"/>
      <c r="N14" s="322"/>
      <c r="O14" s="322"/>
      <c r="P14" s="322"/>
      <c r="Q14" s="40"/>
      <c r="R14" s="40"/>
      <c r="S14" s="40"/>
      <c r="T14" s="40"/>
      <c r="U14" s="40"/>
      <c r="V14" s="40"/>
      <c r="W14" s="323"/>
    </row>
    <row r="15" spans="2:23" s="5" customFormat="1" ht="14.25" thickBot="1">
      <c r="B15" s="324"/>
      <c r="C15" s="325"/>
      <c r="D15" s="325"/>
      <c r="E15" s="325"/>
      <c r="F15" s="325"/>
      <c r="G15" s="325"/>
      <c r="H15" s="325"/>
      <c r="I15" s="326"/>
      <c r="J15" s="326"/>
      <c r="K15" s="326"/>
      <c r="L15" s="326"/>
      <c r="M15" s="326"/>
      <c r="N15" s="326"/>
      <c r="O15" s="326"/>
      <c r="P15" s="326"/>
      <c r="Q15" s="325"/>
      <c r="R15" s="325"/>
      <c r="S15" s="325"/>
      <c r="T15" s="325"/>
      <c r="U15" s="325"/>
      <c r="V15" s="325"/>
      <c r="W15" s="327"/>
    </row>
    <row r="16" spans="2:23" s="5" customFormat="1" ht="15" thickBot="1" thickTop="1">
      <c r="B16" s="50"/>
      <c r="C16" s="4"/>
      <c r="D16" s="4"/>
      <c r="E16" s="4"/>
      <c r="F16" s="328"/>
      <c r="G16" s="328"/>
      <c r="H16" s="115" t="s">
        <v>64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29" t="s">
        <v>65</v>
      </c>
      <c r="G17" s="330">
        <v>63.904</v>
      </c>
      <c r="H17" s="331">
        <v>200</v>
      </c>
      <c r="V17" s="113"/>
      <c r="W17" s="6"/>
    </row>
    <row r="18" spans="2:23" s="5" customFormat="1" ht="16.5" customHeight="1" thickBot="1" thickTop="1">
      <c r="B18" s="50"/>
      <c r="C18" s="4"/>
      <c r="D18" s="4"/>
      <c r="E18" s="4"/>
      <c r="F18" s="332" t="s">
        <v>66</v>
      </c>
      <c r="G18" s="333">
        <v>57.511</v>
      </c>
      <c r="H18" s="331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34" t="s">
        <v>67</v>
      </c>
      <c r="G19" s="333">
        <v>51.126</v>
      </c>
      <c r="H19" s="331">
        <v>40</v>
      </c>
      <c r="K19" s="192"/>
      <c r="L19" s="193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726">
        <v>3</v>
      </c>
      <c r="D20" s="726">
        <v>4</v>
      </c>
      <c r="E20" s="726">
        <v>5</v>
      </c>
      <c r="F20" s="726">
        <v>6</v>
      </c>
      <c r="G20" s="726">
        <v>7</v>
      </c>
      <c r="H20" s="726">
        <v>8</v>
      </c>
      <c r="I20" s="726">
        <v>9</v>
      </c>
      <c r="J20" s="726">
        <v>10</v>
      </c>
      <c r="K20" s="726">
        <v>11</v>
      </c>
      <c r="L20" s="726">
        <v>12</v>
      </c>
      <c r="M20" s="726">
        <v>13</v>
      </c>
      <c r="N20" s="726">
        <v>14</v>
      </c>
      <c r="O20" s="726">
        <v>15</v>
      </c>
      <c r="P20" s="726">
        <v>16</v>
      </c>
      <c r="Q20" s="726">
        <v>17</v>
      </c>
      <c r="R20" s="726">
        <v>18</v>
      </c>
      <c r="S20" s="726">
        <v>19</v>
      </c>
      <c r="T20" s="726">
        <v>20</v>
      </c>
      <c r="U20" s="726">
        <v>21</v>
      </c>
      <c r="V20" s="726">
        <v>22</v>
      </c>
      <c r="W20" s="6"/>
    </row>
    <row r="21" spans="2:23" s="5" customFormat="1" ht="33.75" customHeight="1" thickBot="1" thickTop="1">
      <c r="B21" s="50"/>
      <c r="C21" s="121" t="s">
        <v>12</v>
      </c>
      <c r="D21" s="84" t="s">
        <v>128</v>
      </c>
      <c r="E21" s="84" t="s">
        <v>129</v>
      </c>
      <c r="F21" s="86" t="s">
        <v>25</v>
      </c>
      <c r="G21" s="335" t="s">
        <v>26</v>
      </c>
      <c r="H21" s="336" t="s">
        <v>13</v>
      </c>
      <c r="I21" s="127" t="s">
        <v>15</v>
      </c>
      <c r="J21" s="85" t="s">
        <v>16</v>
      </c>
      <c r="K21" s="335" t="s">
        <v>17</v>
      </c>
      <c r="L21" s="337" t="s">
        <v>34</v>
      </c>
      <c r="M21" s="337" t="s">
        <v>29</v>
      </c>
      <c r="N21" s="87" t="s">
        <v>18</v>
      </c>
      <c r="O21" s="171" t="s">
        <v>30</v>
      </c>
      <c r="P21" s="133" t="s">
        <v>35</v>
      </c>
      <c r="Q21" s="338" t="s">
        <v>55</v>
      </c>
      <c r="R21" s="172" t="s">
        <v>33</v>
      </c>
      <c r="S21" s="339"/>
      <c r="T21" s="132" t="s">
        <v>21</v>
      </c>
      <c r="U21" s="130" t="s">
        <v>58</v>
      </c>
      <c r="V21" s="119" t="s">
        <v>22</v>
      </c>
      <c r="W21" s="6"/>
    </row>
    <row r="22" spans="2:23" s="5" customFormat="1" ht="16.5" customHeight="1" thickTop="1">
      <c r="B22" s="50"/>
      <c r="C22" s="248"/>
      <c r="D22" s="248"/>
      <c r="E22" s="248"/>
      <c r="F22" s="340"/>
      <c r="G22" s="340"/>
      <c r="H22" s="340"/>
      <c r="I22" s="206"/>
      <c r="J22" s="340"/>
      <c r="K22" s="340"/>
      <c r="L22" s="340"/>
      <c r="M22" s="340"/>
      <c r="N22" s="340"/>
      <c r="O22" s="340"/>
      <c r="P22" s="341"/>
      <c r="Q22" s="342"/>
      <c r="R22" s="343"/>
      <c r="S22" s="344"/>
      <c r="T22" s="345"/>
      <c r="U22" s="340"/>
      <c r="V22" s="346">
        <f>'SA-07 (1)'!V48</f>
        <v>20737.38</v>
      </c>
      <c r="W22" s="6"/>
    </row>
    <row r="23" spans="2:23" s="5" customFormat="1" ht="16.5" customHeight="1">
      <c r="B23" s="50"/>
      <c r="C23" s="262"/>
      <c r="D23" s="262"/>
      <c r="E23" s="262"/>
      <c r="F23" s="347"/>
      <c r="G23" s="347"/>
      <c r="H23" s="347"/>
      <c r="I23" s="348"/>
      <c r="J23" s="347"/>
      <c r="K23" s="347"/>
      <c r="L23" s="347"/>
      <c r="M23" s="347"/>
      <c r="N23" s="347"/>
      <c r="O23" s="347"/>
      <c r="P23" s="349"/>
      <c r="Q23" s="350"/>
      <c r="R23" s="181"/>
      <c r="S23" s="351"/>
      <c r="T23" s="352"/>
      <c r="U23" s="347"/>
      <c r="V23" s="353"/>
      <c r="W23" s="6"/>
    </row>
    <row r="24" spans="2:23" s="5" customFormat="1" ht="16.5" customHeight="1">
      <c r="B24" s="50"/>
      <c r="C24" s="262">
        <v>57</v>
      </c>
      <c r="D24" s="262">
        <v>208917</v>
      </c>
      <c r="E24" s="149">
        <v>2867</v>
      </c>
      <c r="F24" s="354" t="s">
        <v>159</v>
      </c>
      <c r="G24" s="354" t="s">
        <v>181</v>
      </c>
      <c r="H24" s="355">
        <v>132</v>
      </c>
      <c r="I24" s="128">
        <f aca="true" t="shared" si="0" ref="I24:I43">IF(H24=500,$G$17,IF(H24=220,$G$18,$G$19))</f>
        <v>51.126</v>
      </c>
      <c r="J24" s="356">
        <v>40010.40694444445</v>
      </c>
      <c r="K24" s="147">
        <v>40010.71805555555</v>
      </c>
      <c r="L24" s="357">
        <f aca="true" t="shared" si="1" ref="L24:L43">IF(F24="","",(K24-J24)*24)</f>
        <v>7.466666666558012</v>
      </c>
      <c r="M24" s="358">
        <f aca="true" t="shared" si="2" ref="M24:M43">IF(F24="","",ROUND((K24-J24)*24*60,0))</f>
        <v>448</v>
      </c>
      <c r="N24" s="208" t="s">
        <v>134</v>
      </c>
      <c r="O24" s="209" t="str">
        <f aca="true" t="shared" si="3" ref="O24:O43">IF(F24="","",IF(N24="P","--","NO"))</f>
        <v>--</v>
      </c>
      <c r="P24" s="588">
        <f aca="true" t="shared" si="4" ref="P24:P43">IF(H24=500,$H$17,IF(H24=220,$H$18,$H$19))</f>
        <v>40</v>
      </c>
      <c r="Q24" s="722">
        <f aca="true" t="shared" si="5" ref="Q24:Q43">IF(N24="P",I24*P24*ROUND(M24/60,2)*0.1,"--")</f>
        <v>1527.64488</v>
      </c>
      <c r="R24" s="181" t="str">
        <f aca="true" t="shared" si="6" ref="R24:R43">IF(AND(N24="F",O24="NO"),I24*P24,"--")</f>
        <v>--</v>
      </c>
      <c r="S24" s="351" t="str">
        <f aca="true" t="shared" si="7" ref="S24:S43">IF(N24="F",I24*P24*ROUND(M24/60,2),"--")</f>
        <v>--</v>
      </c>
      <c r="T24" s="728" t="s">
        <v>117</v>
      </c>
      <c r="U24" s="209" t="str">
        <f aca="true" t="shared" si="8" ref="U24:U43">IF(F24="","","SI")</f>
        <v>SI</v>
      </c>
      <c r="V24" s="359">
        <f aca="true" t="shared" si="9" ref="V24:V39">IF(F24="","",SUM(Q24:T24)*IF(U24="SI",1,2))</f>
        <v>1527.64488</v>
      </c>
      <c r="W24" s="6"/>
    </row>
    <row r="25" spans="2:23" s="5" customFormat="1" ht="16.5" customHeight="1">
      <c r="B25" s="50"/>
      <c r="C25" s="262">
        <v>58</v>
      </c>
      <c r="D25" s="262">
        <v>208920</v>
      </c>
      <c r="E25" s="262">
        <v>2867</v>
      </c>
      <c r="F25" s="354" t="s">
        <v>159</v>
      </c>
      <c r="G25" s="354" t="s">
        <v>181</v>
      </c>
      <c r="H25" s="355">
        <v>132</v>
      </c>
      <c r="I25" s="128">
        <f t="shared" si="0"/>
        <v>51.126</v>
      </c>
      <c r="J25" s="356">
        <v>40011.396527777775</v>
      </c>
      <c r="K25" s="147">
        <v>40011.72152777778</v>
      </c>
      <c r="L25" s="357">
        <f t="shared" si="1"/>
        <v>7.800000000104774</v>
      </c>
      <c r="M25" s="358">
        <f t="shared" si="2"/>
        <v>468</v>
      </c>
      <c r="N25" s="208" t="s">
        <v>134</v>
      </c>
      <c r="O25" s="209" t="str">
        <f t="shared" si="3"/>
        <v>--</v>
      </c>
      <c r="P25" s="588">
        <f t="shared" si="4"/>
        <v>40</v>
      </c>
      <c r="Q25" s="722">
        <f t="shared" si="5"/>
        <v>1595.1312</v>
      </c>
      <c r="R25" s="181" t="str">
        <f t="shared" si="6"/>
        <v>--</v>
      </c>
      <c r="S25" s="351" t="str">
        <f t="shared" si="7"/>
        <v>--</v>
      </c>
      <c r="T25" s="728" t="s">
        <v>117</v>
      </c>
      <c r="U25" s="209" t="str">
        <f t="shared" si="8"/>
        <v>SI</v>
      </c>
      <c r="V25" s="359">
        <f t="shared" si="9"/>
        <v>1595.1312</v>
      </c>
      <c r="W25" s="6"/>
    </row>
    <row r="26" spans="2:23" s="5" customFormat="1" ht="16.5" customHeight="1">
      <c r="B26" s="50"/>
      <c r="C26" s="262">
        <v>59</v>
      </c>
      <c r="D26" s="262">
        <v>208942</v>
      </c>
      <c r="E26" s="149">
        <v>693</v>
      </c>
      <c r="F26" s="354" t="s">
        <v>182</v>
      </c>
      <c r="G26" s="354" t="s">
        <v>183</v>
      </c>
      <c r="H26" s="355">
        <v>132</v>
      </c>
      <c r="I26" s="128">
        <f t="shared" si="0"/>
        <v>51.126</v>
      </c>
      <c r="J26" s="356">
        <v>40012.30486111111</v>
      </c>
      <c r="K26" s="147">
        <v>40012.69375</v>
      </c>
      <c r="L26" s="357">
        <f t="shared" si="1"/>
        <v>9.333333333372138</v>
      </c>
      <c r="M26" s="358">
        <f t="shared" si="2"/>
        <v>560</v>
      </c>
      <c r="N26" s="208" t="s">
        <v>134</v>
      </c>
      <c r="O26" s="209" t="str">
        <f t="shared" si="3"/>
        <v>--</v>
      </c>
      <c r="P26" s="588">
        <f t="shared" si="4"/>
        <v>40</v>
      </c>
      <c r="Q26" s="722">
        <f t="shared" si="5"/>
        <v>1908.02232</v>
      </c>
      <c r="R26" s="181" t="str">
        <f t="shared" si="6"/>
        <v>--</v>
      </c>
      <c r="S26" s="351" t="str">
        <f t="shared" si="7"/>
        <v>--</v>
      </c>
      <c r="T26" s="728" t="s">
        <v>117</v>
      </c>
      <c r="U26" s="209" t="str">
        <f t="shared" si="8"/>
        <v>SI</v>
      </c>
      <c r="V26" s="359">
        <v>0</v>
      </c>
      <c r="W26" s="6"/>
    </row>
    <row r="27" spans="2:23" s="5" customFormat="1" ht="16.5" customHeight="1">
      <c r="B27" s="50"/>
      <c r="C27" s="262">
        <v>60</v>
      </c>
      <c r="D27" s="262">
        <v>208945</v>
      </c>
      <c r="E27" s="262">
        <v>2867</v>
      </c>
      <c r="F27" s="354" t="s">
        <v>159</v>
      </c>
      <c r="G27" s="354" t="s">
        <v>181</v>
      </c>
      <c r="H27" s="355">
        <v>132</v>
      </c>
      <c r="I27" s="128">
        <f t="shared" si="0"/>
        <v>51.126</v>
      </c>
      <c r="J27" s="356">
        <v>40012.35625</v>
      </c>
      <c r="K27" s="147">
        <v>40012.56736111111</v>
      </c>
      <c r="L27" s="357">
        <f t="shared" si="1"/>
        <v>5.06666666676756</v>
      </c>
      <c r="M27" s="358">
        <f t="shared" si="2"/>
        <v>304</v>
      </c>
      <c r="N27" s="208" t="s">
        <v>134</v>
      </c>
      <c r="O27" s="209" t="str">
        <f t="shared" si="3"/>
        <v>--</v>
      </c>
      <c r="P27" s="588">
        <f t="shared" si="4"/>
        <v>40</v>
      </c>
      <c r="Q27" s="722">
        <f t="shared" si="5"/>
        <v>1036.83528</v>
      </c>
      <c r="R27" s="181" t="str">
        <f t="shared" si="6"/>
        <v>--</v>
      </c>
      <c r="S27" s="351" t="str">
        <f t="shared" si="7"/>
        <v>--</v>
      </c>
      <c r="T27" s="728" t="s">
        <v>117</v>
      </c>
      <c r="U27" s="209" t="str">
        <f t="shared" si="8"/>
        <v>SI</v>
      </c>
      <c r="V27" s="359">
        <f t="shared" si="9"/>
        <v>1036.83528</v>
      </c>
      <c r="W27" s="6"/>
    </row>
    <row r="28" spans="2:23" s="5" customFormat="1" ht="16.5" customHeight="1">
      <c r="B28" s="50"/>
      <c r="C28" s="262">
        <v>61</v>
      </c>
      <c r="D28" s="262">
        <v>208949</v>
      </c>
      <c r="E28" s="149">
        <v>132</v>
      </c>
      <c r="F28" s="354" t="s">
        <v>159</v>
      </c>
      <c r="G28" s="354" t="s">
        <v>184</v>
      </c>
      <c r="H28" s="355">
        <v>132</v>
      </c>
      <c r="I28" s="128">
        <f t="shared" si="0"/>
        <v>51.126</v>
      </c>
      <c r="J28" s="356">
        <v>40012.42083333333</v>
      </c>
      <c r="K28" s="147">
        <v>40012.54305555556</v>
      </c>
      <c r="L28" s="357">
        <f t="shared" si="1"/>
        <v>2.9333333334652707</v>
      </c>
      <c r="M28" s="358">
        <f t="shared" si="2"/>
        <v>176</v>
      </c>
      <c r="N28" s="208" t="s">
        <v>137</v>
      </c>
      <c r="O28" s="209" t="s">
        <v>117</v>
      </c>
      <c r="P28" s="588">
        <f t="shared" si="4"/>
        <v>40</v>
      </c>
      <c r="Q28" s="722" t="str">
        <f t="shared" si="5"/>
        <v>--</v>
      </c>
      <c r="R28" s="181" t="str">
        <f t="shared" si="6"/>
        <v>--</v>
      </c>
      <c r="S28" s="351">
        <f t="shared" si="7"/>
        <v>5991.9672</v>
      </c>
      <c r="T28" s="728" t="s">
        <v>117</v>
      </c>
      <c r="U28" s="209" t="str">
        <f t="shared" si="8"/>
        <v>SI</v>
      </c>
      <c r="V28" s="359">
        <f t="shared" si="9"/>
        <v>5991.9672</v>
      </c>
      <c r="W28" s="6"/>
    </row>
    <row r="29" spans="2:23" s="5" customFormat="1" ht="16.5" customHeight="1">
      <c r="B29" s="50"/>
      <c r="C29" s="262">
        <v>62</v>
      </c>
      <c r="D29" s="262">
        <v>209089</v>
      </c>
      <c r="E29" s="262">
        <v>2641</v>
      </c>
      <c r="F29" s="354" t="s">
        <v>162</v>
      </c>
      <c r="G29" s="354" t="s">
        <v>185</v>
      </c>
      <c r="H29" s="355">
        <v>500</v>
      </c>
      <c r="I29" s="128">
        <f t="shared" si="0"/>
        <v>63.904</v>
      </c>
      <c r="J29" s="356">
        <v>40015.24513888889</v>
      </c>
      <c r="K29" s="147">
        <v>40015.65416666667</v>
      </c>
      <c r="L29" s="357">
        <f t="shared" si="1"/>
        <v>9.816666666709352</v>
      </c>
      <c r="M29" s="358">
        <f t="shared" si="2"/>
        <v>589</v>
      </c>
      <c r="N29" s="208" t="s">
        <v>137</v>
      </c>
      <c r="O29" s="209" t="s">
        <v>117</v>
      </c>
      <c r="P29" s="588">
        <f t="shared" si="4"/>
        <v>200</v>
      </c>
      <c r="Q29" s="722" t="str">
        <f t="shared" si="5"/>
        <v>--</v>
      </c>
      <c r="R29" s="181" t="str">
        <f t="shared" si="6"/>
        <v>--</v>
      </c>
      <c r="S29" s="351">
        <f t="shared" si="7"/>
        <v>125507.45600000002</v>
      </c>
      <c r="T29" s="728" t="s">
        <v>117</v>
      </c>
      <c r="U29" s="209" t="str">
        <f t="shared" si="8"/>
        <v>SI</v>
      </c>
      <c r="V29" s="359">
        <f t="shared" si="9"/>
        <v>125507.45600000002</v>
      </c>
      <c r="W29" s="6"/>
    </row>
    <row r="30" spans="2:23" s="5" customFormat="1" ht="16.5" customHeight="1">
      <c r="B30" s="50"/>
      <c r="C30" s="262">
        <v>63</v>
      </c>
      <c r="D30" s="262">
        <v>209093</v>
      </c>
      <c r="E30" s="149">
        <v>2642</v>
      </c>
      <c r="F30" s="354" t="s">
        <v>162</v>
      </c>
      <c r="G30" s="354" t="s">
        <v>186</v>
      </c>
      <c r="H30" s="355">
        <v>500</v>
      </c>
      <c r="I30" s="128">
        <f t="shared" si="0"/>
        <v>63.904</v>
      </c>
      <c r="J30" s="356">
        <v>40015.36319444444</v>
      </c>
      <c r="K30" s="147">
        <v>40015.376388888886</v>
      </c>
      <c r="L30" s="357">
        <f t="shared" si="1"/>
        <v>0.3166666666511446</v>
      </c>
      <c r="M30" s="358">
        <f t="shared" si="2"/>
        <v>19</v>
      </c>
      <c r="N30" s="208" t="s">
        <v>137</v>
      </c>
      <c r="O30" s="209" t="str">
        <f t="shared" si="3"/>
        <v>NO</v>
      </c>
      <c r="P30" s="588">
        <f t="shared" si="4"/>
        <v>200</v>
      </c>
      <c r="Q30" s="722" t="str">
        <f t="shared" si="5"/>
        <v>--</v>
      </c>
      <c r="R30" s="181">
        <f t="shared" si="6"/>
        <v>12780.800000000001</v>
      </c>
      <c r="S30" s="351">
        <f t="shared" si="7"/>
        <v>4089.856</v>
      </c>
      <c r="T30" s="728" t="s">
        <v>117</v>
      </c>
      <c r="U30" s="209" t="str">
        <f t="shared" si="8"/>
        <v>SI</v>
      </c>
      <c r="V30" s="359">
        <f t="shared" si="9"/>
        <v>16870.656000000003</v>
      </c>
      <c r="W30" s="6"/>
    </row>
    <row r="31" spans="2:23" s="5" customFormat="1" ht="16.5" customHeight="1">
      <c r="B31" s="50"/>
      <c r="C31" s="262">
        <v>64</v>
      </c>
      <c r="D31" s="262">
        <v>209094</v>
      </c>
      <c r="E31" s="262">
        <v>2642</v>
      </c>
      <c r="F31" s="354" t="s">
        <v>162</v>
      </c>
      <c r="G31" s="354" t="s">
        <v>186</v>
      </c>
      <c r="H31" s="355">
        <v>500</v>
      </c>
      <c r="I31" s="128">
        <f t="shared" si="0"/>
        <v>63.904</v>
      </c>
      <c r="J31" s="356">
        <v>40015.43194444444</v>
      </c>
      <c r="K31" s="147">
        <v>40015.64791666667</v>
      </c>
      <c r="L31" s="357">
        <f t="shared" si="1"/>
        <v>5.183333333465271</v>
      </c>
      <c r="M31" s="358">
        <f t="shared" si="2"/>
        <v>311</v>
      </c>
      <c r="N31" s="208" t="s">
        <v>137</v>
      </c>
      <c r="O31" s="209" t="str">
        <f t="shared" si="3"/>
        <v>NO</v>
      </c>
      <c r="P31" s="588">
        <f t="shared" si="4"/>
        <v>200</v>
      </c>
      <c r="Q31" s="722" t="str">
        <f t="shared" si="5"/>
        <v>--</v>
      </c>
      <c r="R31" s="181">
        <f t="shared" si="6"/>
        <v>12780.800000000001</v>
      </c>
      <c r="S31" s="351">
        <f t="shared" si="7"/>
        <v>66204.54400000001</v>
      </c>
      <c r="T31" s="728" t="s">
        <v>117</v>
      </c>
      <c r="U31" s="209" t="str">
        <f t="shared" si="8"/>
        <v>SI</v>
      </c>
      <c r="V31" s="359">
        <f t="shared" si="9"/>
        <v>78985.34400000001</v>
      </c>
      <c r="W31" s="6"/>
    </row>
    <row r="32" spans="2:23" s="5" customFormat="1" ht="16.5" customHeight="1">
      <c r="B32" s="50"/>
      <c r="C32" s="262">
        <v>65</v>
      </c>
      <c r="D32" s="262">
        <v>209095</v>
      </c>
      <c r="E32" s="149">
        <v>2768</v>
      </c>
      <c r="F32" s="354" t="s">
        <v>162</v>
      </c>
      <c r="G32" s="354" t="s">
        <v>187</v>
      </c>
      <c r="H32" s="355">
        <v>500</v>
      </c>
      <c r="I32" s="128">
        <f t="shared" si="0"/>
        <v>63.904</v>
      </c>
      <c r="J32" s="356">
        <v>40015.50625</v>
      </c>
      <c r="K32" s="147">
        <v>40015.66180555556</v>
      </c>
      <c r="L32" s="357">
        <f t="shared" si="1"/>
        <v>3.733333333453629</v>
      </c>
      <c r="M32" s="358">
        <f t="shared" si="2"/>
        <v>224</v>
      </c>
      <c r="N32" s="208" t="s">
        <v>137</v>
      </c>
      <c r="O32" s="209" t="s">
        <v>117</v>
      </c>
      <c r="P32" s="588">
        <f t="shared" si="4"/>
        <v>200</v>
      </c>
      <c r="Q32" s="722" t="str">
        <f t="shared" si="5"/>
        <v>--</v>
      </c>
      <c r="R32" s="181" t="str">
        <f t="shared" si="6"/>
        <v>--</v>
      </c>
      <c r="S32" s="351">
        <f t="shared" si="7"/>
        <v>47672.384000000005</v>
      </c>
      <c r="T32" s="728" t="s">
        <v>117</v>
      </c>
      <c r="U32" s="209" t="str">
        <f t="shared" si="8"/>
        <v>SI</v>
      </c>
      <c r="V32" s="359">
        <f t="shared" si="9"/>
        <v>47672.384000000005</v>
      </c>
      <c r="W32" s="6"/>
    </row>
    <row r="33" spans="2:23" s="5" customFormat="1" ht="16.5" customHeight="1">
      <c r="B33" s="50"/>
      <c r="C33" s="262">
        <v>66</v>
      </c>
      <c r="D33" s="262">
        <v>209101</v>
      </c>
      <c r="E33" s="262">
        <v>1602</v>
      </c>
      <c r="F33" s="354" t="s">
        <v>176</v>
      </c>
      <c r="G33" s="354" t="s">
        <v>188</v>
      </c>
      <c r="H33" s="355">
        <v>132</v>
      </c>
      <c r="I33" s="128">
        <f t="shared" si="0"/>
        <v>51.126</v>
      </c>
      <c r="J33" s="356">
        <v>40016.373611111114</v>
      </c>
      <c r="K33" s="147">
        <v>40016.70972222222</v>
      </c>
      <c r="L33" s="357">
        <f t="shared" si="1"/>
        <v>8.066666666592937</v>
      </c>
      <c r="M33" s="358">
        <f t="shared" si="2"/>
        <v>484</v>
      </c>
      <c r="N33" s="208" t="s">
        <v>134</v>
      </c>
      <c r="O33" s="209" t="str">
        <f t="shared" si="3"/>
        <v>--</v>
      </c>
      <c r="P33" s="588">
        <f t="shared" si="4"/>
        <v>40</v>
      </c>
      <c r="Q33" s="722">
        <f t="shared" si="5"/>
        <v>1650.34728</v>
      </c>
      <c r="R33" s="181" t="str">
        <f t="shared" si="6"/>
        <v>--</v>
      </c>
      <c r="S33" s="351" t="str">
        <f t="shared" si="7"/>
        <v>--</v>
      </c>
      <c r="T33" s="728" t="s">
        <v>117</v>
      </c>
      <c r="U33" s="209" t="str">
        <f t="shared" si="8"/>
        <v>SI</v>
      </c>
      <c r="V33" s="359">
        <v>0</v>
      </c>
      <c r="W33" s="6"/>
    </row>
    <row r="34" spans="2:23" s="5" customFormat="1" ht="16.5" customHeight="1">
      <c r="B34" s="50"/>
      <c r="C34" s="262">
        <v>67</v>
      </c>
      <c r="D34" s="262">
        <v>209102</v>
      </c>
      <c r="E34" s="149">
        <v>2641</v>
      </c>
      <c r="F34" s="354" t="s">
        <v>162</v>
      </c>
      <c r="G34" s="354" t="s">
        <v>185</v>
      </c>
      <c r="H34" s="355">
        <v>500</v>
      </c>
      <c r="I34" s="128">
        <f t="shared" si="0"/>
        <v>63.904</v>
      </c>
      <c r="J34" s="356">
        <v>40016.50902777778</v>
      </c>
      <c r="K34" s="147">
        <v>40016.64444444444</v>
      </c>
      <c r="L34" s="357">
        <f t="shared" si="1"/>
        <v>3.2499999999417923</v>
      </c>
      <c r="M34" s="358">
        <f t="shared" si="2"/>
        <v>195</v>
      </c>
      <c r="N34" s="208" t="s">
        <v>134</v>
      </c>
      <c r="O34" s="209" t="str">
        <f t="shared" si="3"/>
        <v>--</v>
      </c>
      <c r="P34" s="588">
        <f t="shared" si="4"/>
        <v>200</v>
      </c>
      <c r="Q34" s="722">
        <f t="shared" si="5"/>
        <v>4153.760000000001</v>
      </c>
      <c r="R34" s="181" t="str">
        <f t="shared" si="6"/>
        <v>--</v>
      </c>
      <c r="S34" s="351" t="str">
        <f t="shared" si="7"/>
        <v>--</v>
      </c>
      <c r="T34" s="728" t="s">
        <v>117</v>
      </c>
      <c r="U34" s="209" t="str">
        <f t="shared" si="8"/>
        <v>SI</v>
      </c>
      <c r="V34" s="359">
        <f t="shared" si="9"/>
        <v>4153.760000000001</v>
      </c>
      <c r="W34" s="6"/>
    </row>
    <row r="35" spans="2:23" s="5" customFormat="1" ht="16.5" customHeight="1">
      <c r="B35" s="50"/>
      <c r="C35" s="262">
        <v>68</v>
      </c>
      <c r="D35" s="262">
        <v>209116</v>
      </c>
      <c r="E35" s="262">
        <v>3815</v>
      </c>
      <c r="F35" s="354" t="s">
        <v>176</v>
      </c>
      <c r="G35" s="354" t="s">
        <v>177</v>
      </c>
      <c r="H35" s="355">
        <v>500</v>
      </c>
      <c r="I35" s="128">
        <f t="shared" si="0"/>
        <v>63.904</v>
      </c>
      <c r="J35" s="356">
        <v>40020.31041666667</v>
      </c>
      <c r="K35" s="147">
        <v>40020.643055555556</v>
      </c>
      <c r="L35" s="357">
        <f t="shared" si="1"/>
        <v>7.983333333337214</v>
      </c>
      <c r="M35" s="358">
        <f t="shared" si="2"/>
        <v>479</v>
      </c>
      <c r="N35" s="208" t="s">
        <v>134</v>
      </c>
      <c r="O35" s="209" t="str">
        <f t="shared" si="3"/>
        <v>--</v>
      </c>
      <c r="P35" s="588">
        <f t="shared" si="4"/>
        <v>200</v>
      </c>
      <c r="Q35" s="722">
        <f t="shared" si="5"/>
        <v>10199.078400000002</v>
      </c>
      <c r="R35" s="181" t="str">
        <f t="shared" si="6"/>
        <v>--</v>
      </c>
      <c r="S35" s="351" t="str">
        <f t="shared" si="7"/>
        <v>--</v>
      </c>
      <c r="T35" s="728" t="s">
        <v>117</v>
      </c>
      <c r="U35" s="209" t="str">
        <f t="shared" si="8"/>
        <v>SI</v>
      </c>
      <c r="V35" s="359">
        <v>0</v>
      </c>
      <c r="W35" s="6"/>
    </row>
    <row r="36" spans="2:23" s="5" customFormat="1" ht="16.5" customHeight="1">
      <c r="B36" s="50"/>
      <c r="C36" s="262">
        <v>69</v>
      </c>
      <c r="D36" s="262">
        <v>209117</v>
      </c>
      <c r="E36" s="149">
        <v>122</v>
      </c>
      <c r="F36" s="354" t="s">
        <v>167</v>
      </c>
      <c r="G36" s="354" t="s">
        <v>189</v>
      </c>
      <c r="H36" s="355">
        <v>132</v>
      </c>
      <c r="I36" s="128">
        <f t="shared" si="0"/>
        <v>51.126</v>
      </c>
      <c r="J36" s="356">
        <v>40020.33611111111</v>
      </c>
      <c r="K36" s="147">
        <v>40020.59305555555</v>
      </c>
      <c r="L36" s="357">
        <f t="shared" si="1"/>
        <v>6.166666666686069</v>
      </c>
      <c r="M36" s="358">
        <f t="shared" si="2"/>
        <v>370</v>
      </c>
      <c r="N36" s="208" t="s">
        <v>134</v>
      </c>
      <c r="O36" s="209" t="str">
        <f t="shared" si="3"/>
        <v>--</v>
      </c>
      <c r="P36" s="588">
        <f t="shared" si="4"/>
        <v>40</v>
      </c>
      <c r="Q36" s="722">
        <f t="shared" si="5"/>
        <v>1261.78968</v>
      </c>
      <c r="R36" s="181" t="str">
        <f t="shared" si="6"/>
        <v>--</v>
      </c>
      <c r="S36" s="351" t="str">
        <f t="shared" si="7"/>
        <v>--</v>
      </c>
      <c r="T36" s="728" t="s">
        <v>117</v>
      </c>
      <c r="U36" s="209" t="str">
        <f t="shared" si="8"/>
        <v>SI</v>
      </c>
      <c r="V36" s="359">
        <v>0</v>
      </c>
      <c r="W36" s="6"/>
    </row>
    <row r="37" spans="2:23" s="5" customFormat="1" ht="16.5" customHeight="1">
      <c r="B37" s="50"/>
      <c r="C37" s="262">
        <v>70</v>
      </c>
      <c r="D37" s="262">
        <v>209375</v>
      </c>
      <c r="E37" s="262">
        <v>146</v>
      </c>
      <c r="F37" s="354" t="s">
        <v>164</v>
      </c>
      <c r="G37" s="354" t="s">
        <v>190</v>
      </c>
      <c r="H37" s="355">
        <v>132</v>
      </c>
      <c r="I37" s="128">
        <f t="shared" si="0"/>
        <v>51.126</v>
      </c>
      <c r="J37" s="356">
        <v>40022.33611111111</v>
      </c>
      <c r="K37" s="147">
        <v>40022.73055555556</v>
      </c>
      <c r="L37" s="357">
        <f t="shared" si="1"/>
        <v>9.466666666790843</v>
      </c>
      <c r="M37" s="358">
        <f t="shared" si="2"/>
        <v>568</v>
      </c>
      <c r="N37" s="208" t="s">
        <v>134</v>
      </c>
      <c r="O37" s="209" t="str">
        <f t="shared" si="3"/>
        <v>--</v>
      </c>
      <c r="P37" s="588">
        <f t="shared" si="4"/>
        <v>40</v>
      </c>
      <c r="Q37" s="722">
        <f t="shared" si="5"/>
        <v>1936.65288</v>
      </c>
      <c r="R37" s="181" t="str">
        <f t="shared" si="6"/>
        <v>--</v>
      </c>
      <c r="S37" s="351" t="str">
        <f t="shared" si="7"/>
        <v>--</v>
      </c>
      <c r="T37" s="728" t="s">
        <v>117</v>
      </c>
      <c r="U37" s="209" t="str">
        <f t="shared" si="8"/>
        <v>SI</v>
      </c>
      <c r="V37" s="359">
        <v>0</v>
      </c>
      <c r="W37" s="6"/>
    </row>
    <row r="38" spans="2:23" s="5" customFormat="1" ht="16.5" customHeight="1">
      <c r="B38" s="50"/>
      <c r="C38" s="262">
        <v>71</v>
      </c>
      <c r="D38" s="262">
        <v>209376</v>
      </c>
      <c r="E38" s="149">
        <v>120</v>
      </c>
      <c r="F38" s="354" t="s">
        <v>167</v>
      </c>
      <c r="G38" s="354" t="s">
        <v>191</v>
      </c>
      <c r="H38" s="355">
        <v>132</v>
      </c>
      <c r="I38" s="128">
        <f t="shared" si="0"/>
        <v>51.126</v>
      </c>
      <c r="J38" s="356">
        <v>40022.373611111114</v>
      </c>
      <c r="K38" s="147">
        <v>40022.725</v>
      </c>
      <c r="L38" s="357">
        <f t="shared" si="1"/>
        <v>8.43333333323244</v>
      </c>
      <c r="M38" s="358">
        <f t="shared" si="2"/>
        <v>506</v>
      </c>
      <c r="N38" s="208" t="s">
        <v>134</v>
      </c>
      <c r="O38" s="209" t="str">
        <f t="shared" si="3"/>
        <v>--</v>
      </c>
      <c r="P38" s="588">
        <f t="shared" si="4"/>
        <v>40</v>
      </c>
      <c r="Q38" s="722">
        <f t="shared" si="5"/>
        <v>1723.96872</v>
      </c>
      <c r="R38" s="181" t="str">
        <f t="shared" si="6"/>
        <v>--</v>
      </c>
      <c r="S38" s="351" t="str">
        <f t="shared" si="7"/>
        <v>--</v>
      </c>
      <c r="T38" s="728" t="s">
        <v>117</v>
      </c>
      <c r="U38" s="209" t="str">
        <f t="shared" si="8"/>
        <v>SI</v>
      </c>
      <c r="V38" s="359">
        <f t="shared" si="9"/>
        <v>1723.96872</v>
      </c>
      <c r="W38" s="6"/>
    </row>
    <row r="39" spans="2:23" s="5" customFormat="1" ht="16.5" customHeight="1">
      <c r="B39" s="50"/>
      <c r="C39" s="262">
        <v>72</v>
      </c>
      <c r="D39" s="262">
        <v>209378</v>
      </c>
      <c r="E39" s="262">
        <v>135</v>
      </c>
      <c r="F39" s="354" t="s">
        <v>155</v>
      </c>
      <c r="G39" s="354" t="s">
        <v>192</v>
      </c>
      <c r="H39" s="355">
        <v>132</v>
      </c>
      <c r="I39" s="128">
        <f t="shared" si="0"/>
        <v>51.126</v>
      </c>
      <c r="J39" s="356">
        <v>40022.39166666667</v>
      </c>
      <c r="K39" s="147">
        <v>40022.48125</v>
      </c>
      <c r="L39" s="357">
        <f t="shared" si="1"/>
        <v>2.14999999984866</v>
      </c>
      <c r="M39" s="358">
        <f t="shared" si="2"/>
        <v>129</v>
      </c>
      <c r="N39" s="208" t="s">
        <v>134</v>
      </c>
      <c r="O39" s="209" t="str">
        <f t="shared" si="3"/>
        <v>--</v>
      </c>
      <c r="P39" s="588">
        <f t="shared" si="4"/>
        <v>40</v>
      </c>
      <c r="Q39" s="722">
        <f t="shared" si="5"/>
        <v>439.68359999999996</v>
      </c>
      <c r="R39" s="181" t="str">
        <f t="shared" si="6"/>
        <v>--</v>
      </c>
      <c r="S39" s="351" t="str">
        <f t="shared" si="7"/>
        <v>--</v>
      </c>
      <c r="T39" s="728" t="s">
        <v>117</v>
      </c>
      <c r="U39" s="209" t="str">
        <f t="shared" si="8"/>
        <v>SI</v>
      </c>
      <c r="V39" s="359">
        <f t="shared" si="9"/>
        <v>439.68359999999996</v>
      </c>
      <c r="W39" s="6"/>
    </row>
    <row r="40" spans="2:23" s="5" customFormat="1" ht="16.5" customHeight="1">
      <c r="B40" s="50"/>
      <c r="C40" s="262">
        <v>73</v>
      </c>
      <c r="D40" s="262">
        <v>209380</v>
      </c>
      <c r="E40" s="149">
        <v>143</v>
      </c>
      <c r="F40" s="354" t="s">
        <v>164</v>
      </c>
      <c r="G40" s="354" t="s">
        <v>178</v>
      </c>
      <c r="H40" s="355">
        <v>132</v>
      </c>
      <c r="I40" s="128">
        <f t="shared" si="0"/>
        <v>51.126</v>
      </c>
      <c r="J40" s="356">
        <v>40023.336805555555</v>
      </c>
      <c r="K40" s="147">
        <v>40023.54513888889</v>
      </c>
      <c r="L40" s="357">
        <f t="shared" si="1"/>
        <v>5.000000000058208</v>
      </c>
      <c r="M40" s="358">
        <f t="shared" si="2"/>
        <v>300</v>
      </c>
      <c r="N40" s="208" t="s">
        <v>134</v>
      </c>
      <c r="O40" s="209" t="str">
        <f t="shared" si="3"/>
        <v>--</v>
      </c>
      <c r="P40" s="588">
        <f t="shared" si="4"/>
        <v>40</v>
      </c>
      <c r="Q40" s="722">
        <f t="shared" si="5"/>
        <v>1022.5200000000001</v>
      </c>
      <c r="R40" s="181" t="str">
        <f t="shared" si="6"/>
        <v>--</v>
      </c>
      <c r="S40" s="351" t="str">
        <f t="shared" si="7"/>
        <v>--</v>
      </c>
      <c r="T40" s="728" t="s">
        <v>117</v>
      </c>
      <c r="U40" s="209" t="str">
        <f t="shared" si="8"/>
        <v>SI</v>
      </c>
      <c r="V40" s="359">
        <v>0</v>
      </c>
      <c r="W40" s="6"/>
    </row>
    <row r="41" spans="2:23" s="5" customFormat="1" ht="16.5" customHeight="1">
      <c r="B41" s="50"/>
      <c r="C41" s="262">
        <v>74</v>
      </c>
      <c r="D41" s="262">
        <v>209384</v>
      </c>
      <c r="E41" s="262">
        <v>112</v>
      </c>
      <c r="F41" s="354" t="s">
        <v>153</v>
      </c>
      <c r="G41" s="354" t="s">
        <v>193</v>
      </c>
      <c r="H41" s="355">
        <v>132</v>
      </c>
      <c r="I41" s="128">
        <f t="shared" si="0"/>
        <v>51.126</v>
      </c>
      <c r="J41" s="356">
        <v>40023.404861111114</v>
      </c>
      <c r="K41" s="147">
        <v>40023.49236111111</v>
      </c>
      <c r="L41" s="357">
        <f t="shared" si="1"/>
        <v>2.0999999998603016</v>
      </c>
      <c r="M41" s="358">
        <f t="shared" si="2"/>
        <v>126</v>
      </c>
      <c r="N41" s="208" t="s">
        <v>134</v>
      </c>
      <c r="O41" s="209" t="str">
        <f t="shared" si="3"/>
        <v>--</v>
      </c>
      <c r="P41" s="588">
        <f t="shared" si="4"/>
        <v>40</v>
      </c>
      <c r="Q41" s="722">
        <f t="shared" si="5"/>
        <v>429.4584</v>
      </c>
      <c r="R41" s="181" t="str">
        <f t="shared" si="6"/>
        <v>--</v>
      </c>
      <c r="S41" s="351" t="str">
        <f t="shared" si="7"/>
        <v>--</v>
      </c>
      <c r="T41" s="728" t="s">
        <v>117</v>
      </c>
      <c r="U41" s="209" t="str">
        <f t="shared" si="8"/>
        <v>SI</v>
      </c>
      <c r="V41" s="359">
        <v>0</v>
      </c>
      <c r="W41" s="6"/>
    </row>
    <row r="42" spans="2:23" s="5" customFormat="1" ht="16.5" customHeight="1">
      <c r="B42" s="50"/>
      <c r="C42" s="262">
        <v>75</v>
      </c>
      <c r="D42" s="262">
        <v>209385</v>
      </c>
      <c r="E42" s="149">
        <v>3804</v>
      </c>
      <c r="F42" s="354" t="s">
        <v>172</v>
      </c>
      <c r="G42" s="354" t="s">
        <v>173</v>
      </c>
      <c r="H42" s="355">
        <v>132</v>
      </c>
      <c r="I42" s="128">
        <f t="shared" si="0"/>
        <v>51.126</v>
      </c>
      <c r="J42" s="356">
        <v>40023.40694444445</v>
      </c>
      <c r="K42" s="147">
        <v>40023.552777777775</v>
      </c>
      <c r="L42" s="357">
        <f t="shared" si="1"/>
        <v>3.4999999998835847</v>
      </c>
      <c r="M42" s="358">
        <f t="shared" si="2"/>
        <v>210</v>
      </c>
      <c r="N42" s="208" t="s">
        <v>134</v>
      </c>
      <c r="O42" s="209" t="str">
        <f t="shared" si="3"/>
        <v>--</v>
      </c>
      <c r="P42" s="588">
        <f t="shared" si="4"/>
        <v>40</v>
      </c>
      <c r="Q42" s="722">
        <f t="shared" si="5"/>
        <v>715.764</v>
      </c>
      <c r="R42" s="181" t="str">
        <f t="shared" si="6"/>
        <v>--</v>
      </c>
      <c r="S42" s="351" t="str">
        <f t="shared" si="7"/>
        <v>--</v>
      </c>
      <c r="T42" s="728" t="s">
        <v>117</v>
      </c>
      <c r="U42" s="209" t="str">
        <f t="shared" si="8"/>
        <v>SI</v>
      </c>
      <c r="V42" s="359">
        <v>0</v>
      </c>
      <c r="W42" s="6"/>
    </row>
    <row r="43" spans="2:23" s="5" customFormat="1" ht="16.5" customHeight="1">
      <c r="B43" s="50"/>
      <c r="C43" s="262">
        <v>76</v>
      </c>
      <c r="D43" s="262">
        <v>209389</v>
      </c>
      <c r="E43" s="262">
        <v>3664</v>
      </c>
      <c r="F43" s="354" t="s">
        <v>194</v>
      </c>
      <c r="G43" s="354" t="s">
        <v>195</v>
      </c>
      <c r="H43" s="355">
        <v>132</v>
      </c>
      <c r="I43" s="128">
        <f t="shared" si="0"/>
        <v>51.126</v>
      </c>
      <c r="J43" s="356">
        <v>40024.03402777778</v>
      </c>
      <c r="K43" s="147">
        <v>40024.05694444444</v>
      </c>
      <c r="L43" s="357">
        <f t="shared" si="1"/>
        <v>0.5499999998719431</v>
      </c>
      <c r="M43" s="358">
        <f t="shared" si="2"/>
        <v>33</v>
      </c>
      <c r="N43" s="208" t="s">
        <v>134</v>
      </c>
      <c r="O43" s="209" t="str">
        <f t="shared" si="3"/>
        <v>--</v>
      </c>
      <c r="P43" s="588">
        <f t="shared" si="4"/>
        <v>40</v>
      </c>
      <c r="Q43" s="722">
        <f t="shared" si="5"/>
        <v>112.47720000000002</v>
      </c>
      <c r="R43" s="181" t="str">
        <f t="shared" si="6"/>
        <v>--</v>
      </c>
      <c r="S43" s="351" t="str">
        <f t="shared" si="7"/>
        <v>--</v>
      </c>
      <c r="T43" s="728" t="s">
        <v>117</v>
      </c>
      <c r="U43" s="209" t="str">
        <f t="shared" si="8"/>
        <v>SI</v>
      </c>
      <c r="V43" s="359">
        <v>0</v>
      </c>
      <c r="W43" s="6"/>
    </row>
    <row r="44" spans="2:23" s="5" customFormat="1" ht="16.5" customHeight="1" thickBot="1">
      <c r="B44" s="50"/>
      <c r="C44" s="216"/>
      <c r="D44" s="216"/>
      <c r="E44" s="216"/>
      <c r="F44" s="216"/>
      <c r="G44" s="216"/>
      <c r="H44" s="216"/>
      <c r="I44" s="129"/>
      <c r="J44" s="360"/>
      <c r="K44" s="360"/>
      <c r="L44" s="361"/>
      <c r="M44" s="361"/>
      <c r="N44" s="360"/>
      <c r="O44" s="148"/>
      <c r="P44" s="362"/>
      <c r="Q44" s="363"/>
      <c r="R44" s="364"/>
      <c r="S44" s="365"/>
      <c r="T44" s="154"/>
      <c r="U44" s="148"/>
      <c r="V44" s="366"/>
      <c r="W44" s="6"/>
    </row>
    <row r="45" spans="2:23" s="5" customFormat="1" ht="16.5" customHeight="1" thickBot="1" thickTop="1">
      <c r="B45" s="50"/>
      <c r="C45" s="125" t="s">
        <v>23</v>
      </c>
      <c r="D45" s="730" t="s">
        <v>216</v>
      </c>
      <c r="E45" s="125"/>
      <c r="F45" s="126"/>
      <c r="G45"/>
      <c r="H45" s="4"/>
      <c r="I45" s="4"/>
      <c r="J45" s="4"/>
      <c r="K45" s="4"/>
      <c r="L45" s="4"/>
      <c r="M45" s="4"/>
      <c r="N45" s="4"/>
      <c r="O45" s="4"/>
      <c r="P45" s="4"/>
      <c r="Q45" s="367">
        <f>SUM(Q22:Q44)</f>
        <v>29713.133840000006</v>
      </c>
      <c r="R45" s="368">
        <f>SUM(R22:R44)</f>
        <v>25561.600000000002</v>
      </c>
      <c r="S45" s="369">
        <f>SUM(S22:S44)</f>
        <v>249466.20720000006</v>
      </c>
      <c r="T45" s="370">
        <f>SUM(T22:T44)</f>
        <v>0</v>
      </c>
      <c r="U45" s="371"/>
      <c r="V45" s="98">
        <f>ROUND(SUM(V22:V44),2)</f>
        <v>306242.21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68"/>
      <c r="X47" s="168"/>
      <c r="Y47" s="168"/>
    </row>
    <row r="48" spans="23:25" ht="16.5" customHeight="1">
      <c r="W48" s="168"/>
      <c r="X48" s="168"/>
      <c r="Y48" s="168"/>
    </row>
    <row r="49" spans="23:25" ht="16.5" customHeight="1">
      <c r="W49" s="168"/>
      <c r="X49" s="168"/>
      <c r="Y49" s="168"/>
    </row>
    <row r="50" spans="23:25" ht="16.5" customHeight="1">
      <c r="W50" s="168"/>
      <c r="X50" s="168"/>
      <c r="Y50" s="168"/>
    </row>
    <row r="51" spans="23:25" ht="16.5" customHeight="1">
      <c r="W51" s="168"/>
      <c r="X51" s="168"/>
      <c r="Y51" s="168"/>
    </row>
    <row r="52" spans="6:25" ht="16.5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</row>
    <row r="53" spans="6:25" ht="16.5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</row>
    <row r="54" spans="6:25" ht="16.5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</row>
    <row r="55" spans="6:25" ht="16.5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</row>
    <row r="56" spans="6:25" ht="16.5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6:25" ht="16.5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</row>
    <row r="58" spans="6:25" ht="16.5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</row>
    <row r="59" spans="6:25" ht="16.5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6:25" ht="16.5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6:25" ht="16.5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</row>
    <row r="62" spans="6:25" ht="16.5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</row>
    <row r="63" spans="6:25" ht="16.5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</row>
    <row r="64" spans="6:25" ht="16.5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</row>
    <row r="65" spans="6:25" ht="16.5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</row>
    <row r="66" spans="6:25" ht="16.5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</row>
    <row r="67" spans="6:25" ht="16.5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</row>
    <row r="68" spans="6:25" ht="16.5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</row>
    <row r="69" spans="6:25" ht="16.5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</row>
    <row r="70" spans="6:25" ht="16.5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</row>
    <row r="71" spans="6:25" ht="16.5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</row>
    <row r="72" spans="6:25" ht="16.5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</row>
    <row r="73" spans="6:25" ht="16.5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</row>
    <row r="74" spans="6:25" ht="16.5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</row>
    <row r="75" spans="6:25" ht="16.5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</row>
    <row r="76" spans="6:25" ht="16.5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</row>
    <row r="77" spans="6:25" ht="16.5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</row>
    <row r="78" spans="6:25" ht="16.5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</row>
    <row r="79" spans="6:25" ht="16.5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</row>
    <row r="80" spans="6:25" ht="16.5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</row>
    <row r="81" spans="6:25" ht="16.5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</row>
    <row r="82" spans="6:25" ht="16.5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</row>
    <row r="83" spans="6:25" ht="16.5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</row>
    <row r="84" spans="6:25" ht="16.5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</row>
    <row r="85" spans="6:25" ht="16.5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6:25" ht="16.5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</row>
    <row r="87" spans="6:25" ht="16.5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</row>
    <row r="88" spans="6:25" ht="16.5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</row>
    <row r="89" spans="6:25" ht="16.5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</row>
    <row r="90" spans="6:25" ht="16.5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</row>
    <row r="91" spans="6:25" ht="16.5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</row>
    <row r="92" spans="6:25" ht="16.5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</row>
    <row r="93" spans="6:25" ht="16.5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</row>
    <row r="94" spans="6:25" ht="16.5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</row>
    <row r="95" spans="6:25" ht="16.5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</row>
    <row r="96" spans="6:25" ht="16.5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</row>
    <row r="97" spans="6:25" ht="16.5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</row>
    <row r="98" spans="6:25" ht="16.5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</row>
    <row r="99" spans="6:25" ht="16.5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</row>
    <row r="100" spans="6:25" ht="16.5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</row>
    <row r="101" spans="6:25" ht="16.5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</row>
    <row r="102" spans="6:25" ht="16.5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</row>
    <row r="103" spans="6:25" ht="16.5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</row>
    <row r="104" spans="6:25" ht="16.5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</row>
    <row r="105" spans="6:25" ht="16.5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</row>
    <row r="106" spans="6:25" ht="16.5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</row>
    <row r="107" spans="6:25" ht="16.5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</row>
    <row r="108" spans="6:25" ht="16.5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</row>
    <row r="109" spans="6:25" ht="16.5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</row>
    <row r="110" spans="6:25" ht="16.5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</row>
    <row r="111" spans="6:25" ht="16.5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</row>
    <row r="112" spans="6:25" ht="16.5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</row>
    <row r="113" spans="6:25" ht="16.5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</row>
    <row r="114" spans="6:25" ht="16.5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</row>
    <row r="115" spans="6:25" ht="16.5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</row>
    <row r="116" spans="6:25" ht="16.5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</row>
    <row r="117" spans="6:25" ht="16.5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</row>
    <row r="118" spans="6:25" ht="16.5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</row>
    <row r="119" spans="6:25" ht="16.5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</row>
    <row r="120" spans="6:25" ht="16.5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</row>
    <row r="121" spans="6:25" ht="16.5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</row>
    <row r="122" spans="6:25" ht="16.5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</row>
    <row r="123" spans="6:25" ht="16.5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6:25" ht="16.5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6:25" ht="16.5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6:25" ht="16.5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6:25" ht="16.5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6:25" ht="16.5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6:25" ht="16.5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6:25" ht="16.5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6:25" ht="16.5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6:25" ht="16.5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6:25" ht="16.5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6:25" ht="16.5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6:25" ht="16.5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6:25" ht="16.5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6:25" ht="16.5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6:25" ht="16.5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6:25" ht="16.5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6:25" ht="16.5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6:25" ht="16.5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6:25" ht="16.5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6:25" ht="16.5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6:25" ht="16.5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6:25" ht="16.5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6:25" ht="16.5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6:25" ht="16.5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6:25" ht="16.5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6:25" ht="16.5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6:25" ht="16.5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6:25" ht="16.5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6:25" ht="16.5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6:25" ht="16.5" customHeight="1"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6:25" ht="16.5" customHeight="1"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6:25" ht="16.5" customHeight="1"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6:25" ht="16.5" customHeight="1"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6:25" ht="16.5" customHeight="1"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6:25" ht="16.5" customHeight="1"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6:25" ht="16.5" customHeight="1"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Y159"/>
  <sheetViews>
    <sheetView zoomScale="70" zoomScaleNormal="70" workbookViewId="0" topLeftCell="A1">
      <selection activeCell="L23" sqref="L23"/>
    </sheetView>
  </sheetViews>
  <sheetFormatPr defaultColWidth="11.421875" defaultRowHeight="16.5" customHeight="1"/>
  <cols>
    <col min="1" max="2" width="4.140625" style="0" customWidth="1"/>
    <col min="3" max="3" width="5.421875" style="0" customWidth="1"/>
    <col min="4" max="5" width="13.574218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4.28125" style="0" hidden="1" customWidth="1"/>
    <col min="10" max="11" width="15.7109375" style="0" customWidth="1"/>
    <col min="12" max="14" width="9.7109375" style="0" customWidth="1"/>
    <col min="15" max="15" width="6.421875" style="0" customWidth="1"/>
    <col min="16" max="16" width="12.00390625" style="0" hidden="1" customWidth="1"/>
    <col min="17" max="17" width="16.28125" style="0" hidden="1" customWidth="1"/>
    <col min="18" max="18" width="17.140625" style="0" hidden="1" customWidth="1"/>
    <col min="19" max="20" width="15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8" customFormat="1" ht="26.25">
      <c r="W1" s="141"/>
    </row>
    <row r="2" spans="1:23" s="18" customFormat="1" ht="26.25">
      <c r="A2" s="89"/>
      <c r="B2" s="19" t="str">
        <f>+'TOT-0709'!B2</f>
        <v>ANEXO II al Memorándum D.T.E.E. N° 256 /2011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="5" customFormat="1" ht="12.75">
      <c r="A3" s="88"/>
    </row>
    <row r="4" spans="1:4" s="25" customFormat="1" ht="11.25">
      <c r="A4" s="23" t="s">
        <v>1</v>
      </c>
      <c r="B4" s="122"/>
      <c r="C4" s="122"/>
      <c r="D4" s="122"/>
    </row>
    <row r="5" spans="1:4" s="25" customFormat="1" ht="11.25">
      <c r="A5" s="23" t="s">
        <v>2</v>
      </c>
      <c r="B5" s="122"/>
      <c r="C5" s="122"/>
      <c r="D5" s="122"/>
    </row>
    <row r="6" s="5" customFormat="1" ht="13.5" thickBot="1"/>
    <row r="7" spans="2:23" s="5" customFormat="1" ht="13.5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29" customFormat="1" ht="20.25">
      <c r="B8" s="79"/>
      <c r="C8" s="30"/>
      <c r="D8" s="30"/>
      <c r="E8" s="30"/>
      <c r="F8" s="12" t="s">
        <v>54</v>
      </c>
      <c r="N8" s="103"/>
      <c r="O8" s="103"/>
      <c r="P8" s="94"/>
      <c r="Q8" s="30"/>
      <c r="R8" s="30"/>
      <c r="S8" s="30"/>
      <c r="T8" s="30"/>
      <c r="U8" s="30"/>
      <c r="V8" s="30"/>
      <c r="W8" s="80"/>
    </row>
    <row r="9" spans="2:23" s="5" customFormat="1" ht="12.75">
      <c r="B9" s="50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6"/>
    </row>
    <row r="10" spans="2:23" s="29" customFormat="1" ht="20.25">
      <c r="B10" s="79"/>
      <c r="C10" s="30"/>
      <c r="D10" s="30"/>
      <c r="E10" s="30"/>
      <c r="F10" s="111" t="s">
        <v>118</v>
      </c>
      <c r="G10" s="320"/>
      <c r="H10" s="103"/>
      <c r="I10" s="106"/>
      <c r="K10" s="106"/>
      <c r="L10" s="106"/>
      <c r="M10" s="106"/>
      <c r="N10" s="106"/>
      <c r="O10" s="106"/>
      <c r="P10" s="106"/>
      <c r="Q10" s="30"/>
      <c r="R10" s="30"/>
      <c r="S10" s="30"/>
      <c r="T10" s="30"/>
      <c r="U10" s="30"/>
      <c r="V10" s="30"/>
      <c r="W10" s="80"/>
    </row>
    <row r="11" spans="2:23" s="5" customFormat="1" ht="13.5">
      <c r="B11" s="50"/>
      <c r="C11" s="4"/>
      <c r="D11" s="4"/>
      <c r="E11" s="4"/>
      <c r="F11" s="321"/>
      <c r="G11" s="321"/>
      <c r="H11" s="88"/>
      <c r="I11" s="95"/>
      <c r="J11" s="52"/>
      <c r="K11" s="95"/>
      <c r="L11" s="95"/>
      <c r="M11" s="95"/>
      <c r="N11" s="95"/>
      <c r="O11" s="95"/>
      <c r="P11" s="95"/>
      <c r="Q11" s="4"/>
      <c r="R11" s="4"/>
      <c r="S11" s="4"/>
      <c r="T11" s="4"/>
      <c r="U11" s="4"/>
      <c r="V11" s="4"/>
      <c r="W11" s="6"/>
    </row>
    <row r="12" spans="2:23" s="29" customFormat="1" ht="20.25">
      <c r="B12" s="79"/>
      <c r="C12" s="30"/>
      <c r="D12" s="30"/>
      <c r="E12" s="30"/>
      <c r="F12" s="111" t="s">
        <v>63</v>
      </c>
      <c r="G12" s="320"/>
      <c r="H12" s="103"/>
      <c r="I12" s="106"/>
      <c r="K12" s="106"/>
      <c r="L12" s="106"/>
      <c r="M12" s="106"/>
      <c r="N12" s="106"/>
      <c r="O12" s="106"/>
      <c r="P12" s="106"/>
      <c r="Q12" s="30"/>
      <c r="R12" s="30"/>
      <c r="S12" s="30"/>
      <c r="T12" s="30"/>
      <c r="U12" s="30"/>
      <c r="V12" s="30"/>
      <c r="W12" s="80"/>
    </row>
    <row r="13" spans="2:23" s="5" customFormat="1" ht="13.5">
      <c r="B13" s="50"/>
      <c r="C13" s="4"/>
      <c r="D13" s="4"/>
      <c r="E13" s="4"/>
      <c r="F13" s="321"/>
      <c r="G13" s="321"/>
      <c r="H13" s="88"/>
      <c r="I13" s="95"/>
      <c r="J13" s="52"/>
      <c r="K13" s="95"/>
      <c r="L13" s="95"/>
      <c r="M13" s="95"/>
      <c r="N13" s="95"/>
      <c r="O13" s="95"/>
      <c r="P13" s="95"/>
      <c r="Q13" s="4"/>
      <c r="R13" s="4"/>
      <c r="S13" s="4"/>
      <c r="T13" s="4"/>
      <c r="U13" s="4"/>
      <c r="V13" s="4"/>
      <c r="W13" s="6"/>
    </row>
    <row r="14" spans="2:23" s="5" customFormat="1" ht="19.5">
      <c r="B14" s="37" t="str">
        <f>'TOT-0709'!B14</f>
        <v>Desde el 01 al 31 de julio de 2009</v>
      </c>
      <c r="C14" s="40"/>
      <c r="D14" s="40"/>
      <c r="E14" s="40"/>
      <c r="F14" s="40"/>
      <c r="G14" s="40"/>
      <c r="H14" s="40"/>
      <c r="I14" s="322"/>
      <c r="J14" s="322"/>
      <c r="K14" s="322"/>
      <c r="L14" s="322"/>
      <c r="M14" s="322"/>
      <c r="N14" s="322"/>
      <c r="O14" s="322"/>
      <c r="P14" s="322"/>
      <c r="Q14" s="40"/>
      <c r="R14" s="40"/>
      <c r="S14" s="40"/>
      <c r="T14" s="40"/>
      <c r="U14" s="40"/>
      <c r="V14" s="40"/>
      <c r="W14" s="323"/>
    </row>
    <row r="15" spans="2:23" s="5" customFormat="1" ht="14.25" thickBot="1">
      <c r="B15" s="324"/>
      <c r="C15" s="325"/>
      <c r="D15" s="325"/>
      <c r="E15" s="325"/>
      <c r="F15" s="325"/>
      <c r="G15" s="325"/>
      <c r="H15" s="325"/>
      <c r="I15" s="326"/>
      <c r="J15" s="326"/>
      <c r="K15" s="326"/>
      <c r="L15" s="326"/>
      <c r="M15" s="326"/>
      <c r="N15" s="326"/>
      <c r="O15" s="326"/>
      <c r="P15" s="326"/>
      <c r="Q15" s="325"/>
      <c r="R15" s="325"/>
      <c r="S15" s="325"/>
      <c r="T15" s="325"/>
      <c r="U15" s="325"/>
      <c r="V15" s="325"/>
      <c r="W15" s="327"/>
    </row>
    <row r="16" spans="2:23" s="5" customFormat="1" ht="15" thickBot="1" thickTop="1">
      <c r="B16" s="50"/>
      <c r="C16" s="4"/>
      <c r="D16" s="4"/>
      <c r="E16" s="4"/>
      <c r="F16" s="328"/>
      <c r="G16" s="328"/>
      <c r="H16" s="115" t="s">
        <v>64</v>
      </c>
      <c r="I16" s="4"/>
      <c r="J16" s="5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</row>
    <row r="17" spans="2:23" s="5" customFormat="1" ht="16.5" customHeight="1" thickBot="1" thickTop="1">
      <c r="B17" s="50"/>
      <c r="C17" s="4"/>
      <c r="D17" s="4"/>
      <c r="E17" s="4"/>
      <c r="F17" s="329" t="s">
        <v>65</v>
      </c>
      <c r="G17" s="330">
        <v>63.904</v>
      </c>
      <c r="H17" s="331">
        <v>200</v>
      </c>
      <c r="V17" s="113"/>
      <c r="W17" s="6"/>
    </row>
    <row r="18" spans="2:23" s="5" customFormat="1" ht="16.5" customHeight="1" thickBot="1" thickTop="1">
      <c r="B18" s="50"/>
      <c r="C18" s="4"/>
      <c r="D18" s="4"/>
      <c r="E18" s="4"/>
      <c r="F18" s="332" t="s">
        <v>66</v>
      </c>
      <c r="G18" s="333">
        <v>57.511</v>
      </c>
      <c r="H18" s="331">
        <v>100</v>
      </c>
      <c r="O18" s="4"/>
      <c r="P18" s="4"/>
      <c r="Q18" s="4"/>
      <c r="R18" s="4"/>
      <c r="S18" s="4"/>
      <c r="T18" s="4"/>
      <c r="U18" s="4"/>
      <c r="V18" s="4"/>
      <c r="W18" s="6"/>
    </row>
    <row r="19" spans="2:23" s="5" customFormat="1" ht="16.5" customHeight="1" thickBot="1" thickTop="1">
      <c r="B19" s="50"/>
      <c r="C19" s="4"/>
      <c r="D19" s="4"/>
      <c r="E19" s="4"/>
      <c r="F19" s="334" t="s">
        <v>67</v>
      </c>
      <c r="G19" s="333">
        <v>51.126</v>
      </c>
      <c r="H19" s="331">
        <v>40</v>
      </c>
      <c r="K19" s="192"/>
      <c r="L19" s="193"/>
      <c r="M19" s="4"/>
      <c r="O19" s="4"/>
      <c r="Q19" s="4"/>
      <c r="R19" s="4"/>
      <c r="S19" s="4"/>
      <c r="T19" s="4"/>
      <c r="U19" s="4"/>
      <c r="V19" s="4"/>
      <c r="W19" s="6"/>
    </row>
    <row r="20" spans="2:23" s="5" customFormat="1" ht="16.5" customHeight="1" thickBot="1" thickTop="1">
      <c r="B20" s="50"/>
      <c r="C20" s="726">
        <v>3</v>
      </c>
      <c r="D20" s="726">
        <v>4</v>
      </c>
      <c r="E20" s="726">
        <v>5</v>
      </c>
      <c r="F20" s="726">
        <v>6</v>
      </c>
      <c r="G20" s="726">
        <v>7</v>
      </c>
      <c r="H20" s="726">
        <v>8</v>
      </c>
      <c r="I20" s="726">
        <v>9</v>
      </c>
      <c r="J20" s="726">
        <v>10</v>
      </c>
      <c r="K20" s="726">
        <v>11</v>
      </c>
      <c r="L20" s="726">
        <v>12</v>
      </c>
      <c r="M20" s="726">
        <v>13</v>
      </c>
      <c r="N20" s="726">
        <v>14</v>
      </c>
      <c r="O20" s="726">
        <v>15</v>
      </c>
      <c r="P20" s="726">
        <v>16</v>
      </c>
      <c r="Q20" s="726">
        <v>17</v>
      </c>
      <c r="R20" s="726">
        <v>18</v>
      </c>
      <c r="S20" s="726">
        <v>19</v>
      </c>
      <c r="T20" s="726">
        <v>20</v>
      </c>
      <c r="U20" s="726">
        <v>21</v>
      </c>
      <c r="V20" s="726">
        <v>22</v>
      </c>
      <c r="W20" s="6"/>
    </row>
    <row r="21" spans="2:23" s="5" customFormat="1" ht="33.75" customHeight="1" thickBot="1" thickTop="1">
      <c r="B21" s="50"/>
      <c r="C21" s="121" t="s">
        <v>12</v>
      </c>
      <c r="D21" s="84" t="s">
        <v>128</v>
      </c>
      <c r="E21" s="84" t="s">
        <v>129</v>
      </c>
      <c r="F21" s="86" t="s">
        <v>25</v>
      </c>
      <c r="G21" s="335" t="s">
        <v>26</v>
      </c>
      <c r="H21" s="336" t="s">
        <v>13</v>
      </c>
      <c r="I21" s="127" t="s">
        <v>15</v>
      </c>
      <c r="J21" s="85" t="s">
        <v>16</v>
      </c>
      <c r="K21" s="335" t="s">
        <v>17</v>
      </c>
      <c r="L21" s="337" t="s">
        <v>34</v>
      </c>
      <c r="M21" s="337" t="s">
        <v>29</v>
      </c>
      <c r="N21" s="87" t="s">
        <v>18</v>
      </c>
      <c r="O21" s="171" t="s">
        <v>30</v>
      </c>
      <c r="P21" s="133" t="s">
        <v>35</v>
      </c>
      <c r="Q21" s="338" t="s">
        <v>55</v>
      </c>
      <c r="R21" s="172" t="s">
        <v>33</v>
      </c>
      <c r="S21" s="339"/>
      <c r="T21" s="132" t="s">
        <v>21</v>
      </c>
      <c r="U21" s="130" t="s">
        <v>58</v>
      </c>
      <c r="V21" s="119" t="s">
        <v>22</v>
      </c>
      <c r="W21" s="6"/>
    </row>
    <row r="22" spans="2:23" s="5" customFormat="1" ht="16.5" customHeight="1" thickTop="1">
      <c r="B22" s="50"/>
      <c r="C22" s="248"/>
      <c r="D22" s="248"/>
      <c r="E22" s="248"/>
      <c r="F22" s="340"/>
      <c r="G22" s="340"/>
      <c r="H22" s="340"/>
      <c r="I22" s="206"/>
      <c r="J22" s="340"/>
      <c r="K22" s="340"/>
      <c r="L22" s="340"/>
      <c r="M22" s="340"/>
      <c r="N22" s="340"/>
      <c r="O22" s="340"/>
      <c r="P22" s="341"/>
      <c r="Q22" s="342"/>
      <c r="R22" s="343"/>
      <c r="S22" s="344"/>
      <c r="T22" s="345"/>
      <c r="U22" s="340"/>
      <c r="V22" s="346">
        <f>'SA-07 (2)'!V45</f>
        <v>306242.21</v>
      </c>
      <c r="W22" s="6"/>
    </row>
    <row r="23" spans="2:23" s="5" customFormat="1" ht="16.5" customHeight="1">
      <c r="B23" s="50"/>
      <c r="C23" s="262"/>
      <c r="D23" s="262"/>
      <c r="E23" s="262"/>
      <c r="F23" s="347"/>
      <c r="G23" s="347"/>
      <c r="H23" s="347"/>
      <c r="I23" s="348"/>
      <c r="J23" s="347"/>
      <c r="K23" s="347"/>
      <c r="L23" s="347"/>
      <c r="M23" s="347"/>
      <c r="N23" s="347"/>
      <c r="O23" s="347"/>
      <c r="P23" s="349"/>
      <c r="Q23" s="350"/>
      <c r="R23" s="181"/>
      <c r="S23" s="351"/>
      <c r="T23" s="352"/>
      <c r="U23" s="347"/>
      <c r="V23" s="353"/>
      <c r="W23" s="6"/>
    </row>
    <row r="24" spans="2:23" s="5" customFormat="1" ht="16.5" customHeight="1">
      <c r="B24" s="50"/>
      <c r="C24" s="262">
        <v>77</v>
      </c>
      <c r="D24" s="262">
        <v>209388</v>
      </c>
      <c r="E24" s="149">
        <v>139</v>
      </c>
      <c r="F24" s="354" t="s">
        <v>196</v>
      </c>
      <c r="G24" s="354" t="s">
        <v>197</v>
      </c>
      <c r="H24" s="355">
        <v>132</v>
      </c>
      <c r="I24" s="128">
        <f aca="true" t="shared" si="0" ref="I24:I43">IF(H24=500,$G$17,IF(H24=220,$G$18,$G$19))</f>
        <v>51.126</v>
      </c>
      <c r="J24" s="356">
        <v>40024.39375</v>
      </c>
      <c r="K24" s="147">
        <v>40024.41111111111</v>
      </c>
      <c r="L24" s="357">
        <f aca="true" t="shared" si="1" ref="L24:L43">IF(F24="","",(K24-J24)*24)</f>
        <v>0.41666666662786156</v>
      </c>
      <c r="M24" s="358">
        <f aca="true" t="shared" si="2" ref="M24:M43">IF(F24="","",ROUND((K24-J24)*24*60,0))</f>
        <v>25</v>
      </c>
      <c r="N24" s="208" t="s">
        <v>134</v>
      </c>
      <c r="O24" s="209" t="str">
        <f aca="true" t="shared" si="3" ref="O24:O43">IF(F24="","",IF(N24="P","--","NO"))</f>
        <v>--</v>
      </c>
      <c r="P24" s="588">
        <f aca="true" t="shared" si="4" ref="P24:P43">IF(H24=500,$H$17,IF(H24=220,$H$18,$H$19))</f>
        <v>40</v>
      </c>
      <c r="Q24" s="722">
        <f aca="true" t="shared" si="5" ref="Q24:Q43">IF(N24="P",I24*P24*ROUND(M24/60,2)*0.1,"--")</f>
        <v>85.89168000000001</v>
      </c>
      <c r="R24" s="181" t="str">
        <f aca="true" t="shared" si="6" ref="R24:R43">IF(AND(N24="F",O24="NO"),I24*P24,"--")</f>
        <v>--</v>
      </c>
      <c r="S24" s="351" t="str">
        <f aca="true" t="shared" si="7" ref="S24:S43">IF(N24="F",I24*P24*ROUND(M24/60,2),"--")</f>
        <v>--</v>
      </c>
      <c r="T24" s="728" t="s">
        <v>117</v>
      </c>
      <c r="U24" s="209" t="str">
        <f aca="true" t="shared" si="8" ref="U24:U43">IF(F24="","","SI")</f>
        <v>SI</v>
      </c>
      <c r="V24" s="359">
        <f aca="true" t="shared" si="9" ref="V24:V43">IF(F24="","",SUM(Q24:T24)*IF(U24="SI",1,2))</f>
        <v>85.89168000000001</v>
      </c>
      <c r="W24" s="6"/>
    </row>
    <row r="25" spans="2:23" s="5" customFormat="1" ht="16.5" customHeight="1">
      <c r="B25" s="50"/>
      <c r="C25" s="262">
        <v>78</v>
      </c>
      <c r="D25" s="262">
        <v>209390</v>
      </c>
      <c r="E25" s="262">
        <v>118</v>
      </c>
      <c r="F25" s="354" t="s">
        <v>167</v>
      </c>
      <c r="G25" s="354" t="s">
        <v>198</v>
      </c>
      <c r="H25" s="355">
        <v>132</v>
      </c>
      <c r="I25" s="128">
        <f t="shared" si="0"/>
        <v>51.126</v>
      </c>
      <c r="J25" s="356">
        <v>40025.37708333333</v>
      </c>
      <c r="K25" s="147">
        <v>40025.76666666667</v>
      </c>
      <c r="L25" s="357">
        <f t="shared" si="1"/>
        <v>9.350000000093132</v>
      </c>
      <c r="M25" s="358">
        <f t="shared" si="2"/>
        <v>561</v>
      </c>
      <c r="N25" s="208" t="s">
        <v>134</v>
      </c>
      <c r="O25" s="209" t="str">
        <f t="shared" si="3"/>
        <v>--</v>
      </c>
      <c r="P25" s="588">
        <f t="shared" si="4"/>
        <v>40</v>
      </c>
      <c r="Q25" s="722">
        <f t="shared" si="5"/>
        <v>1912.1124</v>
      </c>
      <c r="R25" s="181" t="str">
        <f t="shared" si="6"/>
        <v>--</v>
      </c>
      <c r="S25" s="351" t="str">
        <f t="shared" si="7"/>
        <v>--</v>
      </c>
      <c r="T25" s="728" t="s">
        <v>117</v>
      </c>
      <c r="U25" s="209" t="str">
        <f t="shared" si="8"/>
        <v>SI</v>
      </c>
      <c r="V25" s="359">
        <f t="shared" si="9"/>
        <v>1912.1124</v>
      </c>
      <c r="W25" s="6"/>
    </row>
    <row r="26" spans="2:23" s="5" customFormat="1" ht="16.5" customHeight="1">
      <c r="B26" s="50"/>
      <c r="C26" s="262">
        <v>79</v>
      </c>
      <c r="D26" s="262">
        <v>209391</v>
      </c>
      <c r="E26" s="149">
        <v>2641</v>
      </c>
      <c r="F26" s="354" t="s">
        <v>162</v>
      </c>
      <c r="G26" s="354" t="s">
        <v>185</v>
      </c>
      <c r="H26" s="355">
        <v>500</v>
      </c>
      <c r="I26" s="128">
        <f t="shared" si="0"/>
        <v>63.904</v>
      </c>
      <c r="J26" s="356">
        <v>40025.57986111111</v>
      </c>
      <c r="K26" s="147">
        <v>40025.618055555555</v>
      </c>
      <c r="L26" s="357">
        <f t="shared" si="1"/>
        <v>0.9166666666860692</v>
      </c>
      <c r="M26" s="358">
        <f t="shared" si="2"/>
        <v>55</v>
      </c>
      <c r="N26" s="208" t="s">
        <v>134</v>
      </c>
      <c r="O26" s="209" t="str">
        <f t="shared" si="3"/>
        <v>--</v>
      </c>
      <c r="P26" s="588">
        <f t="shared" si="4"/>
        <v>200</v>
      </c>
      <c r="Q26" s="722">
        <f t="shared" si="5"/>
        <v>1175.8336000000002</v>
      </c>
      <c r="R26" s="181" t="str">
        <f t="shared" si="6"/>
        <v>--</v>
      </c>
      <c r="S26" s="351" t="str">
        <f t="shared" si="7"/>
        <v>--</v>
      </c>
      <c r="T26" s="728" t="s">
        <v>117</v>
      </c>
      <c r="U26" s="209" t="str">
        <f t="shared" si="8"/>
        <v>SI</v>
      </c>
      <c r="V26" s="359">
        <f t="shared" si="9"/>
        <v>1175.8336000000002</v>
      </c>
      <c r="W26" s="6"/>
    </row>
    <row r="27" spans="2:23" s="5" customFormat="1" ht="16.5" customHeight="1">
      <c r="B27" s="50"/>
      <c r="C27" s="262"/>
      <c r="D27" s="262"/>
      <c r="E27" s="262"/>
      <c r="F27" s="354"/>
      <c r="G27" s="354"/>
      <c r="H27" s="355"/>
      <c r="I27" s="128">
        <f t="shared" si="0"/>
        <v>51.126</v>
      </c>
      <c r="J27" s="356"/>
      <c r="K27" s="147"/>
      <c r="L27" s="357">
        <f t="shared" si="1"/>
      </c>
      <c r="M27" s="358">
        <f t="shared" si="2"/>
      </c>
      <c r="N27" s="208"/>
      <c r="O27" s="209">
        <f t="shared" si="3"/>
      </c>
      <c r="P27" s="588">
        <f t="shared" si="4"/>
        <v>40</v>
      </c>
      <c r="Q27" s="722" t="str">
        <f t="shared" si="5"/>
        <v>--</v>
      </c>
      <c r="R27" s="181" t="str">
        <f t="shared" si="6"/>
        <v>--</v>
      </c>
      <c r="S27" s="351" t="str">
        <f t="shared" si="7"/>
        <v>--</v>
      </c>
      <c r="T27" s="352" t="str">
        <f aca="true" t="shared" si="10" ref="T27:T43">IF(N27="RF",I27*P27*ROUND(M27/60,2),"--")</f>
        <v>--</v>
      </c>
      <c r="U27" s="209">
        <f t="shared" si="8"/>
      </c>
      <c r="V27" s="359">
        <f t="shared" si="9"/>
      </c>
      <c r="W27" s="6"/>
    </row>
    <row r="28" spans="2:23" s="5" customFormat="1" ht="16.5" customHeight="1">
      <c r="B28" s="50"/>
      <c r="C28" s="262"/>
      <c r="D28" s="262"/>
      <c r="E28" s="149"/>
      <c r="F28" s="354"/>
      <c r="G28" s="354"/>
      <c r="H28" s="355"/>
      <c r="I28" s="128">
        <f t="shared" si="0"/>
        <v>51.126</v>
      </c>
      <c r="J28" s="356"/>
      <c r="K28" s="147"/>
      <c r="L28" s="357">
        <f t="shared" si="1"/>
      </c>
      <c r="M28" s="358">
        <f t="shared" si="2"/>
      </c>
      <c r="N28" s="208"/>
      <c r="O28" s="209">
        <f t="shared" si="3"/>
      </c>
      <c r="P28" s="588">
        <f t="shared" si="4"/>
        <v>40</v>
      </c>
      <c r="Q28" s="722" t="str">
        <f t="shared" si="5"/>
        <v>--</v>
      </c>
      <c r="R28" s="181" t="str">
        <f t="shared" si="6"/>
        <v>--</v>
      </c>
      <c r="S28" s="351" t="str">
        <f t="shared" si="7"/>
        <v>--</v>
      </c>
      <c r="T28" s="352" t="str">
        <f t="shared" si="10"/>
        <v>--</v>
      </c>
      <c r="U28" s="209">
        <f t="shared" si="8"/>
      </c>
      <c r="V28" s="359">
        <f t="shared" si="9"/>
      </c>
      <c r="W28" s="6"/>
    </row>
    <row r="29" spans="2:23" s="5" customFormat="1" ht="16.5" customHeight="1">
      <c r="B29" s="50"/>
      <c r="C29" s="262"/>
      <c r="D29" s="262"/>
      <c r="E29" s="262"/>
      <c r="F29" s="354"/>
      <c r="G29" s="354"/>
      <c r="H29" s="355"/>
      <c r="I29" s="128">
        <f t="shared" si="0"/>
        <v>51.126</v>
      </c>
      <c r="J29" s="356"/>
      <c r="K29" s="147"/>
      <c r="L29" s="357">
        <f t="shared" si="1"/>
      </c>
      <c r="M29" s="358">
        <f t="shared" si="2"/>
      </c>
      <c r="N29" s="208"/>
      <c r="O29" s="209">
        <f t="shared" si="3"/>
      </c>
      <c r="P29" s="588">
        <f t="shared" si="4"/>
        <v>40</v>
      </c>
      <c r="Q29" s="722" t="str">
        <f t="shared" si="5"/>
        <v>--</v>
      </c>
      <c r="R29" s="181" t="str">
        <f t="shared" si="6"/>
        <v>--</v>
      </c>
      <c r="S29" s="351" t="str">
        <f t="shared" si="7"/>
        <v>--</v>
      </c>
      <c r="T29" s="352" t="str">
        <f t="shared" si="10"/>
        <v>--</v>
      </c>
      <c r="U29" s="209">
        <f t="shared" si="8"/>
      </c>
      <c r="V29" s="359">
        <f t="shared" si="9"/>
      </c>
      <c r="W29" s="6"/>
    </row>
    <row r="30" spans="2:23" s="5" customFormat="1" ht="16.5" customHeight="1">
      <c r="B30" s="50"/>
      <c r="C30" s="262"/>
      <c r="D30" s="262"/>
      <c r="E30" s="149"/>
      <c r="F30" s="354"/>
      <c r="G30" s="354"/>
      <c r="H30" s="355"/>
      <c r="I30" s="128">
        <f t="shared" si="0"/>
        <v>51.126</v>
      </c>
      <c r="J30" s="356"/>
      <c r="K30" s="147"/>
      <c r="L30" s="357">
        <f t="shared" si="1"/>
      </c>
      <c r="M30" s="358">
        <f t="shared" si="2"/>
      </c>
      <c r="N30" s="208"/>
      <c r="O30" s="209">
        <f t="shared" si="3"/>
      </c>
      <c r="P30" s="588">
        <f t="shared" si="4"/>
        <v>40</v>
      </c>
      <c r="Q30" s="722" t="str">
        <f t="shared" si="5"/>
        <v>--</v>
      </c>
      <c r="R30" s="181" t="str">
        <f t="shared" si="6"/>
        <v>--</v>
      </c>
      <c r="S30" s="351" t="str">
        <f t="shared" si="7"/>
        <v>--</v>
      </c>
      <c r="T30" s="352" t="str">
        <f t="shared" si="10"/>
        <v>--</v>
      </c>
      <c r="U30" s="209">
        <f t="shared" si="8"/>
      </c>
      <c r="V30" s="359">
        <f t="shared" si="9"/>
      </c>
      <c r="W30" s="6"/>
    </row>
    <row r="31" spans="2:23" s="5" customFormat="1" ht="16.5" customHeight="1">
      <c r="B31" s="50"/>
      <c r="C31" s="262"/>
      <c r="D31" s="262"/>
      <c r="E31" s="262"/>
      <c r="F31" s="354"/>
      <c r="G31" s="354"/>
      <c r="H31" s="355"/>
      <c r="I31" s="128">
        <f t="shared" si="0"/>
        <v>51.126</v>
      </c>
      <c r="J31" s="356"/>
      <c r="K31" s="147"/>
      <c r="L31" s="357">
        <f t="shared" si="1"/>
      </c>
      <c r="M31" s="358">
        <f t="shared" si="2"/>
      </c>
      <c r="N31" s="208"/>
      <c r="O31" s="209">
        <f t="shared" si="3"/>
      </c>
      <c r="P31" s="588">
        <f t="shared" si="4"/>
        <v>40</v>
      </c>
      <c r="Q31" s="722" t="str">
        <f t="shared" si="5"/>
        <v>--</v>
      </c>
      <c r="R31" s="181" t="str">
        <f t="shared" si="6"/>
        <v>--</v>
      </c>
      <c r="S31" s="351" t="str">
        <f t="shared" si="7"/>
        <v>--</v>
      </c>
      <c r="T31" s="352" t="str">
        <f t="shared" si="10"/>
        <v>--</v>
      </c>
      <c r="U31" s="209">
        <f t="shared" si="8"/>
      </c>
      <c r="V31" s="359">
        <f t="shared" si="9"/>
      </c>
      <c r="W31" s="6"/>
    </row>
    <row r="32" spans="2:23" s="5" customFormat="1" ht="16.5" customHeight="1">
      <c r="B32" s="50"/>
      <c r="C32" s="262"/>
      <c r="D32" s="262"/>
      <c r="E32" s="149"/>
      <c r="F32" s="354"/>
      <c r="G32" s="354"/>
      <c r="H32" s="355"/>
      <c r="I32" s="128">
        <f t="shared" si="0"/>
        <v>51.126</v>
      </c>
      <c r="J32" s="356"/>
      <c r="K32" s="147"/>
      <c r="L32" s="357">
        <f t="shared" si="1"/>
      </c>
      <c r="M32" s="358">
        <f t="shared" si="2"/>
      </c>
      <c r="N32" s="208"/>
      <c r="O32" s="209">
        <f t="shared" si="3"/>
      </c>
      <c r="P32" s="588">
        <f t="shared" si="4"/>
        <v>40</v>
      </c>
      <c r="Q32" s="722" t="str">
        <f t="shared" si="5"/>
        <v>--</v>
      </c>
      <c r="R32" s="181" t="str">
        <f t="shared" si="6"/>
        <v>--</v>
      </c>
      <c r="S32" s="351" t="str">
        <f t="shared" si="7"/>
        <v>--</v>
      </c>
      <c r="T32" s="352" t="str">
        <f t="shared" si="10"/>
        <v>--</v>
      </c>
      <c r="U32" s="209">
        <f t="shared" si="8"/>
      </c>
      <c r="V32" s="359">
        <f t="shared" si="9"/>
      </c>
      <c r="W32" s="6"/>
    </row>
    <row r="33" spans="2:23" s="5" customFormat="1" ht="16.5" customHeight="1">
      <c r="B33" s="50"/>
      <c r="C33" s="262"/>
      <c r="D33" s="262"/>
      <c r="E33" s="262"/>
      <c r="F33" s="354"/>
      <c r="G33" s="354"/>
      <c r="H33" s="355"/>
      <c r="I33" s="128">
        <f t="shared" si="0"/>
        <v>51.126</v>
      </c>
      <c r="J33" s="356"/>
      <c r="K33" s="147"/>
      <c r="L33" s="357">
        <f t="shared" si="1"/>
      </c>
      <c r="M33" s="358">
        <f t="shared" si="2"/>
      </c>
      <c r="N33" s="208"/>
      <c r="O33" s="209">
        <f t="shared" si="3"/>
      </c>
      <c r="P33" s="588">
        <f t="shared" si="4"/>
        <v>40</v>
      </c>
      <c r="Q33" s="722" t="str">
        <f t="shared" si="5"/>
        <v>--</v>
      </c>
      <c r="R33" s="181" t="str">
        <f t="shared" si="6"/>
        <v>--</v>
      </c>
      <c r="S33" s="351" t="str">
        <f t="shared" si="7"/>
        <v>--</v>
      </c>
      <c r="T33" s="352" t="str">
        <f t="shared" si="10"/>
        <v>--</v>
      </c>
      <c r="U33" s="209">
        <f t="shared" si="8"/>
      </c>
      <c r="V33" s="359">
        <f t="shared" si="9"/>
      </c>
      <c r="W33" s="6"/>
    </row>
    <row r="34" spans="2:23" s="5" customFormat="1" ht="16.5" customHeight="1">
      <c r="B34" s="50"/>
      <c r="C34" s="262"/>
      <c r="D34" s="262"/>
      <c r="E34" s="149"/>
      <c r="F34" s="354"/>
      <c r="G34" s="354"/>
      <c r="H34" s="355"/>
      <c r="I34" s="128">
        <f t="shared" si="0"/>
        <v>51.126</v>
      </c>
      <c r="J34" s="356"/>
      <c r="K34" s="147"/>
      <c r="L34" s="357">
        <f t="shared" si="1"/>
      </c>
      <c r="M34" s="358">
        <f t="shared" si="2"/>
      </c>
      <c r="N34" s="208"/>
      <c r="O34" s="209">
        <f t="shared" si="3"/>
      </c>
      <c r="P34" s="588">
        <f t="shared" si="4"/>
        <v>40</v>
      </c>
      <c r="Q34" s="722" t="str">
        <f t="shared" si="5"/>
        <v>--</v>
      </c>
      <c r="R34" s="181" t="str">
        <f t="shared" si="6"/>
        <v>--</v>
      </c>
      <c r="S34" s="351" t="str">
        <f t="shared" si="7"/>
        <v>--</v>
      </c>
      <c r="T34" s="352" t="str">
        <f t="shared" si="10"/>
        <v>--</v>
      </c>
      <c r="U34" s="209">
        <f t="shared" si="8"/>
      </c>
      <c r="V34" s="359">
        <f t="shared" si="9"/>
      </c>
      <c r="W34" s="6"/>
    </row>
    <row r="35" spans="2:23" s="5" customFormat="1" ht="16.5" customHeight="1">
      <c r="B35" s="50"/>
      <c r="C35" s="262"/>
      <c r="D35" s="262"/>
      <c r="E35" s="262"/>
      <c r="F35" s="354"/>
      <c r="G35" s="354"/>
      <c r="H35" s="355"/>
      <c r="I35" s="128">
        <f t="shared" si="0"/>
        <v>51.126</v>
      </c>
      <c r="J35" s="356"/>
      <c r="K35" s="147"/>
      <c r="L35" s="357">
        <f t="shared" si="1"/>
      </c>
      <c r="M35" s="358">
        <f t="shared" si="2"/>
      </c>
      <c r="N35" s="208"/>
      <c r="O35" s="209">
        <f t="shared" si="3"/>
      </c>
      <c r="P35" s="588">
        <f t="shared" si="4"/>
        <v>40</v>
      </c>
      <c r="Q35" s="722" t="str">
        <f t="shared" si="5"/>
        <v>--</v>
      </c>
      <c r="R35" s="181" t="str">
        <f t="shared" si="6"/>
        <v>--</v>
      </c>
      <c r="S35" s="351" t="str">
        <f t="shared" si="7"/>
        <v>--</v>
      </c>
      <c r="T35" s="352" t="str">
        <f t="shared" si="10"/>
        <v>--</v>
      </c>
      <c r="U35" s="209">
        <f t="shared" si="8"/>
      </c>
      <c r="V35" s="359">
        <f t="shared" si="9"/>
      </c>
      <c r="W35" s="6"/>
    </row>
    <row r="36" spans="2:23" s="5" customFormat="1" ht="16.5" customHeight="1">
      <c r="B36" s="50"/>
      <c r="C36" s="262"/>
      <c r="D36" s="262"/>
      <c r="E36" s="149"/>
      <c r="F36" s="354"/>
      <c r="G36" s="354"/>
      <c r="H36" s="355"/>
      <c r="I36" s="128">
        <f t="shared" si="0"/>
        <v>51.126</v>
      </c>
      <c r="J36" s="356"/>
      <c r="K36" s="147"/>
      <c r="L36" s="357">
        <f t="shared" si="1"/>
      </c>
      <c r="M36" s="358">
        <f t="shared" si="2"/>
      </c>
      <c r="N36" s="208"/>
      <c r="O36" s="209">
        <f t="shared" si="3"/>
      </c>
      <c r="P36" s="588">
        <f t="shared" si="4"/>
        <v>40</v>
      </c>
      <c r="Q36" s="722" t="str">
        <f t="shared" si="5"/>
        <v>--</v>
      </c>
      <c r="R36" s="181" t="str">
        <f t="shared" si="6"/>
        <v>--</v>
      </c>
      <c r="S36" s="351" t="str">
        <f t="shared" si="7"/>
        <v>--</v>
      </c>
      <c r="T36" s="352" t="str">
        <f t="shared" si="10"/>
        <v>--</v>
      </c>
      <c r="U36" s="209">
        <f t="shared" si="8"/>
      </c>
      <c r="V36" s="359">
        <f t="shared" si="9"/>
      </c>
      <c r="W36" s="6"/>
    </row>
    <row r="37" spans="2:23" s="5" customFormat="1" ht="16.5" customHeight="1">
      <c r="B37" s="50"/>
      <c r="C37" s="262"/>
      <c r="D37" s="262"/>
      <c r="E37" s="262"/>
      <c r="F37" s="354"/>
      <c r="G37" s="354"/>
      <c r="H37" s="355"/>
      <c r="I37" s="128">
        <f t="shared" si="0"/>
        <v>51.126</v>
      </c>
      <c r="J37" s="356"/>
      <c r="K37" s="147"/>
      <c r="L37" s="357">
        <f t="shared" si="1"/>
      </c>
      <c r="M37" s="358">
        <f t="shared" si="2"/>
      </c>
      <c r="N37" s="208"/>
      <c r="O37" s="209">
        <f t="shared" si="3"/>
      </c>
      <c r="P37" s="588">
        <f t="shared" si="4"/>
        <v>40</v>
      </c>
      <c r="Q37" s="722" t="str">
        <f t="shared" si="5"/>
        <v>--</v>
      </c>
      <c r="R37" s="181" t="str">
        <f t="shared" si="6"/>
        <v>--</v>
      </c>
      <c r="S37" s="351" t="str">
        <f t="shared" si="7"/>
        <v>--</v>
      </c>
      <c r="T37" s="352" t="str">
        <f t="shared" si="10"/>
        <v>--</v>
      </c>
      <c r="U37" s="209">
        <f t="shared" si="8"/>
      </c>
      <c r="V37" s="359">
        <f t="shared" si="9"/>
      </c>
      <c r="W37" s="6"/>
    </row>
    <row r="38" spans="2:23" s="5" customFormat="1" ht="16.5" customHeight="1">
      <c r="B38" s="50"/>
      <c r="C38" s="262"/>
      <c r="D38" s="262"/>
      <c r="E38" s="149"/>
      <c r="F38" s="354"/>
      <c r="G38" s="354"/>
      <c r="H38" s="355"/>
      <c r="I38" s="128">
        <f t="shared" si="0"/>
        <v>51.126</v>
      </c>
      <c r="J38" s="356"/>
      <c r="K38" s="147"/>
      <c r="L38" s="357">
        <f t="shared" si="1"/>
      </c>
      <c r="M38" s="358">
        <f t="shared" si="2"/>
      </c>
      <c r="N38" s="208"/>
      <c r="O38" s="209">
        <f t="shared" si="3"/>
      </c>
      <c r="P38" s="588">
        <f t="shared" si="4"/>
        <v>40</v>
      </c>
      <c r="Q38" s="722" t="str">
        <f t="shared" si="5"/>
        <v>--</v>
      </c>
      <c r="R38" s="181" t="str">
        <f t="shared" si="6"/>
        <v>--</v>
      </c>
      <c r="S38" s="351" t="str">
        <f t="shared" si="7"/>
        <v>--</v>
      </c>
      <c r="T38" s="352" t="str">
        <f t="shared" si="10"/>
        <v>--</v>
      </c>
      <c r="U38" s="209">
        <f t="shared" si="8"/>
      </c>
      <c r="V38" s="359">
        <f t="shared" si="9"/>
      </c>
      <c r="W38" s="6"/>
    </row>
    <row r="39" spans="2:23" s="5" customFormat="1" ht="16.5" customHeight="1">
      <c r="B39" s="50"/>
      <c r="C39" s="262"/>
      <c r="D39" s="262"/>
      <c r="E39" s="262"/>
      <c r="F39" s="354"/>
      <c r="G39" s="354"/>
      <c r="H39" s="355"/>
      <c r="I39" s="128">
        <f t="shared" si="0"/>
        <v>51.126</v>
      </c>
      <c r="J39" s="356"/>
      <c r="K39" s="147"/>
      <c r="L39" s="357">
        <f t="shared" si="1"/>
      </c>
      <c r="M39" s="358">
        <f t="shared" si="2"/>
      </c>
      <c r="N39" s="208"/>
      <c r="O39" s="209">
        <f t="shared" si="3"/>
      </c>
      <c r="P39" s="588">
        <f t="shared" si="4"/>
        <v>40</v>
      </c>
      <c r="Q39" s="722" t="str">
        <f t="shared" si="5"/>
        <v>--</v>
      </c>
      <c r="R39" s="181" t="str">
        <f t="shared" si="6"/>
        <v>--</v>
      </c>
      <c r="S39" s="351" t="str">
        <f t="shared" si="7"/>
        <v>--</v>
      </c>
      <c r="T39" s="352" t="str">
        <f t="shared" si="10"/>
        <v>--</v>
      </c>
      <c r="U39" s="209">
        <f t="shared" si="8"/>
      </c>
      <c r="V39" s="359">
        <f t="shared" si="9"/>
      </c>
      <c r="W39" s="6"/>
    </row>
    <row r="40" spans="2:23" s="5" customFormat="1" ht="16.5" customHeight="1">
      <c r="B40" s="50"/>
      <c r="C40" s="262"/>
      <c r="D40" s="262"/>
      <c r="E40" s="149"/>
      <c r="F40" s="354"/>
      <c r="G40" s="354"/>
      <c r="H40" s="355"/>
      <c r="I40" s="128">
        <f t="shared" si="0"/>
        <v>51.126</v>
      </c>
      <c r="J40" s="356"/>
      <c r="K40" s="147"/>
      <c r="L40" s="357">
        <f t="shared" si="1"/>
      </c>
      <c r="M40" s="358">
        <f t="shared" si="2"/>
      </c>
      <c r="N40" s="208"/>
      <c r="O40" s="209">
        <f t="shared" si="3"/>
      </c>
      <c r="P40" s="588">
        <f t="shared" si="4"/>
        <v>40</v>
      </c>
      <c r="Q40" s="722" t="str">
        <f t="shared" si="5"/>
        <v>--</v>
      </c>
      <c r="R40" s="181" t="str">
        <f t="shared" si="6"/>
        <v>--</v>
      </c>
      <c r="S40" s="351" t="str">
        <f t="shared" si="7"/>
        <v>--</v>
      </c>
      <c r="T40" s="352" t="str">
        <f t="shared" si="10"/>
        <v>--</v>
      </c>
      <c r="U40" s="209">
        <f t="shared" si="8"/>
      </c>
      <c r="V40" s="359">
        <f t="shared" si="9"/>
      </c>
      <c r="W40" s="6"/>
    </row>
    <row r="41" spans="2:23" s="5" customFormat="1" ht="16.5" customHeight="1">
      <c r="B41" s="50"/>
      <c r="C41" s="262"/>
      <c r="D41" s="262"/>
      <c r="E41" s="262"/>
      <c r="F41" s="354"/>
      <c r="G41" s="354"/>
      <c r="H41" s="355"/>
      <c r="I41" s="128">
        <f t="shared" si="0"/>
        <v>51.126</v>
      </c>
      <c r="J41" s="356"/>
      <c r="K41" s="147"/>
      <c r="L41" s="357">
        <f t="shared" si="1"/>
      </c>
      <c r="M41" s="358">
        <f t="shared" si="2"/>
      </c>
      <c r="N41" s="208"/>
      <c r="O41" s="209">
        <f t="shared" si="3"/>
      </c>
      <c r="P41" s="588">
        <f t="shared" si="4"/>
        <v>40</v>
      </c>
      <c r="Q41" s="722" t="str">
        <f t="shared" si="5"/>
        <v>--</v>
      </c>
      <c r="R41" s="181" t="str">
        <f t="shared" si="6"/>
        <v>--</v>
      </c>
      <c r="S41" s="351" t="str">
        <f t="shared" si="7"/>
        <v>--</v>
      </c>
      <c r="T41" s="352" t="str">
        <f t="shared" si="10"/>
        <v>--</v>
      </c>
      <c r="U41" s="209">
        <f t="shared" si="8"/>
      </c>
      <c r="V41" s="359">
        <f t="shared" si="9"/>
      </c>
      <c r="W41" s="6"/>
    </row>
    <row r="42" spans="2:23" s="5" customFormat="1" ht="16.5" customHeight="1">
      <c r="B42" s="50"/>
      <c r="C42" s="262"/>
      <c r="D42" s="262"/>
      <c r="E42" s="149"/>
      <c r="F42" s="354"/>
      <c r="G42" s="354"/>
      <c r="H42" s="355"/>
      <c r="I42" s="128">
        <f t="shared" si="0"/>
        <v>51.126</v>
      </c>
      <c r="J42" s="356"/>
      <c r="K42" s="147"/>
      <c r="L42" s="357">
        <f t="shared" si="1"/>
      </c>
      <c r="M42" s="358">
        <f t="shared" si="2"/>
      </c>
      <c r="N42" s="208"/>
      <c r="O42" s="209">
        <f t="shared" si="3"/>
      </c>
      <c r="P42" s="588">
        <f t="shared" si="4"/>
        <v>40</v>
      </c>
      <c r="Q42" s="722" t="str">
        <f t="shared" si="5"/>
        <v>--</v>
      </c>
      <c r="R42" s="181" t="str">
        <f t="shared" si="6"/>
        <v>--</v>
      </c>
      <c r="S42" s="351" t="str">
        <f t="shared" si="7"/>
        <v>--</v>
      </c>
      <c r="T42" s="352" t="str">
        <f t="shared" si="10"/>
        <v>--</v>
      </c>
      <c r="U42" s="209">
        <f t="shared" si="8"/>
      </c>
      <c r="V42" s="359">
        <f t="shared" si="9"/>
      </c>
      <c r="W42" s="6"/>
    </row>
    <row r="43" spans="2:23" s="5" customFormat="1" ht="16.5" customHeight="1">
      <c r="B43" s="50"/>
      <c r="C43" s="262"/>
      <c r="D43" s="262"/>
      <c r="E43" s="262"/>
      <c r="F43" s="354"/>
      <c r="G43" s="354"/>
      <c r="H43" s="355"/>
      <c r="I43" s="128">
        <f t="shared" si="0"/>
        <v>51.126</v>
      </c>
      <c r="J43" s="356"/>
      <c r="K43" s="147"/>
      <c r="L43" s="357">
        <f t="shared" si="1"/>
      </c>
      <c r="M43" s="358">
        <f t="shared" si="2"/>
      </c>
      <c r="N43" s="208"/>
      <c r="O43" s="209">
        <f t="shared" si="3"/>
      </c>
      <c r="P43" s="588">
        <f t="shared" si="4"/>
        <v>40</v>
      </c>
      <c r="Q43" s="722" t="str">
        <f t="shared" si="5"/>
        <v>--</v>
      </c>
      <c r="R43" s="181" t="str">
        <f t="shared" si="6"/>
        <v>--</v>
      </c>
      <c r="S43" s="351" t="str">
        <f t="shared" si="7"/>
        <v>--</v>
      </c>
      <c r="T43" s="352" t="str">
        <f t="shared" si="10"/>
        <v>--</v>
      </c>
      <c r="U43" s="209">
        <f t="shared" si="8"/>
      </c>
      <c r="V43" s="359">
        <f t="shared" si="9"/>
      </c>
      <c r="W43" s="6"/>
    </row>
    <row r="44" spans="2:23" s="5" customFormat="1" ht="16.5" customHeight="1" thickBot="1">
      <c r="B44" s="50"/>
      <c r="C44" s="216"/>
      <c r="D44" s="216"/>
      <c r="E44" s="216"/>
      <c r="F44" s="216"/>
      <c r="G44" s="216"/>
      <c r="H44" s="216"/>
      <c r="I44" s="129"/>
      <c r="J44" s="360"/>
      <c r="K44" s="360"/>
      <c r="L44" s="361"/>
      <c r="M44" s="361"/>
      <c r="N44" s="360"/>
      <c r="O44" s="148"/>
      <c r="P44" s="362"/>
      <c r="Q44" s="363"/>
      <c r="R44" s="364"/>
      <c r="S44" s="365"/>
      <c r="T44" s="154"/>
      <c r="U44" s="148"/>
      <c r="V44" s="366"/>
      <c r="W44" s="6"/>
    </row>
    <row r="45" spans="2:23" s="5" customFormat="1" ht="16.5" customHeight="1" thickBot="1" thickTop="1">
      <c r="B45" s="50"/>
      <c r="C45" s="125" t="s">
        <v>23</v>
      </c>
      <c r="D45" s="730" t="s">
        <v>217</v>
      </c>
      <c r="E45" s="125"/>
      <c r="F45" s="126"/>
      <c r="G45"/>
      <c r="H45" s="4"/>
      <c r="I45" s="4"/>
      <c r="J45" s="4"/>
      <c r="K45" s="4"/>
      <c r="L45" s="4"/>
      <c r="M45" s="4"/>
      <c r="N45" s="4"/>
      <c r="O45" s="4"/>
      <c r="P45" s="4"/>
      <c r="Q45" s="367">
        <f>SUM(Q22:Q44)</f>
        <v>3173.83768</v>
      </c>
      <c r="R45" s="368">
        <f>SUM(R22:R44)</f>
        <v>0</v>
      </c>
      <c r="S45" s="369">
        <f>SUM(S22:S44)</f>
        <v>0</v>
      </c>
      <c r="T45" s="370">
        <f>SUM(T22:T44)</f>
        <v>0</v>
      </c>
      <c r="U45" s="371"/>
      <c r="V45" s="98">
        <f>ROUND(SUM(V22:V44),2)</f>
        <v>309416.05</v>
      </c>
      <c r="W45" s="6"/>
    </row>
    <row r="46" spans="2:23" s="5" customFormat="1" ht="16.5" customHeight="1" thickBot="1" thickTop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</row>
    <row r="47" spans="23:25" ht="16.5" customHeight="1" thickTop="1">
      <c r="W47" s="168"/>
      <c r="X47" s="168"/>
      <c r="Y47" s="168"/>
    </row>
    <row r="48" spans="23:25" ht="16.5" customHeight="1">
      <c r="W48" s="168"/>
      <c r="X48" s="168"/>
      <c r="Y48" s="168"/>
    </row>
    <row r="49" spans="23:25" ht="16.5" customHeight="1">
      <c r="W49" s="168"/>
      <c r="X49" s="168"/>
      <c r="Y49" s="168"/>
    </row>
    <row r="50" spans="23:25" ht="16.5" customHeight="1">
      <c r="W50" s="168"/>
      <c r="X50" s="168"/>
      <c r="Y50" s="168"/>
    </row>
    <row r="51" spans="23:25" ht="16.5" customHeight="1">
      <c r="W51" s="168"/>
      <c r="X51" s="168"/>
      <c r="Y51" s="168"/>
    </row>
    <row r="52" spans="6:25" ht="16.5" customHeight="1"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</row>
    <row r="53" spans="6:25" ht="16.5" customHeight="1"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</row>
    <row r="54" spans="6:25" ht="16.5" customHeight="1"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</row>
    <row r="55" spans="6:25" ht="16.5" customHeight="1"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</row>
    <row r="56" spans="6:25" ht="16.5" customHeight="1"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6:25" ht="16.5" customHeight="1"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</row>
    <row r="58" spans="6:25" ht="16.5" customHeight="1"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</row>
    <row r="59" spans="6:25" ht="16.5" customHeight="1"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6:25" ht="16.5" customHeight="1"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6:25" ht="16.5" customHeight="1"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</row>
    <row r="62" spans="6:25" ht="16.5" customHeight="1"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</row>
    <row r="63" spans="6:25" ht="16.5" customHeight="1"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</row>
    <row r="64" spans="6:25" ht="16.5" customHeight="1"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</row>
    <row r="65" spans="6:25" ht="16.5" customHeight="1"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</row>
    <row r="66" spans="6:25" ht="16.5" customHeight="1"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</row>
    <row r="67" spans="6:25" ht="16.5" customHeight="1"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</row>
    <row r="68" spans="6:25" ht="16.5" customHeight="1"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</row>
    <row r="69" spans="6:25" ht="16.5" customHeight="1"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</row>
    <row r="70" spans="6:25" ht="16.5" customHeight="1"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</row>
    <row r="71" spans="6:25" ht="16.5" customHeight="1"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</row>
    <row r="72" spans="6:25" ht="16.5" customHeight="1"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</row>
    <row r="73" spans="6:25" ht="16.5" customHeight="1"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</row>
    <row r="74" spans="6:25" ht="16.5" customHeight="1"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</row>
    <row r="75" spans="6:25" ht="16.5" customHeight="1"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</row>
    <row r="76" spans="6:25" ht="16.5" customHeight="1"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</row>
    <row r="77" spans="6:25" ht="16.5" customHeight="1"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</row>
    <row r="78" spans="6:25" ht="16.5" customHeight="1"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</row>
    <row r="79" spans="6:25" ht="16.5" customHeight="1"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</row>
    <row r="80" spans="6:25" ht="16.5" customHeight="1"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</row>
    <row r="81" spans="6:25" ht="16.5" customHeight="1"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</row>
    <row r="82" spans="6:25" ht="16.5" customHeight="1"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</row>
    <row r="83" spans="6:25" ht="16.5" customHeight="1"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</row>
    <row r="84" spans="6:25" ht="16.5" customHeight="1"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</row>
    <row r="85" spans="6:25" ht="16.5" customHeight="1"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</row>
    <row r="86" spans="6:25" ht="16.5" customHeight="1"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</row>
    <row r="87" spans="6:25" ht="16.5" customHeight="1"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</row>
    <row r="88" spans="6:25" ht="16.5" customHeight="1"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</row>
    <row r="89" spans="6:25" ht="16.5" customHeight="1"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</row>
    <row r="90" spans="6:25" ht="16.5" customHeight="1"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</row>
    <row r="91" spans="6:25" ht="16.5" customHeight="1"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</row>
    <row r="92" spans="6:25" ht="16.5" customHeight="1"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</row>
    <row r="93" spans="6:25" ht="16.5" customHeight="1"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</row>
    <row r="94" spans="6:25" ht="16.5" customHeight="1"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</row>
    <row r="95" spans="6:25" ht="16.5" customHeight="1"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</row>
    <row r="96" spans="6:25" ht="16.5" customHeight="1"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</row>
    <row r="97" spans="6:25" ht="16.5" customHeight="1"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</row>
    <row r="98" spans="6:25" ht="16.5" customHeight="1"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</row>
    <row r="99" spans="6:25" ht="16.5" customHeight="1"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</row>
    <row r="100" spans="6:25" ht="16.5" customHeight="1"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</row>
    <row r="101" spans="6:25" ht="16.5" customHeight="1"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</row>
    <row r="102" spans="6:25" ht="16.5" customHeight="1"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</row>
    <row r="103" spans="6:25" ht="16.5" customHeight="1"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</row>
    <row r="104" spans="6:25" ht="16.5" customHeight="1"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</row>
    <row r="105" spans="6:25" ht="16.5" customHeight="1"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</row>
    <row r="106" spans="6:25" ht="16.5" customHeight="1"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</row>
    <row r="107" spans="6:25" ht="16.5" customHeight="1"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</row>
    <row r="108" spans="6:25" ht="16.5" customHeight="1"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</row>
    <row r="109" spans="6:25" ht="16.5" customHeight="1"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</row>
    <row r="110" spans="6:25" ht="16.5" customHeight="1"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</row>
    <row r="111" spans="6:25" ht="16.5" customHeight="1"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</row>
    <row r="112" spans="6:25" ht="16.5" customHeight="1"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</row>
    <row r="113" spans="6:25" ht="16.5" customHeight="1"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</row>
    <row r="114" spans="6:25" ht="16.5" customHeight="1"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</row>
    <row r="115" spans="6:25" ht="16.5" customHeight="1"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</row>
    <row r="116" spans="6:25" ht="16.5" customHeight="1"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</row>
    <row r="117" spans="6:25" ht="16.5" customHeight="1"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</row>
    <row r="118" spans="6:25" ht="16.5" customHeight="1"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</row>
    <row r="119" spans="6:25" ht="16.5" customHeight="1"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</row>
    <row r="120" spans="6:25" ht="16.5" customHeight="1"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</row>
    <row r="121" spans="6:25" ht="16.5" customHeight="1"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</row>
    <row r="122" spans="6:25" ht="16.5" customHeight="1"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</row>
    <row r="123" spans="6:25" ht="16.5" customHeight="1"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</row>
    <row r="124" spans="6:25" ht="16.5" customHeight="1"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</row>
    <row r="125" spans="6:25" ht="16.5" customHeight="1"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</row>
    <row r="126" spans="6:25" ht="16.5" customHeight="1"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6:25" ht="16.5" customHeight="1"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</row>
    <row r="128" spans="6:25" ht="16.5" customHeight="1"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</row>
    <row r="129" spans="6:25" ht="16.5" customHeight="1"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</row>
    <row r="130" spans="6:25" ht="16.5" customHeight="1"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</row>
    <row r="131" spans="6:25" ht="16.5" customHeight="1"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</row>
    <row r="132" spans="6:25" ht="16.5" customHeight="1"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</row>
    <row r="133" spans="6:25" ht="16.5" customHeight="1"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</row>
    <row r="134" spans="6:25" ht="16.5" customHeight="1"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5" spans="6:25" ht="16.5" customHeight="1"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</row>
    <row r="136" spans="6:25" ht="16.5" customHeight="1"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</row>
    <row r="137" spans="6:25" ht="16.5" customHeight="1"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</row>
    <row r="138" spans="6:25" ht="16.5" customHeight="1"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</row>
    <row r="139" spans="6:25" ht="16.5" customHeight="1"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</row>
    <row r="140" spans="6:25" ht="16.5" customHeight="1"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</row>
    <row r="141" spans="6:25" ht="16.5" customHeight="1"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</row>
    <row r="142" spans="6:25" ht="16.5" customHeight="1"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</row>
    <row r="143" spans="6:25" ht="16.5" customHeight="1"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</row>
    <row r="144" spans="6:25" ht="16.5" customHeight="1"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</row>
    <row r="145" spans="6:25" ht="16.5" customHeight="1"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6:25" ht="16.5" customHeight="1"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</row>
    <row r="147" spans="6:25" ht="16.5" customHeight="1"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</row>
    <row r="148" spans="6:25" ht="16.5" customHeight="1"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6:25" ht="16.5" customHeight="1"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</row>
    <row r="150" spans="6:25" ht="16.5" customHeight="1"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</row>
    <row r="151" spans="6:25" ht="16.5" customHeight="1"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6:25" ht="16.5" customHeight="1"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</row>
    <row r="153" spans="6:25" ht="16.5" customHeight="1"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</row>
    <row r="154" spans="6:25" ht="16.5" customHeight="1"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</row>
    <row r="155" spans="6:25" ht="16.5" customHeight="1"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</row>
    <row r="156" spans="6:25" ht="16.5" customHeight="1"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</row>
    <row r="157" spans="6:25" ht="16.5" customHeight="1"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</row>
    <row r="158" spans="6:25" ht="16.5" customHeight="1"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</row>
    <row r="159" spans="6:25" ht="16.5" customHeight="1"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4"/>
  <headerFooter alignWithMargins="0">
    <oddFooter>&amp;L&amp;"Times New Roman,Normal"&amp;5&amp;F  - TRANSPORTE de ENERGÍA ELÉCTRICA - PJL - JI -JM -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2011-04-14T13:51:52Z</cp:lastPrinted>
  <dcterms:created xsi:type="dcterms:W3CDTF">1998-04-21T14:04:37Z</dcterms:created>
  <dcterms:modified xsi:type="dcterms:W3CDTF">2011-05-19T19:17:14Z</dcterms:modified>
  <cp:category/>
  <cp:version/>
  <cp:contentType/>
  <cp:contentStatus/>
</cp:coreProperties>
</file>