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1110" sheetId="1" r:id="rId1"/>
    <sheet name="LI-11 (1)" sheetId="2" r:id="rId2"/>
    <sheet name="TR-11 (1)" sheetId="3" r:id="rId3"/>
    <sheet name="SA-EDERSA-11 (1)" sheetId="4" r:id="rId4"/>
    <sheet name="RE-11 (1)" sheetId="5" r:id="rId5"/>
    <sheet name="RE-EDERSA-11 (1)" sheetId="6" r:id="rId6"/>
    <sheet name="SUP-EDERSA" sheetId="7" r:id="rId7"/>
    <sheet name="TASA FALLA" sheetId="8" r:id="rId8"/>
  </sheets>
  <externalReferences>
    <externalReference r:id="rId11"/>
  </externalReferences>
  <definedNames>
    <definedName name="_xlnm.Print_Area" localSheetId="7">'TASA FALLA'!$A$1:$T$57</definedName>
    <definedName name="DD" localSheetId="5">'RE-EDERSA-11 (1)'!DD</definedName>
    <definedName name="DD" localSheetId="7">'TASA FALLA'!DD</definedName>
    <definedName name="DD">[0]!DD</definedName>
    <definedName name="DDD" localSheetId="5">'RE-EDERSA-11 (1)'!DDD</definedName>
    <definedName name="DDD" localSheetId="7">'TASA FALLA'!DDD</definedName>
    <definedName name="DDD">[0]!DDD</definedName>
    <definedName name="DISTROCUYO" localSheetId="5">'RE-EDERSA-11 (1)'!DISTROCUYO</definedName>
    <definedName name="DISTROCUYO" localSheetId="7">'TASA FALLA'!DISTROCUYO</definedName>
    <definedName name="DISTROCUYO">[0]!DISTROCUYO</definedName>
    <definedName name="INICIO" localSheetId="5">'RE-EDERSA-11 (1)'!INICIO</definedName>
    <definedName name="INICIO" localSheetId="7">'TASA FALLA'!INICIO</definedName>
    <definedName name="INICIO">[0]!INICIO</definedName>
    <definedName name="INICIOTI" localSheetId="5">'RE-EDERSA-11 (1)'!INICIOTI</definedName>
    <definedName name="INICIOTI" localSheetId="7">'TASA FALLA'!INICIOTI</definedName>
    <definedName name="INICIOTI">[0]!INICIOTI</definedName>
    <definedName name="LINEAS" localSheetId="5">'RE-EDERSA-11 (1)'!LINEAS</definedName>
    <definedName name="LINEAS" localSheetId="7">'TASA FALLA'!LINEAS</definedName>
    <definedName name="LINEAS">[0]!LINEAS</definedName>
    <definedName name="NAME_L" localSheetId="5">'RE-EDERSA-11 (1)'!NAME_L</definedName>
    <definedName name="NAME_L" localSheetId="7">'TASA FALLA'!NAME_L</definedName>
    <definedName name="NAME_L">[0]!NAME_L</definedName>
    <definedName name="NAME_L_TI" localSheetId="5">'RE-EDERSA-11 (1)'!NAME_L_TI</definedName>
    <definedName name="NAME_L_TI" localSheetId="7">'TASA FALLA'!NAME_L_TI</definedName>
    <definedName name="NAME_L_TI">[0]!NAME_L_TI</definedName>
    <definedName name="TRAN" localSheetId="5">'RE-EDERSA-11 (1)'!TRAN</definedName>
    <definedName name="TRAN" localSheetId="7">'TASA FALLA'!TRAN</definedName>
    <definedName name="TRAN">[0]!TRAN</definedName>
    <definedName name="TRANSNOA" localSheetId="5">'RE-EDERSA-11 (1)'!TRANSNOA</definedName>
    <definedName name="TRANSNOA" localSheetId="7">'TASA FALLA'!TRANSNOA</definedName>
    <definedName name="TRANSNOA">[0]!TRANSNOA</definedName>
    <definedName name="x" localSheetId="5">'RE-EDERSA-11 (1)'!x</definedName>
    <definedName name="x" localSheetId="7">'TASA FALLA'!x</definedName>
    <definedName name="x">[0]!x</definedName>
    <definedName name="XX" localSheetId="5">'RE-EDERSA-11 (1)'!XX</definedName>
    <definedName name="XX" localSheetId="7">'TASA FALLA'!XX</definedName>
    <definedName name="XX">[0]!XX</definedName>
  </definedNames>
  <calcPr fullCalcOnLoad="1"/>
</workbook>
</file>

<file path=xl/comments7.xml><?xml version="1.0" encoding="utf-8"?>
<comments xmlns="http://schemas.openxmlformats.org/spreadsheetml/2006/main">
  <authors>
    <author>Ing. Juan Messina</author>
  </authors>
  <commentList>
    <comment ref="K31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<sst xmlns="http://schemas.openxmlformats.org/spreadsheetml/2006/main" count="339" uniqueCount="173">
  <si>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</si>
  <si>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</si>
  <si>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</si>
  <si>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</si>
  <si>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</si>
  <si>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</si>
  <si>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</si>
  <si>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</si>
  <si>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</si>
  <si>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</si>
  <si>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</si>
  <si>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</si>
  <si>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</si>
  <si>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</si>
  <si>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</si>
  <si>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</si>
  <si>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</si>
  <si>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</si>
  <si>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</si>
  <si>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</si>
  <si>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</si>
  <si>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</si>
  <si>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Transportista Independiente E.D.E.R.S.A.</t>
  </si>
  <si>
    <t>2.-</t>
  </si>
  <si>
    <t>CONEXIÓN</t>
  </si>
  <si>
    <t>2.1.-</t>
  </si>
  <si>
    <t>Transformación</t>
  </si>
  <si>
    <t>2.1.1.-</t>
  </si>
  <si>
    <t>2.2.-</t>
  </si>
  <si>
    <t>Salidas</t>
  </si>
  <si>
    <t>2.2.1.-</t>
  </si>
  <si>
    <t>3.-</t>
  </si>
  <si>
    <t>POTENCIA REACTIVA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</si>
  <si>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</si>
  <si>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</si>
  <si>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</si>
  <si>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</si>
  <si>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</si>
  <si>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</si>
  <si>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</si>
  <si>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</si>
  <si>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</si>
  <si>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</si>
  <si>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</si>
  <si>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</si>
  <si>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</si>
  <si>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</si>
  <si>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</si>
  <si>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</si>
  <si>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</si>
  <si>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</si>
  <si>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</si>
  <si>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</si>
  <si>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</si>
  <si>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</si>
  <si>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</si>
  <si>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</si>
  <si>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</si>
  <si>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</si>
  <si>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</si>
  <si>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</si>
  <si>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</si>
  <si>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</si>
  <si>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</si>
  <si>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</si>
  <si>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</si>
  <si>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</si>
  <si>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</si>
  <si>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</si>
  <si>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</si>
  <si>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</si>
  <si>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</si>
  <si>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</si>
  <si>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</si>
  <si>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</si>
  <si>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</si>
  <si>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</si>
  <si>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</si>
  <si>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</si>
  <si>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</si>
  <si>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</si>
  <si>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</si>
  <si>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3.- POTENCIA REACTIVA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</si>
  <si>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</si>
  <si>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</si>
  <si>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</si>
  <si>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</si>
  <si>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</si>
  <si>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</si>
  <si>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</si>
  <si>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</si>
  <si>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</si>
  <si>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</si>
  <si>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</si>
  <si>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</si>
  <si>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</si>
  <si>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</si>
  <si>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</si>
  <si>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</si>
  <si>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</si>
  <si>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</si>
  <si>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</si>
  <si>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</si>
  <si>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</si>
  <si>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</si>
  <si>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</si>
  <si>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</si>
  <si>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</si>
  <si>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</si>
  <si>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</si>
  <si>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</si>
  <si>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</si>
  <si>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</si>
  <si>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</si>
  <si>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</si>
  <si>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</si>
  <si>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</si>
  <si>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</si>
  <si>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</si>
  <si>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</si>
  <si>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</si>
  <si>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</si>
  <si>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</si>
  <si>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</si>
  <si>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</si>
  <si>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</si>
  <si>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</si>
  <si>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</si>
  <si>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2.2.2.- Transportista Independiente E.D.E.R.S.A.</t>
  </si>
  <si>
    <t>ID EQUIPO</t>
  </si>
  <si>
    <t>INDISP</t>
  </si>
  <si>
    <t xml:space="preserve">        DE LA ELECTRICIDAD</t>
  </si>
  <si>
    <t xml:space="preserve">           ENTE NACIONAL REGULADOR </t>
  </si>
  <si>
    <t>(DTE 0609)</t>
  </si>
  <si>
    <t>Desde el 01 al 30 de noviembre de 2010</t>
  </si>
  <si>
    <t>FLORENTINO AMEGHINO - ESTACION PATAGONIA</t>
  </si>
  <si>
    <t>F</t>
  </si>
  <si>
    <t>SI</t>
  </si>
  <si>
    <t>P</t>
  </si>
  <si>
    <t>TRELEW</t>
  </si>
  <si>
    <t>TRAFO 6</t>
  </si>
  <si>
    <t>132/33/13,2</t>
  </si>
  <si>
    <t>PUERTO MADRYN</t>
  </si>
  <si>
    <t>AUTOTRAFO 2</t>
  </si>
  <si>
    <t>330/132/33</t>
  </si>
  <si>
    <t>Reactor 1</t>
  </si>
  <si>
    <t>LAS HERAS - MINA SAN JOSE</t>
  </si>
  <si>
    <t>SALIDA ALIMENTADOR VIEDMA 4</t>
  </si>
  <si>
    <t>SALIDA ALIMENTADOR 1 RURAL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</si>
  <si>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</si>
  <si>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</si>
  <si>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</si>
  <si>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</si>
  <si>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</si>
  <si>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</si>
  <si>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</si>
  <si>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</si>
  <si>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</si>
  <si>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</si>
  <si>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Tasa de falla correspondiente al mes de noviembre de 2010 (provisoria).-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</si>
  <si>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</si>
  <si>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</t>
  </si>
  <si>
    <t>P - PROGRAMADA  ;  F - FORZADA</t>
  </si>
  <si>
    <t>Pot E.T. [MVA]</t>
  </si>
  <si>
    <t>Valores remuneratorios según  Resoluciones ENRE N° 330/08  y  Res. ENRE N° 645/08</t>
  </si>
  <si>
    <t xml:space="preserve">                 DE LA ELECTRICIDAD</t>
  </si>
  <si>
    <t>TOTAL DE PENALIZACIONES</t>
  </si>
  <si>
    <t>3.1.</t>
  </si>
  <si>
    <t>3.2.</t>
  </si>
  <si>
    <t>REACTIVO</t>
  </si>
  <si>
    <t>SEGÚN 3.2.</t>
  </si>
  <si>
    <t>3.2.  Transportista Independiente E.D.E.R.S.A.</t>
  </si>
  <si>
    <t>ANEXO V al Memorandum D.T.E.E.  N°    271 / 2012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</si>
</sst>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b/>
      <sz val="10"/>
      <color indexed="48"/>
      <name val="MS Sans Serif"/>
      <family val="0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sz val="9"/>
      <name val="Wingdings"/>
      <family val="0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8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7" xfId="0" applyNumberFormat="1" applyFont="1" applyFill="1" applyBorder="1" applyAlignment="1">
      <alignment horizontal="center"/>
    </xf>
    <xf numFmtId="22" fontId="7" fillId="0" borderId="8" xfId="0" applyNumberFormat="1" applyFont="1" applyFill="1" applyBorder="1" applyAlignment="1" applyProtection="1">
      <alignment horizontal="center"/>
      <protection/>
    </xf>
    <xf numFmtId="2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7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  <xf numFmtId="168" fontId="7" fillId="0" borderId="7" xfId="0" applyNumberFormat="1" applyFont="1" applyBorder="1" applyAlignment="1" applyProtection="1">
      <alignment horizontal="center"/>
      <protection/>
    </xf>
    <xf numFmtId="22" fontId="7" fillId="0" borderId="19" xfId="0" applyNumberFormat="1" applyFont="1" applyBorder="1" applyAlignment="1">
      <alignment horizontal="center"/>
    </xf>
    <xf numFmtId="22" fontId="7" fillId="0" borderId="18" xfId="0" applyNumberFormat="1" applyFont="1" applyBorder="1" applyAlignment="1" applyProtection="1">
      <alignment horizontal="center"/>
      <protection/>
    </xf>
    <xf numFmtId="2" fontId="7" fillId="0" borderId="7" xfId="0" applyNumberFormat="1" applyFont="1" applyFill="1" applyBorder="1" applyAlignment="1" applyProtection="1" quotePrefix="1">
      <alignment horizontal="center"/>
      <protection/>
    </xf>
    <xf numFmtId="164" fontId="7" fillId="0" borderId="7" xfId="0" applyNumberFormat="1" applyFont="1" applyFill="1" applyBorder="1" applyAlignment="1" applyProtection="1" quotePrefix="1">
      <alignment horizontal="center"/>
      <protection/>
    </xf>
    <xf numFmtId="168" fontId="7" fillId="0" borderId="20" xfId="0" applyNumberFormat="1" applyFont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 quotePrefix="1">
      <alignment horizontal="center"/>
      <protection/>
    </xf>
    <xf numFmtId="4" fontId="18" fillId="0" borderId="3" xfId="0" applyNumberFormat="1" applyFont="1" applyFill="1" applyBorder="1" applyAlignment="1">
      <alignment horizontal="right"/>
    </xf>
    <xf numFmtId="168" fontId="7" fillId="0" borderId="21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7" fontId="8" fillId="0" borderId="25" xfId="0" applyNumberFormat="1" applyFont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16" fillId="0" borderId="2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 quotePrefix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 quotePrefix="1">
      <alignment horizontal="center" vertical="center" wrapText="1"/>
      <protection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 applyProtection="1" quotePrefix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24" xfId="0" applyFont="1" applyBorder="1" applyAlignment="1" applyProtection="1">
      <alignment horizontal="left"/>
      <protection/>
    </xf>
    <xf numFmtId="171" fontId="0" fillId="0" borderId="27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171" fontId="25" fillId="0" borderId="27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2" fontId="7" fillId="0" borderId="28" xfId="0" applyNumberFormat="1" applyFont="1" applyFill="1" applyBorder="1" applyAlignment="1" applyProtection="1" quotePrefix="1">
      <alignment horizontal="center"/>
      <protection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6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164" fontId="0" fillId="0" borderId="25" xfId="0" applyNumberFormat="1" applyFont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 vertical="center" wrapText="1"/>
      <protection/>
    </xf>
    <xf numFmtId="0" fontId="27" fillId="0" borderId="22" xfId="0" applyFont="1" applyFill="1" applyBorder="1" applyAlignment="1">
      <alignment horizontal="center" vertical="center" wrapText="1"/>
    </xf>
    <xf numFmtId="168" fontId="18" fillId="0" borderId="7" xfId="0" applyNumberFormat="1" applyFont="1" applyFill="1" applyBorder="1" applyAlignment="1">
      <alignment horizontal="center"/>
    </xf>
    <xf numFmtId="168" fontId="18" fillId="0" borderId="1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4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2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39" fillId="0" borderId="2" xfId="0" applyFont="1" applyBorder="1" applyAlignment="1">
      <alignment/>
    </xf>
    <xf numFmtId="0" fontId="46" fillId="2" borderId="22" xfId="0" applyFont="1" applyFill="1" applyBorder="1" applyAlignment="1" applyProtection="1">
      <alignment horizontal="center" vertical="center"/>
      <protection/>
    </xf>
    <xf numFmtId="168" fontId="47" fillId="2" borderId="3" xfId="0" applyNumberFormat="1" applyFont="1" applyFill="1" applyBorder="1" applyAlignment="1" applyProtection="1">
      <alignment horizontal="center"/>
      <protection/>
    </xf>
    <xf numFmtId="0" fontId="47" fillId="2" borderId="4" xfId="0" applyFont="1" applyFill="1" applyBorder="1" applyAlignment="1">
      <alignment/>
    </xf>
    <xf numFmtId="171" fontId="47" fillId="2" borderId="3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4" fontId="45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52" fillId="3" borderId="22" xfId="0" applyFont="1" applyFill="1" applyBorder="1" applyAlignment="1">
      <alignment horizontal="center" vertical="center" wrapText="1"/>
    </xf>
    <xf numFmtId="0" fontId="53" fillId="3" borderId="16" xfId="0" applyFont="1" applyFill="1" applyBorder="1" applyAlignment="1">
      <alignment/>
    </xf>
    <xf numFmtId="0" fontId="52" fillId="4" borderId="22" xfId="0" applyFont="1" applyFill="1" applyBorder="1" applyAlignment="1">
      <alignment horizontal="center" vertical="center" wrapText="1"/>
    </xf>
    <xf numFmtId="0" fontId="53" fillId="4" borderId="16" xfId="0" applyFont="1" applyFill="1" applyBorder="1" applyAlignment="1">
      <alignment/>
    </xf>
    <xf numFmtId="0" fontId="27" fillId="5" borderId="22" xfId="0" applyFont="1" applyFill="1" applyBorder="1" applyAlignment="1" applyProtection="1">
      <alignment horizontal="centerContinuous" vertical="center" wrapText="1"/>
      <protection/>
    </xf>
    <xf numFmtId="0" fontId="25" fillId="5" borderId="23" xfId="0" applyFont="1" applyFill="1" applyBorder="1" applyAlignment="1">
      <alignment horizontal="centerContinuous"/>
    </xf>
    <xf numFmtId="0" fontId="27" fillId="5" borderId="25" xfId="0" applyFont="1" applyFill="1" applyBorder="1" applyAlignment="1">
      <alignment horizontal="centerContinuous" vertical="center"/>
    </xf>
    <xf numFmtId="0" fontId="55" fillId="5" borderId="33" xfId="0" applyFont="1" applyFill="1" applyBorder="1" applyAlignment="1">
      <alignment horizontal="center"/>
    </xf>
    <xf numFmtId="0" fontId="55" fillId="5" borderId="34" xfId="0" applyFont="1" applyFill="1" applyBorder="1" applyAlignment="1">
      <alignment/>
    </xf>
    <xf numFmtId="0" fontId="55" fillId="5" borderId="35" xfId="0" applyFont="1" applyFill="1" applyBorder="1" applyAlignment="1">
      <alignment/>
    </xf>
    <xf numFmtId="0" fontId="0" fillId="0" borderId="16" xfId="0" applyFont="1" applyBorder="1" applyAlignment="1">
      <alignment/>
    </xf>
    <xf numFmtId="0" fontId="27" fillId="6" borderId="22" xfId="0" applyFont="1" applyFill="1" applyBorder="1" applyAlignment="1" applyProtection="1">
      <alignment horizontal="centerContinuous" vertical="center" wrapText="1"/>
      <protection/>
    </xf>
    <xf numFmtId="0" fontId="25" fillId="6" borderId="23" xfId="0" applyFont="1" applyFill="1" applyBorder="1" applyAlignment="1">
      <alignment horizontal="centerContinuous"/>
    </xf>
    <xf numFmtId="0" fontId="27" fillId="6" borderId="25" xfId="0" applyFont="1" applyFill="1" applyBorder="1" applyAlignment="1">
      <alignment horizontal="centerContinuous" vertical="center"/>
    </xf>
    <xf numFmtId="0" fontId="55" fillId="6" borderId="33" xfId="0" applyFont="1" applyFill="1" applyBorder="1" applyAlignment="1">
      <alignment horizontal="center"/>
    </xf>
    <xf numFmtId="0" fontId="55" fillId="6" borderId="34" xfId="0" applyFont="1" applyFill="1" applyBorder="1" applyAlignment="1">
      <alignment/>
    </xf>
    <xf numFmtId="0" fontId="55" fillId="6" borderId="35" xfId="0" applyFont="1" applyFill="1" applyBorder="1" applyAlignment="1">
      <alignment/>
    </xf>
    <xf numFmtId="0" fontId="27" fillId="5" borderId="22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0" fontId="55" fillId="7" borderId="16" xfId="0" applyFont="1" applyFill="1" applyBorder="1" applyAlignment="1">
      <alignment/>
    </xf>
    <xf numFmtId="0" fontId="52" fillId="8" borderId="22" xfId="0" applyFont="1" applyFill="1" applyBorder="1" applyAlignment="1">
      <alignment horizontal="center" vertical="center" wrapText="1"/>
    </xf>
    <xf numFmtId="0" fontId="53" fillId="8" borderId="16" xfId="0" applyFont="1" applyFill="1" applyBorder="1" applyAlignment="1">
      <alignment/>
    </xf>
    <xf numFmtId="2" fontId="51" fillId="3" borderId="22" xfId="0" applyNumberFormat="1" applyFont="1" applyFill="1" applyBorder="1" applyAlignment="1">
      <alignment horizontal="center"/>
    </xf>
    <xf numFmtId="2" fontId="51" fillId="4" borderId="22" xfId="0" applyNumberFormat="1" applyFont="1" applyFill="1" applyBorder="1" applyAlignment="1">
      <alignment horizontal="center"/>
    </xf>
    <xf numFmtId="168" fontId="56" fillId="5" borderId="22" xfId="0" applyNumberFormat="1" applyFont="1" applyFill="1" applyBorder="1" applyAlignment="1" applyProtection="1" quotePrefix="1">
      <alignment horizontal="center"/>
      <protection/>
    </xf>
    <xf numFmtId="4" fontId="56" fillId="5" borderId="22" xfId="0" applyNumberFormat="1" applyFont="1" applyFill="1" applyBorder="1" applyAlignment="1">
      <alignment horizontal="center"/>
    </xf>
    <xf numFmtId="168" fontId="56" fillId="6" borderId="22" xfId="0" applyNumberFormat="1" applyFont="1" applyFill="1" applyBorder="1" applyAlignment="1" applyProtection="1" quotePrefix="1">
      <alignment horizontal="center"/>
      <protection/>
    </xf>
    <xf numFmtId="4" fontId="56" fillId="6" borderId="22" xfId="0" applyNumberFormat="1" applyFont="1" applyFill="1" applyBorder="1" applyAlignment="1">
      <alignment horizontal="center"/>
    </xf>
    <xf numFmtId="168" fontId="56" fillId="7" borderId="22" xfId="0" applyNumberFormat="1" applyFont="1" applyFill="1" applyBorder="1" applyAlignment="1" applyProtection="1" quotePrefix="1">
      <alignment horizontal="center"/>
      <protection/>
    </xf>
    <xf numFmtId="4" fontId="51" fillId="8" borderId="22" xfId="0" applyNumberFormat="1" applyFont="1" applyFill="1" applyBorder="1" applyAlignment="1">
      <alignment horizontal="center"/>
    </xf>
    <xf numFmtId="0" fontId="52" fillId="8" borderId="22" xfId="0" applyFont="1" applyFill="1" applyBorder="1" applyAlignment="1" applyProtection="1">
      <alignment horizontal="center" vertical="center"/>
      <protection/>
    </xf>
    <xf numFmtId="4" fontId="51" fillId="8" borderId="3" xfId="0" applyNumberFormat="1" applyFont="1" applyFill="1" applyBorder="1" applyAlignment="1" applyProtection="1">
      <alignment horizontal="center"/>
      <protection/>
    </xf>
    <xf numFmtId="0" fontId="27" fillId="9" borderId="22" xfId="0" applyFont="1" applyFill="1" applyBorder="1" applyAlignment="1">
      <alignment horizontal="center" vertical="center" wrapText="1"/>
    </xf>
    <xf numFmtId="0" fontId="52" fillId="10" borderId="24" xfId="0" applyFont="1" applyFill="1" applyBorder="1" applyAlignment="1" applyProtection="1">
      <alignment horizontal="centerContinuous" vertical="center" wrapText="1"/>
      <protection/>
    </xf>
    <xf numFmtId="168" fontId="51" fillId="10" borderId="36" xfId="0" applyNumberFormat="1" applyFont="1" applyFill="1" applyBorder="1" applyAlignment="1" applyProtection="1" quotePrefix="1">
      <alignment horizontal="center"/>
      <protection/>
    </xf>
    <xf numFmtId="168" fontId="51" fillId="10" borderId="8" xfId="0" applyNumberFormat="1" applyFont="1" applyFill="1" applyBorder="1" applyAlignment="1" applyProtection="1" quotePrefix="1">
      <alignment horizontal="center"/>
      <protection/>
    </xf>
    <xf numFmtId="0" fontId="52" fillId="3" borderId="24" xfId="0" applyFont="1" applyFill="1" applyBorder="1" applyAlignment="1" applyProtection="1">
      <alignment horizontal="centerContinuous" vertical="center" wrapText="1"/>
      <protection/>
    </xf>
    <xf numFmtId="0" fontId="52" fillId="3" borderId="25" xfId="0" applyFont="1" applyFill="1" applyBorder="1" applyAlignment="1">
      <alignment horizontal="centerContinuous" vertical="center"/>
    </xf>
    <xf numFmtId="168" fontId="51" fillId="3" borderId="36" xfId="0" applyNumberFormat="1" applyFont="1" applyFill="1" applyBorder="1" applyAlignment="1" applyProtection="1" quotePrefix="1">
      <alignment horizontal="center"/>
      <protection/>
    </xf>
    <xf numFmtId="168" fontId="51" fillId="3" borderId="8" xfId="0" applyNumberFormat="1" applyFont="1" applyFill="1" applyBorder="1" applyAlignment="1" applyProtection="1" quotePrefix="1">
      <alignment horizontal="center"/>
      <protection/>
    </xf>
    <xf numFmtId="168" fontId="49" fillId="5" borderId="3" xfId="0" applyNumberFormat="1" applyFont="1" applyFill="1" applyBorder="1" applyAlignment="1" applyProtection="1" quotePrefix="1">
      <alignment horizontal="center"/>
      <protection/>
    </xf>
    <xf numFmtId="168" fontId="56" fillId="6" borderId="3" xfId="0" applyNumberFormat="1" applyFont="1" applyFill="1" applyBorder="1" applyAlignment="1" applyProtection="1" quotePrefix="1">
      <alignment horizontal="center"/>
      <protection/>
    </xf>
    <xf numFmtId="0" fontId="57" fillId="0" borderId="9" xfId="0" applyFont="1" applyBorder="1" applyAlignment="1">
      <alignment/>
    </xf>
    <xf numFmtId="0" fontId="52" fillId="6" borderId="22" xfId="0" applyFont="1" applyFill="1" applyBorder="1" applyAlignment="1" applyProtection="1">
      <alignment horizontal="center" vertical="center"/>
      <protection/>
    </xf>
    <xf numFmtId="164" fontId="51" fillId="6" borderId="3" xfId="0" applyNumberFormat="1" applyFont="1" applyFill="1" applyBorder="1" applyAlignment="1" applyProtection="1">
      <alignment horizontal="center"/>
      <protection/>
    </xf>
    <xf numFmtId="168" fontId="7" fillId="0" borderId="35" xfId="0" applyNumberFormat="1" applyFont="1" applyFill="1" applyBorder="1" applyAlignment="1" applyProtection="1">
      <alignment horizontal="center"/>
      <protection/>
    </xf>
    <xf numFmtId="164" fontId="51" fillId="6" borderId="16" xfId="0" applyNumberFormat="1" applyFont="1" applyFill="1" applyBorder="1" applyAlignment="1" applyProtection="1">
      <alignment horizontal="center"/>
      <protection/>
    </xf>
    <xf numFmtId="168" fontId="10" fillId="0" borderId="16" xfId="0" applyNumberFormat="1" applyFont="1" applyFill="1" applyBorder="1" applyAlignment="1">
      <alignment horizontal="center"/>
    </xf>
    <xf numFmtId="2" fontId="56" fillId="5" borderId="16" xfId="0" applyNumberFormat="1" applyFont="1" applyFill="1" applyBorder="1" applyAlignment="1">
      <alignment horizontal="center"/>
    </xf>
    <xf numFmtId="168" fontId="51" fillId="3" borderId="33" xfId="0" applyNumberFormat="1" applyFont="1" applyFill="1" applyBorder="1" applyAlignment="1" applyProtection="1" quotePrefix="1">
      <alignment horizontal="center"/>
      <protection/>
    </xf>
    <xf numFmtId="168" fontId="51" fillId="3" borderId="37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52" fillId="8" borderId="22" xfId="0" applyFont="1" applyFill="1" applyBorder="1" applyAlignment="1" applyProtection="1">
      <alignment horizontal="centerContinuous" vertical="center" wrapText="1"/>
      <protection/>
    </xf>
    <xf numFmtId="168" fontId="51" fillId="8" borderId="16" xfId="0" applyNumberFormat="1" applyFont="1" applyFill="1" applyBorder="1" applyAlignment="1" applyProtection="1" quotePrefix="1">
      <alignment horizontal="center"/>
      <protection/>
    </xf>
    <xf numFmtId="168" fontId="51" fillId="8" borderId="3" xfId="0" applyNumberFormat="1" applyFont="1" applyFill="1" applyBorder="1" applyAlignment="1" applyProtection="1" quotePrefix="1">
      <alignment horizontal="center"/>
      <protection/>
    </xf>
    <xf numFmtId="2" fontId="56" fillId="5" borderId="22" xfId="0" applyNumberFormat="1" applyFont="1" applyFill="1" applyBorder="1" applyAlignment="1">
      <alignment horizontal="center"/>
    </xf>
    <xf numFmtId="2" fontId="51" fillId="8" borderId="22" xfId="0" applyNumberFormat="1" applyFont="1" applyFill="1" applyBorder="1" applyAlignment="1">
      <alignment horizontal="center"/>
    </xf>
    <xf numFmtId="0" fontId="58" fillId="2" borderId="30" xfId="0" applyFont="1" applyFill="1" applyBorder="1" applyAlignment="1">
      <alignment horizontal="center"/>
    </xf>
    <xf numFmtId="168" fontId="58" fillId="2" borderId="7" xfId="0" applyNumberFormat="1" applyFont="1" applyFill="1" applyBorder="1" applyAlignment="1" applyProtection="1">
      <alignment horizontal="center"/>
      <protection/>
    </xf>
    <xf numFmtId="168" fontId="58" fillId="2" borderId="3" xfId="0" applyNumberFormat="1" applyFont="1" applyFill="1" applyBorder="1" applyAlignment="1" applyProtection="1">
      <alignment horizontal="center"/>
      <protection/>
    </xf>
    <xf numFmtId="168" fontId="58" fillId="2" borderId="4" xfId="0" applyNumberFormat="1" applyFont="1" applyFill="1" applyBorder="1" applyAlignment="1" applyProtection="1">
      <alignment horizontal="center"/>
      <protection/>
    </xf>
    <xf numFmtId="164" fontId="54" fillId="8" borderId="7" xfId="0" applyNumberFormat="1" applyFont="1" applyFill="1" applyBorder="1" applyAlignment="1" applyProtection="1">
      <alignment horizontal="center"/>
      <protection/>
    </xf>
    <xf numFmtId="2" fontId="56" fillId="9" borderId="7" xfId="0" applyNumberFormat="1" applyFont="1" applyFill="1" applyBorder="1" applyAlignment="1">
      <alignment horizontal="center"/>
    </xf>
    <xf numFmtId="4" fontId="56" fillId="9" borderId="22" xfId="0" applyNumberFormat="1" applyFont="1" applyFill="1" applyBorder="1" applyAlignment="1">
      <alignment horizontal="center"/>
    </xf>
    <xf numFmtId="0" fontId="54" fillId="8" borderId="16" xfId="0" applyFont="1" applyFill="1" applyBorder="1" applyAlignment="1">
      <alignment horizontal="center"/>
    </xf>
    <xf numFmtId="0" fontId="56" fillId="9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68" fontId="56" fillId="6" borderId="33" xfId="0" applyNumberFormat="1" applyFont="1" applyFill="1" applyBorder="1" applyAlignment="1" applyProtection="1" quotePrefix="1">
      <alignment horizontal="center"/>
      <protection/>
    </xf>
    <xf numFmtId="168" fontId="56" fillId="6" borderId="19" xfId="0" applyNumberFormat="1" applyFont="1" applyFill="1" applyBorder="1" applyAlignment="1" applyProtection="1" quotePrefix="1">
      <alignment horizontal="center"/>
      <protection/>
    </xf>
    <xf numFmtId="4" fontId="56" fillId="6" borderId="22" xfId="0" applyNumberFormat="1" applyFont="1" applyFill="1" applyBorder="1" applyAlignment="1">
      <alignment horizontal="center"/>
    </xf>
    <xf numFmtId="4" fontId="56" fillId="6" borderId="27" xfId="0" applyNumberFormat="1" applyFont="1" applyFill="1" applyBorder="1" applyAlignment="1">
      <alignment horizontal="center"/>
    </xf>
    <xf numFmtId="0" fontId="27" fillId="6" borderId="24" xfId="0" applyFont="1" applyFill="1" applyBorder="1" applyAlignment="1" applyProtection="1">
      <alignment horizontal="centerContinuous" vertical="center" wrapText="1"/>
      <protection/>
    </xf>
    <xf numFmtId="168" fontId="56" fillId="6" borderId="37" xfId="0" applyNumberFormat="1" applyFont="1" applyFill="1" applyBorder="1" applyAlignment="1" applyProtection="1" quotePrefix="1">
      <alignment horizontal="center"/>
      <protection/>
    </xf>
    <xf numFmtId="168" fontId="56" fillId="6" borderId="38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Border="1" applyAlignment="1" applyProtection="1">
      <alignment horizontal="center"/>
      <protection/>
    </xf>
    <xf numFmtId="0" fontId="59" fillId="2" borderId="16" xfId="0" applyFont="1" applyFill="1" applyBorder="1" applyAlignment="1">
      <alignment/>
    </xf>
    <xf numFmtId="0" fontId="59" fillId="2" borderId="3" xfId="0" applyFont="1" applyFill="1" applyBorder="1" applyAlignment="1">
      <alignment/>
    </xf>
    <xf numFmtId="168" fontId="58" fillId="2" borderId="3" xfId="0" applyNumberFormat="1" applyFont="1" applyFill="1" applyBorder="1" applyAlignment="1" applyProtection="1">
      <alignment horizontal="center"/>
      <protection/>
    </xf>
    <xf numFmtId="168" fontId="58" fillId="2" borderId="4" xfId="0" applyNumberFormat="1" applyFont="1" applyFill="1" applyBorder="1" applyAlignment="1" applyProtection="1">
      <alignment horizontal="center"/>
      <protection/>
    </xf>
    <xf numFmtId="168" fontId="56" fillId="5" borderId="16" xfId="0" applyNumberFormat="1" applyFont="1" applyFill="1" applyBorder="1" applyAlignment="1" applyProtection="1" quotePrefix="1">
      <alignment horizontal="center"/>
      <protection/>
    </xf>
    <xf numFmtId="168" fontId="56" fillId="5" borderId="7" xfId="0" applyNumberFormat="1" applyFont="1" applyFill="1" applyBorder="1" applyAlignment="1" applyProtection="1" quotePrefix="1">
      <alignment horizontal="center"/>
      <protection/>
    </xf>
    <xf numFmtId="4" fontId="56" fillId="5" borderId="27" xfId="0" applyNumberFormat="1" applyFont="1" applyFill="1" applyBorder="1" applyAlignment="1">
      <alignment horizontal="center"/>
    </xf>
    <xf numFmtId="173" fontId="0" fillId="0" borderId="25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7" fontId="0" fillId="0" borderId="16" xfId="0" applyNumberFormat="1" applyBorder="1" applyAlignment="1">
      <alignment/>
    </xf>
    <xf numFmtId="0" fontId="60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39" xfId="0" applyFont="1" applyBorder="1" applyAlignment="1" applyProtection="1">
      <alignment horizontal="left"/>
      <protection/>
    </xf>
    <xf numFmtId="171" fontId="0" fillId="0" borderId="40" xfId="0" applyNumberFormat="1" applyFont="1" applyBorder="1" applyAlignment="1" applyProtection="1">
      <alignment horizontal="centerContinuous"/>
      <protection/>
    </xf>
    <xf numFmtId="0" fontId="10" fillId="0" borderId="41" xfId="0" applyFont="1" applyBorder="1" applyAlignment="1">
      <alignment horizontal="centerContinuous"/>
    </xf>
    <xf numFmtId="0" fontId="10" fillId="0" borderId="42" xfId="0" applyFont="1" applyFill="1" applyBorder="1" applyAlignment="1">
      <alignment/>
    </xf>
    <xf numFmtId="0" fontId="10" fillId="0" borderId="43" xfId="0" applyFont="1" applyBorder="1" applyAlignment="1" applyProtection="1">
      <alignment horizontal="right"/>
      <protection/>
    </xf>
    <xf numFmtId="173" fontId="10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171" fontId="25" fillId="0" borderId="46" xfId="0" applyNumberFormat="1" applyFont="1" applyBorder="1" applyAlignment="1">
      <alignment horizontal="centerContinuous"/>
    </xf>
    <xf numFmtId="0" fontId="10" fillId="0" borderId="47" xfId="0" applyFont="1" applyBorder="1" applyAlignment="1">
      <alignment horizontal="centerContinuous"/>
    </xf>
    <xf numFmtId="0" fontId="10" fillId="0" borderId="48" xfId="0" applyFont="1" applyFill="1" applyBorder="1" applyAlignment="1">
      <alignment/>
    </xf>
    <xf numFmtId="168" fontId="10" fillId="0" borderId="49" xfId="0" applyNumberFormat="1" applyFont="1" applyBorder="1" applyAlignment="1" applyProtection="1">
      <alignment horizontal="right"/>
      <protection/>
    </xf>
    <xf numFmtId="171" fontId="10" fillId="0" borderId="50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171" fontId="25" fillId="0" borderId="49" xfId="0" applyNumberFormat="1" applyFont="1" applyBorder="1" applyAlignment="1">
      <alignment horizontal="centerContinuous"/>
    </xf>
    <xf numFmtId="0" fontId="10" fillId="0" borderId="52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3" xfId="0" applyNumberFormat="1" applyFont="1" applyBorder="1" applyAlignment="1">
      <alignment horizontal="center"/>
    </xf>
    <xf numFmtId="0" fontId="8" fillId="0" borderId="24" xfId="0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/>
    </xf>
    <xf numFmtId="0" fontId="10" fillId="0" borderId="46" xfId="0" applyFont="1" applyBorder="1" applyAlignment="1" applyProtection="1">
      <alignment horizontal="center"/>
      <protection/>
    </xf>
    <xf numFmtId="2" fontId="10" fillId="0" borderId="46" xfId="0" applyNumberFormat="1" applyFont="1" applyBorder="1" applyAlignment="1" applyProtection="1">
      <alignment horizontal="center"/>
      <protection/>
    </xf>
    <xf numFmtId="168" fontId="10" fillId="0" borderId="46" xfId="0" applyNumberFormat="1" applyFont="1" applyBorder="1" applyAlignment="1" applyProtection="1">
      <alignment horizontal="center"/>
      <protection/>
    </xf>
    <xf numFmtId="7" fontId="19" fillId="0" borderId="55" xfId="0" applyNumberFormat="1" applyFont="1" applyBorder="1" applyAlignment="1">
      <alignment horizontal="center"/>
    </xf>
    <xf numFmtId="0" fontId="10" fillId="0" borderId="56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2" fontId="10" fillId="0" borderId="57" xfId="0" applyNumberFormat="1" applyFont="1" applyBorder="1" applyAlignment="1" applyProtection="1">
      <alignment horizontal="center"/>
      <protection/>
    </xf>
    <xf numFmtId="168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right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2" fontId="10" fillId="0" borderId="53" xfId="0" applyNumberFormat="1" applyFont="1" applyBorder="1" applyAlignment="1" applyProtection="1">
      <alignment horizontal="center"/>
      <protection/>
    </xf>
    <xf numFmtId="168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right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55" xfId="0" applyNumberFormat="1" applyFont="1" applyBorder="1" applyAlignment="1" applyProtection="1">
      <alignment horizontal="center"/>
      <protection/>
    </xf>
    <xf numFmtId="0" fontId="0" fillId="0" borderId="54" xfId="0" applyBorder="1" applyAlignment="1">
      <alignment horizontal="centerContinuous"/>
    </xf>
    <xf numFmtId="0" fontId="10" fillId="0" borderId="46" xfId="0" applyFont="1" applyBorder="1" applyAlignment="1" applyProtection="1">
      <alignment horizontal="centerContinuous"/>
      <protection/>
    </xf>
    <xf numFmtId="0" fontId="0" fillId="0" borderId="46" xfId="0" applyBorder="1" applyAlignment="1">
      <alignment horizontal="center"/>
    </xf>
    <xf numFmtId="168" fontId="10" fillId="0" borderId="54" xfId="0" applyNumberFormat="1" applyFont="1" applyBorder="1" applyAlignment="1" applyProtection="1">
      <alignment horizontal="centerContinuous"/>
      <protection/>
    </xf>
    <xf numFmtId="2" fontId="22" fillId="0" borderId="61" xfId="0" applyNumberFormat="1" applyFont="1" applyBorder="1" applyAlignment="1">
      <alignment horizontal="centerContinuous"/>
    </xf>
    <xf numFmtId="7" fontId="10" fillId="0" borderId="56" xfId="0" applyNumberFormat="1" applyFont="1" applyBorder="1" applyAlignment="1">
      <alignment horizontal="centerContinuous"/>
    </xf>
    <xf numFmtId="168" fontId="10" fillId="0" borderId="57" xfId="0" applyNumberFormat="1" applyFont="1" applyBorder="1" applyAlignment="1" applyProtection="1" quotePrefix="1">
      <alignment horizontal="center"/>
      <protection/>
    </xf>
    <xf numFmtId="7" fontId="10" fillId="0" borderId="56" xfId="0" applyNumberFormat="1" applyFont="1" applyBorder="1" applyAlignment="1" applyProtection="1">
      <alignment horizontal="centerContinuous"/>
      <protection/>
    </xf>
    <xf numFmtId="2" fontId="22" fillId="0" borderId="62" xfId="0" applyNumberFormat="1" applyFont="1" applyBorder="1" applyAlignment="1">
      <alignment horizontal="centerContinuous"/>
    </xf>
    <xf numFmtId="0" fontId="10" fillId="0" borderId="63" xfId="0" applyFont="1" applyBorder="1" applyAlignment="1" applyProtection="1">
      <alignment horizontal="center"/>
      <protection/>
    </xf>
    <xf numFmtId="7" fontId="10" fillId="0" borderId="64" xfId="0" applyNumberFormat="1" applyFont="1" applyBorder="1" applyAlignment="1" applyProtection="1">
      <alignment horizontal="center"/>
      <protection/>
    </xf>
    <xf numFmtId="7" fontId="10" fillId="0" borderId="63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7" fontId="10" fillId="0" borderId="59" xfId="0" applyNumberFormat="1" applyFont="1" applyBorder="1" applyAlignment="1">
      <alignment horizontal="centerContinuous"/>
    </xf>
    <xf numFmtId="168" fontId="10" fillId="0" borderId="53" xfId="0" applyNumberFormat="1" applyFont="1" applyBorder="1" applyAlignment="1" applyProtection="1" quotePrefix="1">
      <alignment horizontal="center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66" xfId="0" applyNumberFormat="1" applyFont="1" applyBorder="1" applyAlignment="1">
      <alignment horizontal="centerContinuous"/>
    </xf>
    <xf numFmtId="7" fontId="10" fillId="0" borderId="54" xfId="0" applyNumberFormat="1" applyFont="1" applyBorder="1" applyAlignment="1" applyProtection="1">
      <alignment horizontal="centerContinuous"/>
      <protection/>
    </xf>
    <xf numFmtId="5" fontId="8" fillId="0" borderId="24" xfId="0" applyNumberFormat="1" applyFont="1" applyBorder="1" applyAlignment="1" applyProtection="1">
      <alignment horizontal="center"/>
      <protection/>
    </xf>
    <xf numFmtId="7" fontId="8" fillId="0" borderId="25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4" fillId="0" borderId="25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5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62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53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0" fontId="0" fillId="0" borderId="24" xfId="0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>
      <alignment horizontal="centerContinuous" vertical="center"/>
    </xf>
    <xf numFmtId="0" fontId="1" fillId="0" borderId="25" xfId="0" applyFont="1" applyBorder="1" applyAlignment="1" applyProtection="1">
      <alignment horizontal="centerContinuous" vertical="center"/>
      <protection/>
    </xf>
    <xf numFmtId="167" fontId="0" fillId="0" borderId="25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7" fillId="0" borderId="67" xfId="0" applyFont="1" applyBorder="1" applyAlignment="1" applyProtection="1">
      <alignment/>
      <protection locked="0"/>
    </xf>
    <xf numFmtId="0" fontId="7" fillId="0" borderId="68" xfId="0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1" fillId="3" borderId="4" xfId="0" applyNumberFormat="1" applyFont="1" applyFill="1" applyBorder="1" applyAlignment="1" applyProtection="1" quotePrefix="1">
      <alignment horizontal="center"/>
      <protection locked="0"/>
    </xf>
    <xf numFmtId="168" fontId="51" fillId="4" borderId="4" xfId="0" applyNumberFormat="1" applyFont="1" applyFill="1" applyBorder="1" applyAlignment="1" applyProtection="1" quotePrefix="1">
      <alignment horizontal="center"/>
      <protection locked="0"/>
    </xf>
    <xf numFmtId="168" fontId="56" fillId="5" borderId="69" xfId="0" applyNumberFormat="1" applyFont="1" applyFill="1" applyBorder="1" applyAlignment="1" applyProtection="1" quotePrefix="1">
      <alignment horizontal="center"/>
      <protection locked="0"/>
    </xf>
    <xf numFmtId="4" fontId="56" fillId="5" borderId="70" xfId="0" applyNumberFormat="1" applyFont="1" applyFill="1" applyBorder="1" applyAlignment="1" applyProtection="1">
      <alignment horizontal="center"/>
      <protection locked="0"/>
    </xf>
    <xf numFmtId="4" fontId="56" fillId="5" borderId="21" xfId="0" applyNumberFormat="1" applyFont="1" applyFill="1" applyBorder="1" applyAlignment="1" applyProtection="1">
      <alignment horizontal="center"/>
      <protection locked="0"/>
    </xf>
    <xf numFmtId="168" fontId="56" fillId="6" borderId="69" xfId="0" applyNumberFormat="1" applyFont="1" applyFill="1" applyBorder="1" applyAlignment="1" applyProtection="1" quotePrefix="1">
      <alignment horizontal="center"/>
      <protection locked="0"/>
    </xf>
    <xf numFmtId="4" fontId="56" fillId="6" borderId="70" xfId="0" applyNumberFormat="1" applyFont="1" applyFill="1" applyBorder="1" applyAlignment="1" applyProtection="1">
      <alignment horizontal="center"/>
      <protection locked="0"/>
    </xf>
    <xf numFmtId="4" fontId="56" fillId="6" borderId="21" xfId="0" applyNumberFormat="1" applyFont="1" applyFill="1" applyBorder="1" applyAlignment="1" applyProtection="1">
      <alignment horizontal="center"/>
      <protection locked="0"/>
    </xf>
    <xf numFmtId="4" fontId="56" fillId="7" borderId="4" xfId="0" applyNumberFormat="1" applyFont="1" applyFill="1" applyBorder="1" applyAlignment="1" applyProtection="1">
      <alignment horizontal="center"/>
      <protection locked="0"/>
    </xf>
    <xf numFmtId="4" fontId="51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3" fillId="3" borderId="3" xfId="0" applyFont="1" applyFill="1" applyBorder="1" applyAlignment="1" applyProtection="1">
      <alignment/>
      <protection locked="0"/>
    </xf>
    <xf numFmtId="0" fontId="53" fillId="4" borderId="3" xfId="0" applyFont="1" applyFill="1" applyBorder="1" applyAlignment="1" applyProtection="1">
      <alignment/>
      <protection locked="0"/>
    </xf>
    <xf numFmtId="0" fontId="55" fillId="5" borderId="36" xfId="0" applyFont="1" applyFill="1" applyBorder="1" applyAlignment="1" applyProtection="1">
      <alignment horizontal="center"/>
      <protection locked="0"/>
    </xf>
    <xf numFmtId="0" fontId="55" fillId="5" borderId="66" xfId="0" applyFont="1" applyFill="1" applyBorder="1" applyAlignment="1" applyProtection="1">
      <alignment/>
      <protection locked="0"/>
    </xf>
    <xf numFmtId="0" fontId="55" fillId="5" borderId="6" xfId="0" applyFont="1" applyFill="1" applyBorder="1" applyAlignment="1" applyProtection="1">
      <alignment/>
      <protection locked="0"/>
    </xf>
    <xf numFmtId="0" fontId="55" fillId="6" borderId="36" xfId="0" applyFont="1" applyFill="1" applyBorder="1" applyAlignment="1" applyProtection="1">
      <alignment horizontal="center"/>
      <protection locked="0"/>
    </xf>
    <xf numFmtId="0" fontId="55" fillId="6" borderId="66" xfId="0" applyFont="1" applyFill="1" applyBorder="1" applyAlignment="1" applyProtection="1">
      <alignment/>
      <protection locked="0"/>
    </xf>
    <xf numFmtId="0" fontId="55" fillId="6" borderId="6" xfId="0" applyFont="1" applyFill="1" applyBorder="1" applyAlignment="1" applyProtection="1">
      <alignment/>
      <protection locked="0"/>
    </xf>
    <xf numFmtId="0" fontId="55" fillId="7" borderId="3" xfId="0" applyFont="1" applyFill="1" applyBorder="1" applyAlignment="1" applyProtection="1">
      <alignment/>
      <protection locked="0"/>
    </xf>
    <xf numFmtId="0" fontId="53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22" xfId="0" applyFont="1" applyFill="1" applyBorder="1" applyAlignment="1" applyProtection="1">
      <alignment horizontal="center" vertical="center" wrapText="1"/>
      <protection/>
    </xf>
    <xf numFmtId="0" fontId="27" fillId="9" borderId="22" xfId="0" applyFont="1" applyFill="1" applyBorder="1" applyAlignment="1" applyProtection="1">
      <alignment horizontal="center" vertical="center" wrapText="1"/>
      <protection/>
    </xf>
    <xf numFmtId="0" fontId="52" fillId="10" borderId="25" xfId="0" applyFont="1" applyFill="1" applyBorder="1" applyAlignment="1" applyProtection="1">
      <alignment horizontal="centerContinuous" vertical="center"/>
      <protection/>
    </xf>
    <xf numFmtId="0" fontId="52" fillId="3" borderId="25" xfId="0" applyFont="1" applyFill="1" applyBorder="1" applyAlignment="1" applyProtection="1">
      <alignment horizontal="centerContinuous" vertical="center"/>
      <protection/>
    </xf>
    <xf numFmtId="0" fontId="48" fillId="5" borderId="22" xfId="0" applyFont="1" applyFill="1" applyBorder="1" applyAlignment="1" applyProtection="1">
      <alignment horizontal="center" vertical="center" wrapText="1"/>
      <protection/>
    </xf>
    <xf numFmtId="0" fontId="27" fillId="6" borderId="22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0" fontId="47" fillId="2" borderId="16" xfId="0" applyFont="1" applyFill="1" applyBorder="1" applyAlignment="1" applyProtection="1">
      <alignment/>
      <protection/>
    </xf>
    <xf numFmtId="0" fontId="51" fillId="8" borderId="16" xfId="0" applyFont="1" applyFill="1" applyBorder="1" applyAlignment="1" applyProtection="1">
      <alignment/>
      <protection/>
    </xf>
    <xf numFmtId="0" fontId="56" fillId="7" borderId="16" xfId="0" applyFont="1" applyFill="1" applyBorder="1" applyAlignment="1" applyProtection="1">
      <alignment/>
      <protection/>
    </xf>
    <xf numFmtId="0" fontId="56" fillId="9" borderId="16" xfId="0" applyFont="1" applyFill="1" applyBorder="1" applyAlignment="1" applyProtection="1">
      <alignment/>
      <protection/>
    </xf>
    <xf numFmtId="0" fontId="51" fillId="10" borderId="33" xfId="0" applyFont="1" applyFill="1" applyBorder="1" applyAlignment="1" applyProtection="1">
      <alignment horizontal="center"/>
      <protection/>
    </xf>
    <xf numFmtId="0" fontId="51" fillId="10" borderId="35" xfId="0" applyFont="1" applyFill="1" applyBorder="1" applyAlignment="1" applyProtection="1">
      <alignment/>
      <protection/>
    </xf>
    <xf numFmtId="0" fontId="51" fillId="3" borderId="33" xfId="0" applyFont="1" applyFill="1" applyBorder="1" applyAlignment="1" applyProtection="1">
      <alignment horizontal="center"/>
      <protection/>
    </xf>
    <xf numFmtId="0" fontId="51" fillId="3" borderId="35" xfId="0" applyFont="1" applyFill="1" applyBorder="1" applyAlignment="1" applyProtection="1">
      <alignment/>
      <protection/>
    </xf>
    <xf numFmtId="0" fontId="49" fillId="5" borderId="16" xfId="0" applyFont="1" applyFill="1" applyBorder="1" applyAlignment="1" applyProtection="1">
      <alignment/>
      <protection/>
    </xf>
    <xf numFmtId="0" fontId="56" fillId="6" borderId="16" xfId="0" applyFont="1" applyFill="1" applyBorder="1" applyAlignment="1" applyProtection="1">
      <alignment/>
      <protection/>
    </xf>
    <xf numFmtId="7" fontId="10" fillId="0" borderId="1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7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1" fillId="8" borderId="3" xfId="0" applyFont="1" applyFill="1" applyBorder="1" applyAlignment="1" applyProtection="1">
      <alignment/>
      <protection/>
    </xf>
    <xf numFmtId="0" fontId="56" fillId="7" borderId="3" xfId="0" applyFont="1" applyFill="1" applyBorder="1" applyAlignment="1" applyProtection="1">
      <alignment/>
      <protection/>
    </xf>
    <xf numFmtId="0" fontId="56" fillId="9" borderId="3" xfId="0" applyFont="1" applyFill="1" applyBorder="1" applyAlignment="1" applyProtection="1">
      <alignment/>
      <protection/>
    </xf>
    <xf numFmtId="0" fontId="51" fillId="10" borderId="36" xfId="0" applyFont="1" applyFill="1" applyBorder="1" applyAlignment="1" applyProtection="1">
      <alignment horizontal="center"/>
      <protection/>
    </xf>
    <xf numFmtId="0" fontId="51" fillId="10" borderId="6" xfId="0" applyFont="1" applyFill="1" applyBorder="1" applyAlignment="1" applyProtection="1">
      <alignment/>
      <protection/>
    </xf>
    <xf numFmtId="0" fontId="51" fillId="3" borderId="36" xfId="0" applyFont="1" applyFill="1" applyBorder="1" applyAlignment="1" applyProtection="1">
      <alignment horizontal="center"/>
      <protection/>
    </xf>
    <xf numFmtId="0" fontId="51" fillId="3" borderId="6" xfId="0" applyFont="1" applyFill="1" applyBorder="1" applyAlignment="1" applyProtection="1">
      <alignment/>
      <protection/>
    </xf>
    <xf numFmtId="0" fontId="49" fillId="5" borderId="3" xfId="0" applyFont="1" applyFill="1" applyBorder="1" applyAlignment="1" applyProtection="1">
      <alignment/>
      <protection/>
    </xf>
    <xf numFmtId="0" fontId="56" fillId="6" borderId="3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168" fontId="10" fillId="0" borderId="6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7" fillId="2" borderId="4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7" fontId="56" fillId="7" borderId="22" xfId="0" applyNumberFormat="1" applyFont="1" applyFill="1" applyBorder="1" applyAlignment="1" applyProtection="1">
      <alignment horizontal="center"/>
      <protection/>
    </xf>
    <xf numFmtId="7" fontId="56" fillId="9" borderId="22" xfId="0" applyNumberFormat="1" applyFont="1" applyFill="1" applyBorder="1" applyAlignment="1" applyProtection="1">
      <alignment horizontal="center"/>
      <protection/>
    </xf>
    <xf numFmtId="7" fontId="51" fillId="10" borderId="22" xfId="0" applyNumberFormat="1" applyFont="1" applyFill="1" applyBorder="1" applyAlignment="1" applyProtection="1">
      <alignment horizontal="center"/>
      <protection/>
    </xf>
    <xf numFmtId="7" fontId="51" fillId="3" borderId="22" xfId="0" applyNumberFormat="1" applyFont="1" applyFill="1" applyBorder="1" applyAlignment="1" applyProtection="1">
      <alignment horizontal="center"/>
      <protection/>
    </xf>
    <xf numFmtId="7" fontId="49" fillId="5" borderId="22" xfId="0" applyNumberFormat="1" applyFont="1" applyFill="1" applyBorder="1" applyAlignment="1" applyProtection="1">
      <alignment horizontal="center"/>
      <protection/>
    </xf>
    <xf numFmtId="7" fontId="56" fillId="6" borderId="22" xfId="0" applyNumberFormat="1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/>
      <protection/>
    </xf>
    <xf numFmtId="7" fontId="11" fillId="0" borderId="22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7" xfId="0" applyNumberFormat="1" applyFont="1" applyBorder="1" applyAlignment="1" applyProtection="1" quotePrefix="1">
      <alignment horizontal="center"/>
      <protection locked="0"/>
    </xf>
    <xf numFmtId="2" fontId="7" fillId="0" borderId="7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1" fillId="8" borderId="4" xfId="0" applyFont="1" applyFill="1" applyBorder="1" applyAlignment="1" applyProtection="1">
      <alignment/>
      <protection locked="0"/>
    </xf>
    <xf numFmtId="0" fontId="56" fillId="7" borderId="4" xfId="0" applyFont="1" applyFill="1" applyBorder="1" applyAlignment="1" applyProtection="1">
      <alignment/>
      <protection locked="0"/>
    </xf>
    <xf numFmtId="0" fontId="56" fillId="9" borderId="4" xfId="0" applyFont="1" applyFill="1" applyBorder="1" applyAlignment="1" applyProtection="1">
      <alignment/>
      <protection locked="0"/>
    </xf>
    <xf numFmtId="0" fontId="51" fillId="10" borderId="69" xfId="0" applyFont="1" applyFill="1" applyBorder="1" applyAlignment="1" applyProtection="1">
      <alignment/>
      <protection locked="0"/>
    </xf>
    <xf numFmtId="0" fontId="51" fillId="10" borderId="72" xfId="0" applyFont="1" applyFill="1" applyBorder="1" applyAlignment="1" applyProtection="1">
      <alignment/>
      <protection locked="0"/>
    </xf>
    <xf numFmtId="0" fontId="51" fillId="3" borderId="69" xfId="0" applyFont="1" applyFill="1" applyBorder="1" applyAlignment="1" applyProtection="1">
      <alignment/>
      <protection locked="0"/>
    </xf>
    <xf numFmtId="0" fontId="51" fillId="3" borderId="72" xfId="0" applyFont="1" applyFill="1" applyBorder="1" applyAlignment="1" applyProtection="1">
      <alignment/>
      <protection locked="0"/>
    </xf>
    <xf numFmtId="0" fontId="49" fillId="5" borderId="4" xfId="0" applyFont="1" applyFill="1" applyBorder="1" applyAlignment="1" applyProtection="1">
      <alignment/>
      <protection locked="0"/>
    </xf>
    <xf numFmtId="0" fontId="56" fillId="6" borderId="4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22" fontId="7" fillId="0" borderId="7" xfId="0" applyNumberFormat="1" applyFont="1" applyFill="1" applyBorder="1" applyAlignment="1" applyProtection="1">
      <alignment horizontal="center"/>
      <protection locked="0"/>
    </xf>
    <xf numFmtId="22" fontId="7" fillId="0" borderId="8" xfId="0" applyNumberFormat="1" applyFont="1" applyFill="1" applyBorder="1" applyAlignment="1" applyProtection="1">
      <alignment horizontal="center"/>
      <protection locked="0"/>
    </xf>
    <xf numFmtId="168" fontId="7" fillId="0" borderId="6" xfId="0" applyNumberFormat="1" applyFont="1" applyFill="1" applyBorder="1" applyAlignment="1" applyProtection="1">
      <alignment horizontal="center"/>
      <protection locked="0"/>
    </xf>
    <xf numFmtId="0" fontId="51" fillId="6" borderId="4" xfId="0" applyFont="1" applyFill="1" applyBorder="1" applyAlignment="1" applyProtection="1">
      <alignment/>
      <protection locked="0"/>
    </xf>
    <xf numFmtId="0" fontId="56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22" fontId="7" fillId="0" borderId="36" xfId="0" applyNumberFormat="1" applyFont="1" applyBorder="1" applyAlignment="1" applyProtection="1">
      <alignment horizontal="center"/>
      <protection locked="0"/>
    </xf>
    <xf numFmtId="22" fontId="7" fillId="0" borderId="5" xfId="0" applyNumberFormat="1" applyFont="1" applyBorder="1" applyAlignment="1" applyProtection="1">
      <alignment horizontal="center"/>
      <protection locked="0"/>
    </xf>
    <xf numFmtId="168" fontId="7" fillId="0" borderId="21" xfId="0" applyNumberFormat="1" applyFont="1" applyBorder="1" applyAlignment="1" applyProtection="1">
      <alignment horizontal="center"/>
      <protection locked="0"/>
    </xf>
    <xf numFmtId="168" fontId="7" fillId="0" borderId="6" xfId="0" applyNumberFormat="1" applyFont="1" applyBorder="1" applyAlignment="1" applyProtection="1">
      <alignment horizontal="center"/>
      <protection locked="0"/>
    </xf>
    <xf numFmtId="164" fontId="54" fillId="8" borderId="4" xfId="0" applyNumberFormat="1" applyFont="1" applyFill="1" applyBorder="1" applyAlignment="1" applyProtection="1">
      <alignment horizontal="center"/>
      <protection locked="0"/>
    </xf>
    <xf numFmtId="2" fontId="56" fillId="9" borderId="4" xfId="0" applyNumberFormat="1" applyFont="1" applyFill="1" applyBorder="1" applyAlignment="1" applyProtection="1">
      <alignment horizontal="center"/>
      <protection locked="0"/>
    </xf>
    <xf numFmtId="168" fontId="56" fillId="6" borderId="72" xfId="0" applyNumberFormat="1" applyFont="1" applyFill="1" applyBorder="1" applyAlignment="1" applyProtection="1" quotePrefix="1">
      <alignment horizontal="center"/>
      <protection locked="0"/>
    </xf>
    <xf numFmtId="168" fontId="56" fillId="5" borderId="4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168" fontId="11" fillId="0" borderId="46" xfId="0" applyNumberFormat="1" applyFont="1" applyBorder="1" applyAlignment="1" applyProtection="1">
      <alignment horizontal="center"/>
      <protection/>
    </xf>
    <xf numFmtId="168" fontId="11" fillId="0" borderId="46" xfId="0" applyNumberFormat="1" applyFont="1" applyBorder="1" applyAlignment="1" applyProtection="1">
      <alignment horizontal="left"/>
      <protection/>
    </xf>
    <xf numFmtId="177" fontId="11" fillId="0" borderId="46" xfId="0" applyNumberFormat="1" applyFont="1" applyBorder="1" applyAlignment="1" applyProtection="1">
      <alignment horizontal="right"/>
      <protection/>
    </xf>
    <xf numFmtId="177" fontId="11" fillId="0" borderId="55" xfId="0" applyNumberFormat="1" applyFont="1" applyBorder="1" applyAlignment="1" applyProtection="1">
      <alignment horizontal="right"/>
      <protection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73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2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1" fillId="3" borderId="3" xfId="0" applyNumberFormat="1" applyFont="1" applyFill="1" applyBorder="1" applyAlignment="1" applyProtection="1">
      <alignment horizontal="center"/>
      <protection/>
    </xf>
    <xf numFmtId="2" fontId="51" fillId="4" borderId="3" xfId="0" applyNumberFormat="1" applyFont="1" applyFill="1" applyBorder="1" applyAlignment="1" applyProtection="1">
      <alignment horizontal="center"/>
      <protection/>
    </xf>
    <xf numFmtId="168" fontId="56" fillId="5" borderId="36" xfId="0" applyNumberFormat="1" applyFont="1" applyFill="1" applyBorder="1" applyAlignment="1" applyProtection="1" quotePrefix="1">
      <alignment horizontal="center"/>
      <protection/>
    </xf>
    <xf numFmtId="168" fontId="56" fillId="5" borderId="66" xfId="0" applyNumberFormat="1" applyFont="1" applyFill="1" applyBorder="1" applyAlignment="1" applyProtection="1" quotePrefix="1">
      <alignment horizontal="center"/>
      <protection/>
    </xf>
    <xf numFmtId="4" fontId="56" fillId="5" borderId="6" xfId="0" applyNumberFormat="1" applyFont="1" applyFill="1" applyBorder="1" applyAlignment="1" applyProtection="1">
      <alignment horizontal="center"/>
      <protection/>
    </xf>
    <xf numFmtId="168" fontId="56" fillId="6" borderId="36" xfId="0" applyNumberFormat="1" applyFont="1" applyFill="1" applyBorder="1" applyAlignment="1" applyProtection="1" quotePrefix="1">
      <alignment horizontal="center"/>
      <protection/>
    </xf>
    <xf numFmtId="168" fontId="56" fillId="6" borderId="66" xfId="0" applyNumberFormat="1" applyFont="1" applyFill="1" applyBorder="1" applyAlignment="1" applyProtection="1" quotePrefix="1">
      <alignment horizontal="center"/>
      <protection/>
    </xf>
    <xf numFmtId="4" fontId="56" fillId="6" borderId="6" xfId="0" applyNumberFormat="1" applyFont="1" applyFill="1" applyBorder="1" applyAlignment="1" applyProtection="1">
      <alignment horizontal="center"/>
      <protection/>
    </xf>
    <xf numFmtId="4" fontId="56" fillId="7" borderId="3" xfId="0" applyNumberFormat="1" applyFont="1" applyFill="1" applyBorder="1" applyAlignment="1" applyProtection="1">
      <alignment horizontal="center"/>
      <protection/>
    </xf>
    <xf numFmtId="4" fontId="51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6" fillId="7" borderId="3" xfId="0" applyNumberFormat="1" applyFont="1" applyFill="1" applyBorder="1" applyAlignment="1" applyProtection="1">
      <alignment horizontal="center"/>
      <protection/>
    </xf>
    <xf numFmtId="2" fontId="56" fillId="9" borderId="3" xfId="0" applyNumberFormat="1" applyFont="1" applyFill="1" applyBorder="1" applyAlignment="1" applyProtection="1">
      <alignment horizontal="center"/>
      <protection/>
    </xf>
    <xf numFmtId="2" fontId="56" fillId="5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4" fontId="54" fillId="8" borderId="3" xfId="0" applyNumberFormat="1" applyFont="1" applyFill="1" applyBorder="1" applyAlignment="1" applyProtection="1">
      <alignment horizontal="center"/>
      <protection/>
    </xf>
    <xf numFmtId="2" fontId="56" fillId="9" borderId="3" xfId="0" applyNumberFormat="1" applyFont="1" applyFill="1" applyBorder="1" applyAlignment="1" applyProtection="1">
      <alignment horizontal="center"/>
      <protection/>
    </xf>
    <xf numFmtId="168" fontId="56" fillId="6" borderId="8" xfId="0" applyNumberFormat="1" applyFont="1" applyFill="1" applyBorder="1" applyAlignment="1" applyProtection="1" quotePrefix="1">
      <alignment horizontal="center"/>
      <protection/>
    </xf>
    <xf numFmtId="168" fontId="56" fillId="5" borderId="3" xfId="0" applyNumberFormat="1" applyFont="1" applyFill="1" applyBorder="1" applyAlignment="1" applyProtection="1" quotePrefix="1">
      <alignment horizontal="center"/>
      <protection/>
    </xf>
    <xf numFmtId="0" fontId="54" fillId="0" borderId="0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74" xfId="0" applyFont="1" applyBorder="1" applyAlignment="1">
      <alignment/>
    </xf>
    <xf numFmtId="0" fontId="54" fillId="0" borderId="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 applyProtection="1">
      <alignment/>
      <protection/>
    </xf>
    <xf numFmtId="0" fontId="54" fillId="0" borderId="1" xfId="0" applyFont="1" applyFill="1" applyBorder="1" applyAlignment="1" applyProtection="1">
      <alignment/>
      <protection/>
    </xf>
    <xf numFmtId="0" fontId="54" fillId="0" borderId="74" xfId="0" applyFont="1" applyFill="1" applyBorder="1" applyAlignment="1" applyProtection="1">
      <alignment/>
      <protection/>
    </xf>
    <xf numFmtId="0" fontId="54" fillId="0" borderId="2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17" fillId="0" borderId="1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2" fillId="0" borderId="0" xfId="0" applyFont="1" applyBorder="1" applyAlignment="1">
      <alignment horizontal="centerContinuous"/>
    </xf>
    <xf numFmtId="0" fontId="73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centerContinuous"/>
      <protection/>
    </xf>
    <xf numFmtId="0" fontId="74" fillId="0" borderId="0" xfId="0" applyFont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5" fillId="0" borderId="10" xfId="0" applyFont="1" applyBorder="1" applyAlignment="1">
      <alignment/>
    </xf>
    <xf numFmtId="0" fontId="0" fillId="0" borderId="11" xfId="0" applyBorder="1" applyAlignment="1">
      <alignment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4" xfId="0" applyBorder="1" applyAlignment="1">
      <alignment/>
    </xf>
    <xf numFmtId="0" fontId="75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67" xfId="0" applyFont="1" applyFill="1" applyBorder="1" applyAlignment="1">
      <alignment horizontal="centerContinuous" vertical="center"/>
    </xf>
    <xf numFmtId="0" fontId="76" fillId="11" borderId="75" xfId="0" applyFont="1" applyFill="1" applyBorder="1" applyAlignment="1" applyProtection="1">
      <alignment horizontal="centerContinuous" vertical="center"/>
      <protection/>
    </xf>
    <xf numFmtId="0" fontId="76" fillId="11" borderId="75" xfId="0" applyFont="1" applyFill="1" applyBorder="1" applyAlignment="1" applyProtection="1">
      <alignment horizontal="centerContinuous" vertical="center" wrapText="1"/>
      <protection/>
    </xf>
    <xf numFmtId="168" fontId="76" fillId="11" borderId="22" xfId="0" applyNumberFormat="1" applyFont="1" applyFill="1" applyBorder="1" applyAlignment="1" applyProtection="1">
      <alignment horizontal="centerContinuous" vertical="center" wrapText="1"/>
      <protection/>
    </xf>
    <xf numFmtId="17" fontId="76" fillId="11" borderId="2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5" xfId="0" applyFont="1" applyFill="1" applyBorder="1" applyAlignment="1">
      <alignment/>
    </xf>
    <xf numFmtId="0" fontId="75" fillId="12" borderId="76" xfId="0" applyFont="1" applyFill="1" applyBorder="1" applyAlignment="1">
      <alignment/>
    </xf>
    <xf numFmtId="0" fontId="75" fillId="12" borderId="30" xfId="0" applyFont="1" applyFill="1" applyBorder="1" applyAlignment="1">
      <alignment/>
    </xf>
    <xf numFmtId="0" fontId="0" fillId="13" borderId="73" xfId="0" applyFont="1" applyFill="1" applyBorder="1" applyAlignment="1">
      <alignment/>
    </xf>
    <xf numFmtId="0" fontId="0" fillId="0" borderId="73" xfId="0" applyBorder="1" applyAlignment="1">
      <alignment/>
    </xf>
    <xf numFmtId="0" fontId="7" fillId="12" borderId="5" xfId="0" applyFont="1" applyFill="1" applyBorder="1" applyAlignment="1">
      <alignment horizontal="center"/>
    </xf>
    <xf numFmtId="0" fontId="7" fillId="12" borderId="19" xfId="0" applyFont="1" applyFill="1" applyBorder="1" applyAlignment="1" applyProtection="1">
      <alignment horizontal="center"/>
      <protection/>
    </xf>
    <xf numFmtId="2" fontId="7" fillId="12" borderId="7" xfId="0" applyNumberFormat="1" applyFont="1" applyFill="1" applyBorder="1" applyAlignment="1" applyProtection="1">
      <alignment horizontal="center"/>
      <protection/>
    </xf>
    <xf numFmtId="1" fontId="7" fillId="13" borderId="77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7" fillId="12" borderId="67" xfId="0" applyFont="1" applyFill="1" applyBorder="1" applyAlignment="1">
      <alignment horizontal="center"/>
    </xf>
    <xf numFmtId="0" fontId="7" fillId="12" borderId="78" xfId="0" applyFont="1" applyFill="1" applyBorder="1" applyAlignment="1" applyProtection="1">
      <alignment horizontal="left"/>
      <protection/>
    </xf>
    <xf numFmtId="0" fontId="7" fillId="12" borderId="78" xfId="0" applyFont="1" applyFill="1" applyBorder="1" applyAlignment="1" applyProtection="1">
      <alignment horizontal="center"/>
      <protection/>
    </xf>
    <xf numFmtId="2" fontId="7" fillId="12" borderId="68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 horizontal="right"/>
      <protection/>
    </xf>
    <xf numFmtId="168" fontId="5" fillId="0" borderId="68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22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13" borderId="22" xfId="0" applyNumberFormat="1" applyFont="1" applyFill="1" applyBorder="1" applyAlignment="1">
      <alignment horizontal="center"/>
    </xf>
    <xf numFmtId="0" fontId="7" fillId="12" borderId="7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7" fillId="0" borderId="1" xfId="0" applyFont="1" applyBorder="1" applyAlignment="1">
      <alignment/>
    </xf>
    <xf numFmtId="0" fontId="0" fillId="13" borderId="7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2" fontId="78" fillId="0" borderId="23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0" fontId="77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14" borderId="5" xfId="0" applyFont="1" applyFill="1" applyBorder="1" applyAlignment="1">
      <alignment horizontal="center"/>
    </xf>
    <xf numFmtId="0" fontId="10" fillId="14" borderId="19" xfId="0" applyFont="1" applyFill="1" applyBorder="1" applyAlignment="1" applyProtection="1">
      <alignment horizontal="center"/>
      <protection/>
    </xf>
    <xf numFmtId="2" fontId="10" fillId="14" borderId="7" xfId="0" applyNumberFormat="1" applyFont="1" applyFill="1" applyBorder="1" applyAlignment="1" applyProtection="1">
      <alignment horizontal="center"/>
      <protection/>
    </xf>
    <xf numFmtId="0" fontId="10" fillId="12" borderId="5" xfId="0" applyFont="1" applyFill="1" applyBorder="1" applyAlignment="1">
      <alignment horizontal="center"/>
    </xf>
    <xf numFmtId="0" fontId="10" fillId="12" borderId="19" xfId="0" applyFont="1" applyFill="1" applyBorder="1" applyAlignment="1" applyProtection="1">
      <alignment horizontal="center"/>
      <protection/>
    </xf>
    <xf numFmtId="2" fontId="10" fillId="12" borderId="7" xfId="0" applyNumberFormat="1" applyFont="1" applyFill="1" applyBorder="1" applyAlignment="1" applyProtection="1">
      <alignment horizontal="center"/>
      <protection/>
    </xf>
    <xf numFmtId="0" fontId="70" fillId="0" borderId="0" xfId="0" applyFont="1" applyBorder="1" applyAlignment="1">
      <alignment horizontal="left"/>
    </xf>
    <xf numFmtId="0" fontId="70" fillId="0" borderId="26" xfId="0" applyFont="1" applyBorder="1" applyAlignment="1">
      <alignment horizontal="center"/>
    </xf>
    <xf numFmtId="0" fontId="70" fillId="0" borderId="26" xfId="0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left"/>
      <protection/>
    </xf>
    <xf numFmtId="172" fontId="7" fillId="0" borderId="3" xfId="0" applyNumberFormat="1" applyFont="1" applyFill="1" applyBorder="1" applyAlignment="1" applyProtection="1">
      <alignment horizontal="center"/>
      <protection/>
    </xf>
    <xf numFmtId="172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2" fontId="10" fillId="0" borderId="46" xfId="0" applyNumberFormat="1" applyFont="1" applyBorder="1" applyAlignment="1" applyProtection="1">
      <alignment horizontal="left"/>
      <protection/>
    </xf>
    <xf numFmtId="168" fontId="63" fillId="0" borderId="57" xfId="0" applyNumberFormat="1" applyFont="1" applyBorder="1" applyAlignment="1" applyProtection="1" quotePrefix="1">
      <alignment horizontal="center"/>
      <protection/>
    </xf>
    <xf numFmtId="168" fontId="63" fillId="0" borderId="0" xfId="0" applyNumberFormat="1" applyFont="1" applyBorder="1" applyAlignment="1" applyProtection="1" quotePrefix="1">
      <alignment horizontal="center"/>
      <protection/>
    </xf>
    <xf numFmtId="168" fontId="63" fillId="0" borderId="53" xfId="0" applyNumberFormat="1" applyFont="1" applyBorder="1" applyAlignment="1" applyProtection="1" quotePrefix="1">
      <alignment horizontal="center"/>
      <protection/>
    </xf>
    <xf numFmtId="0" fontId="7" fillId="0" borderId="1" xfId="0" applyFont="1" applyFill="1" applyBorder="1" applyAlignment="1">
      <alignment/>
    </xf>
    <xf numFmtId="168" fontId="58" fillId="0" borderId="3" xfId="0" applyNumberFormat="1" applyFont="1" applyFill="1" applyBorder="1" applyAlignment="1" applyProtection="1">
      <alignment horizontal="center"/>
      <protection/>
    </xf>
    <xf numFmtId="22" fontId="7" fillId="0" borderId="36" xfId="0" applyNumberFormat="1" applyFont="1" applyFill="1" applyBorder="1" applyAlignment="1" applyProtection="1">
      <alignment horizontal="center"/>
      <protection locked="0"/>
    </xf>
    <xf numFmtId="22" fontId="7" fillId="0" borderId="5" xfId="0" applyNumberFormat="1" applyFont="1" applyFill="1" applyBorder="1" applyAlignment="1" applyProtection="1">
      <alignment horizontal="center"/>
      <protection locked="0"/>
    </xf>
    <xf numFmtId="164" fontId="54" fillId="0" borderId="3" xfId="0" applyNumberFormat="1" applyFont="1" applyFill="1" applyBorder="1" applyAlignment="1" applyProtection="1">
      <alignment horizontal="center"/>
      <protection/>
    </xf>
    <xf numFmtId="2" fontId="56" fillId="0" borderId="3" xfId="0" applyNumberFormat="1" applyFont="1" applyFill="1" applyBorder="1" applyAlignment="1" applyProtection="1">
      <alignment horizontal="center"/>
      <protection/>
    </xf>
    <xf numFmtId="168" fontId="56" fillId="0" borderId="36" xfId="0" applyNumberFormat="1" applyFont="1" applyFill="1" applyBorder="1" applyAlignment="1" applyProtection="1" quotePrefix="1">
      <alignment horizontal="center"/>
      <protection/>
    </xf>
    <xf numFmtId="168" fontId="56" fillId="0" borderId="8" xfId="0" applyNumberFormat="1" applyFont="1" applyFill="1" applyBorder="1" applyAlignment="1" applyProtection="1" quotePrefix="1">
      <alignment horizontal="center"/>
      <protection/>
    </xf>
    <xf numFmtId="168" fontId="56" fillId="0" borderId="3" xfId="0" applyNumberFormat="1" applyFont="1" applyFill="1" applyBorder="1" applyAlignment="1" applyProtection="1" quotePrefix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971550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714375</xdr:colOff>
      <xdr:row>0</xdr:row>
      <xdr:rowOff>0</xdr:rowOff>
    </xdr:from>
    <xdr:to>
      <xdr:col>0</xdr:col>
      <xdr:colOff>1323975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DB17" t="str">
            <v>XXXX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  <cell r="DK17" t="str">
            <v>XXXX</v>
          </cell>
          <cell r="DL17" t="str">
            <v>XXXX</v>
          </cell>
          <cell r="DM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L18">
            <v>3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F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GI25">
            <v>1</v>
          </cell>
          <cell r="GO25">
            <v>2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E26">
            <v>1</v>
          </cell>
          <cell r="GL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H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GI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GE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GK33">
            <v>1</v>
          </cell>
          <cell r="GN33">
            <v>3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E34" t="str">
            <v>XXXX</v>
          </cell>
          <cell r="GF34" t="str">
            <v>XXXX</v>
          </cell>
          <cell r="GG34" t="str">
            <v>XXXX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M35" t="str">
            <v>XXXX</v>
          </cell>
          <cell r="GN35" t="str">
            <v>XXXX</v>
          </cell>
          <cell r="GO35" t="str">
            <v>XXXX</v>
          </cell>
          <cell r="GP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  <cell r="GP36">
            <v>1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GE38" t="str">
            <v>XXXX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  <cell r="GK38" t="str">
            <v>XXXX</v>
          </cell>
          <cell r="GL38" t="str">
            <v>XXXX</v>
          </cell>
          <cell r="GM38">
            <v>1</v>
          </cell>
          <cell r="GP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  <cell r="GH39">
            <v>2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GH41">
            <v>1</v>
          </cell>
          <cell r="GI41">
            <v>2</v>
          </cell>
          <cell r="GN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  <cell r="GE44" t="str">
            <v>XXXX</v>
          </cell>
          <cell r="GF44" t="str">
            <v>XXXX</v>
          </cell>
          <cell r="GG44" t="str">
            <v>XXXX</v>
          </cell>
          <cell r="GH44" t="str">
            <v>XXXX</v>
          </cell>
          <cell r="GI44" t="str">
            <v>XXXX</v>
          </cell>
          <cell r="GJ44" t="str">
            <v>XXXX</v>
          </cell>
          <cell r="GK44" t="str">
            <v>XXXX</v>
          </cell>
          <cell r="GL44" t="str">
            <v>XXXX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E47" t="str">
            <v>XXXX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  <cell r="GO49">
            <v>1</v>
          </cell>
        </row>
        <row r="50">
          <cell r="C50">
            <v>22</v>
          </cell>
          <cell r="D50" t="str">
            <v>SAN ANTONIO OESTE -VIEDMA</v>
          </cell>
          <cell r="E50">
            <v>132</v>
          </cell>
          <cell r="F50">
            <v>185.6</v>
          </cell>
          <cell r="GO50">
            <v>3</v>
          </cell>
        </row>
        <row r="72">
          <cell r="GE72">
            <v>0.94</v>
          </cell>
          <cell r="GF72">
            <v>0.84</v>
          </cell>
          <cell r="GG72">
            <v>0.56</v>
          </cell>
          <cell r="GH72">
            <v>0.49</v>
          </cell>
          <cell r="GI72">
            <v>0.63</v>
          </cell>
          <cell r="GJ72">
            <v>0.7</v>
          </cell>
          <cell r="GK72">
            <v>0.7</v>
          </cell>
          <cell r="GL72">
            <v>0.66</v>
          </cell>
          <cell r="GM72">
            <v>0.7</v>
          </cell>
          <cell r="GN72">
            <v>0.63</v>
          </cell>
          <cell r="GO72">
            <v>0.73</v>
          </cell>
          <cell r="GP72">
            <v>0.93</v>
          </cell>
          <cell r="GQ72">
            <v>0.97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8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2.57421875" style="11" customWidth="1"/>
    <col min="2" max="2" width="7.7109375" style="11" customWidth="1"/>
    <col min="3" max="3" width="9.8515625" style="11" customWidth="1"/>
    <col min="4" max="4" width="10.7109375" style="11" customWidth="1"/>
    <col min="5" max="5" width="10.57421875" style="11" customWidth="1"/>
    <col min="6" max="6" width="15.7109375" style="11" customWidth="1"/>
    <col min="7" max="7" width="24.28125" style="11" customWidth="1"/>
    <col min="8" max="8" width="11.00390625" style="11" customWidth="1"/>
    <col min="9" max="9" width="14.7109375" style="11" customWidth="1"/>
    <col min="10" max="10" width="15.00390625" style="11" customWidth="1"/>
    <col min="11" max="11" width="15.7109375" style="11" customWidth="1"/>
    <col min="12" max="13" width="11.421875" style="11" customWidth="1"/>
    <col min="14" max="14" width="14.140625" style="11" customWidth="1"/>
    <col min="15" max="15" width="11.421875" style="11" customWidth="1"/>
    <col min="16" max="16" width="14.7109375" style="11" customWidth="1"/>
    <col min="17" max="17" width="11.421875" style="11" customWidth="1"/>
    <col min="18" max="18" width="12.00390625" style="11" customWidth="1"/>
    <col min="19" max="16384" width="11.421875" style="11" customWidth="1"/>
  </cols>
  <sheetData>
    <row r="1" spans="2:11" s="115" customFormat="1" ht="26.25">
      <c r="B1" s="116"/>
      <c r="K1" s="369"/>
    </row>
    <row r="2" spans="2:10" s="115" customFormat="1" ht="26.25">
      <c r="B2" s="116" t="s">
        <v>172</v>
      </c>
      <c r="C2" s="133"/>
      <c r="D2" s="117"/>
      <c r="E2" s="117"/>
      <c r="F2" s="117"/>
      <c r="G2" s="117"/>
      <c r="H2" s="117"/>
      <c r="I2" s="117"/>
      <c r="J2" s="117"/>
    </row>
    <row r="3" spans="3:19" ht="17.25" customHeight="1">
      <c r="C3"/>
      <c r="D3" s="36"/>
      <c r="E3" s="36"/>
      <c r="F3" s="36"/>
      <c r="G3" s="36"/>
      <c r="H3" s="36"/>
      <c r="I3" s="36"/>
      <c r="J3" s="36"/>
      <c r="P3" s="9"/>
      <c r="Q3" s="9"/>
      <c r="R3" s="9"/>
      <c r="S3" s="9"/>
    </row>
    <row r="4" spans="1:19" s="118" customFormat="1" ht="11.25">
      <c r="A4" s="134" t="s">
        <v>16</v>
      </c>
      <c r="B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118" customFormat="1" ht="11.25">
      <c r="A5" s="134" t="s">
        <v>17</v>
      </c>
      <c r="B5" s="135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2:19" s="115" customFormat="1" ht="26.25">
      <c r="B6" s="137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2:19" s="120" customFormat="1" ht="21">
      <c r="B7" s="170" t="s">
        <v>0</v>
      </c>
      <c r="C7" s="139"/>
      <c r="D7" s="140"/>
      <c r="E7" s="140"/>
      <c r="F7" s="141"/>
      <c r="G7" s="141"/>
      <c r="H7" s="141"/>
      <c r="I7" s="141"/>
      <c r="J7" s="141"/>
      <c r="K7" s="42"/>
      <c r="L7" s="42"/>
      <c r="M7" s="42"/>
      <c r="N7" s="42"/>
      <c r="O7" s="42"/>
      <c r="P7" s="42"/>
      <c r="Q7" s="42"/>
      <c r="R7" s="42"/>
      <c r="S7" s="42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20" customFormat="1" ht="21">
      <c r="B9" s="170" t="s">
        <v>1</v>
      </c>
      <c r="C9" s="139"/>
      <c r="D9" s="140"/>
      <c r="E9" s="140"/>
      <c r="F9" s="140"/>
      <c r="G9" s="140"/>
      <c r="H9" s="140"/>
      <c r="I9" s="141"/>
      <c r="J9" s="141"/>
      <c r="K9" s="42"/>
      <c r="L9" s="42"/>
      <c r="M9" s="42"/>
      <c r="N9" s="42"/>
      <c r="O9" s="42"/>
      <c r="P9" s="42"/>
      <c r="Q9" s="42"/>
      <c r="R9" s="42"/>
      <c r="S9" s="42"/>
    </row>
    <row r="10" spans="4:19" ht="12.75">
      <c r="D10" s="142"/>
      <c r="E10" s="14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20" customFormat="1" ht="20.25">
      <c r="B11" s="170" t="s">
        <v>166</v>
      </c>
      <c r="C11" s="81"/>
      <c r="D11" s="37"/>
      <c r="E11" s="37"/>
      <c r="F11" s="140"/>
      <c r="G11" s="140"/>
      <c r="H11" s="140"/>
      <c r="I11" s="141"/>
      <c r="J11" s="141"/>
      <c r="K11" s="42"/>
      <c r="L11" s="42"/>
      <c r="M11" s="42"/>
      <c r="N11" s="42"/>
      <c r="O11" s="42"/>
      <c r="P11" s="42"/>
      <c r="Q11" s="42"/>
      <c r="R11" s="42"/>
      <c r="S11" s="42"/>
    </row>
    <row r="12" spans="4:19" s="143" customFormat="1" ht="16.5" thickBot="1">
      <c r="D12" s="8"/>
      <c r="E12" s="8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2:19" s="143" customFormat="1" ht="16.5" thickTop="1">
      <c r="B13" s="324">
        <v>1</v>
      </c>
      <c r="C13" s="366"/>
      <c r="D13" s="145"/>
      <c r="E13" s="145"/>
      <c r="F13" s="145"/>
      <c r="G13" s="145"/>
      <c r="H13" s="145"/>
      <c r="I13" s="145"/>
      <c r="J13" s="146"/>
      <c r="K13" s="144"/>
      <c r="L13" s="144"/>
      <c r="M13" s="144"/>
      <c r="N13" s="144"/>
      <c r="O13" s="144"/>
      <c r="P13" s="144"/>
      <c r="Q13" s="144"/>
      <c r="R13" s="144"/>
      <c r="S13" s="144"/>
    </row>
    <row r="14" spans="2:19" s="127" customFormat="1" ht="19.5">
      <c r="B14" s="229" t="s">
        <v>134</v>
      </c>
      <c r="C14" s="147"/>
      <c r="D14" s="148"/>
      <c r="E14" s="149"/>
      <c r="F14" s="149"/>
      <c r="G14" s="149"/>
      <c r="H14" s="149"/>
      <c r="I14" s="123"/>
      <c r="J14" s="126"/>
      <c r="K14" s="44"/>
      <c r="L14" s="44"/>
      <c r="M14" s="44"/>
      <c r="N14" s="44"/>
      <c r="O14" s="44"/>
      <c r="P14" s="44"/>
      <c r="Q14" s="44"/>
      <c r="R14" s="44"/>
      <c r="S14" s="44"/>
    </row>
    <row r="15" spans="2:19" s="127" customFormat="1" ht="9" customHeight="1">
      <c r="B15" s="150"/>
      <c r="C15" s="151"/>
      <c r="D15" s="151"/>
      <c r="E15" s="44"/>
      <c r="F15" s="152"/>
      <c r="G15" s="152"/>
      <c r="H15" s="152"/>
      <c r="I15" s="44"/>
      <c r="J15" s="153"/>
      <c r="K15" s="44"/>
      <c r="L15" s="44"/>
      <c r="M15" s="44"/>
      <c r="N15" s="44"/>
      <c r="O15" s="44"/>
      <c r="P15" s="44"/>
      <c r="Q15" s="44"/>
      <c r="R15" s="44"/>
      <c r="S15" s="44"/>
    </row>
    <row r="16" spans="2:18" s="127" customFormat="1" ht="9" customHeight="1">
      <c r="B16" s="229">
        <f>IF(B13=2,"Sanciones duplicadas por tasa de falla &gt; 4 Sal. x año/100km.","")</f>
      </c>
      <c r="C16" s="232"/>
      <c r="D16" s="232"/>
      <c r="E16" s="123"/>
      <c r="F16" s="149"/>
      <c r="G16" s="149"/>
      <c r="H16" s="123"/>
      <c r="I16" s="81"/>
      <c r="J16" s="126"/>
      <c r="K16" s="44"/>
      <c r="L16" s="44"/>
      <c r="M16" s="44"/>
      <c r="N16" s="44"/>
      <c r="O16" s="44"/>
      <c r="P16" s="44"/>
      <c r="Q16" s="44"/>
      <c r="R16" s="44"/>
    </row>
    <row r="17" spans="2:18" s="127" customFormat="1" ht="9" customHeight="1">
      <c r="B17" s="150"/>
      <c r="C17" s="151"/>
      <c r="D17" s="151"/>
      <c r="E17" s="44"/>
      <c r="F17" s="152"/>
      <c r="G17" s="152"/>
      <c r="H17" s="44"/>
      <c r="I17"/>
      <c r="J17" s="153"/>
      <c r="K17" s="44"/>
      <c r="L17" s="44"/>
      <c r="M17" s="44"/>
      <c r="N17" s="44"/>
      <c r="O17" s="44"/>
      <c r="P17" s="44"/>
      <c r="Q17" s="44"/>
      <c r="R17" s="44"/>
    </row>
    <row r="18" spans="2:19" s="127" customFormat="1" ht="19.5">
      <c r="B18" s="150"/>
      <c r="C18" s="154" t="s">
        <v>18</v>
      </c>
      <c r="D18" s="155" t="s">
        <v>19</v>
      </c>
      <c r="E18" s="44"/>
      <c r="F18" s="152"/>
      <c r="G18" s="152"/>
      <c r="H18" s="152"/>
      <c r="I18" s="43"/>
      <c r="J18" s="153"/>
      <c r="K18" s="44"/>
      <c r="L18" s="44"/>
      <c r="M18" s="44"/>
      <c r="N18" s="44"/>
      <c r="O18" s="44"/>
      <c r="P18" s="44"/>
      <c r="Q18" s="44"/>
      <c r="R18" s="44"/>
      <c r="S18" s="44"/>
    </row>
    <row r="19" spans="2:19" s="127" customFormat="1" ht="19.5">
      <c r="B19" s="150"/>
      <c r="C19"/>
      <c r="D19" s="154" t="s">
        <v>20</v>
      </c>
      <c r="E19" s="155" t="s">
        <v>21</v>
      </c>
      <c r="F19" s="152"/>
      <c r="G19" s="152"/>
      <c r="H19" s="152"/>
      <c r="I19" s="43">
        <f>'LI-11 (1)'!AA43</f>
        <v>27519.52</v>
      </c>
      <c r="J19" s="153"/>
      <c r="K19" s="44"/>
      <c r="L19" s="44"/>
      <c r="M19" s="44"/>
      <c r="N19" s="44"/>
      <c r="O19" s="44"/>
      <c r="P19" s="44"/>
      <c r="Q19" s="44"/>
      <c r="R19" s="44"/>
      <c r="S19" s="44"/>
    </row>
    <row r="20" spans="2:19" s="127" customFormat="1" ht="19.5">
      <c r="B20" s="150"/>
      <c r="C20" s="154"/>
      <c r="D20" s="154"/>
      <c r="E20" s="155"/>
      <c r="F20" s="152"/>
      <c r="G20" s="152"/>
      <c r="H20" s="152"/>
      <c r="I20" s="43"/>
      <c r="J20" s="153"/>
      <c r="K20" s="44"/>
      <c r="L20" s="44"/>
      <c r="M20" s="44"/>
      <c r="N20" s="44"/>
      <c r="O20" s="44"/>
      <c r="P20" s="44"/>
      <c r="Q20" s="44"/>
      <c r="R20" s="44"/>
      <c r="S20" s="44"/>
    </row>
    <row r="21" spans="2:19" s="127" customFormat="1" ht="19.5">
      <c r="B21" s="150"/>
      <c r="C21" s="154" t="s">
        <v>23</v>
      </c>
      <c r="D21" s="155" t="s">
        <v>24</v>
      </c>
      <c r="E21" s="44"/>
      <c r="F21" s="152"/>
      <c r="G21" s="152"/>
      <c r="H21" s="152"/>
      <c r="I21" s="43"/>
      <c r="J21" s="153"/>
      <c r="K21" s="44"/>
      <c r="L21" s="44"/>
      <c r="M21" s="44"/>
      <c r="N21" s="44"/>
      <c r="O21" s="44"/>
      <c r="P21" s="44"/>
      <c r="Q21" s="44"/>
      <c r="R21" s="44"/>
      <c r="S21" s="44"/>
    </row>
    <row r="22" spans="2:19" s="127" customFormat="1" ht="18.75">
      <c r="B22" s="150"/>
      <c r="C22" s="156"/>
      <c r="D22" s="156"/>
      <c r="E22" s="9"/>
      <c r="F22" s="157"/>
      <c r="G22" s="157"/>
      <c r="H22" s="157"/>
      <c r="I22" s="158"/>
      <c r="J22" s="153"/>
      <c r="K22" s="44"/>
      <c r="L22" s="44"/>
      <c r="M22" s="44"/>
      <c r="N22" s="44"/>
      <c r="O22" s="44"/>
      <c r="P22" s="44"/>
      <c r="Q22" s="44"/>
      <c r="R22" s="44"/>
      <c r="S22" s="44"/>
    </row>
    <row r="23" spans="2:19" ht="19.5">
      <c r="B23" s="41"/>
      <c r="C23" s="154"/>
      <c r="D23" s="154" t="s">
        <v>25</v>
      </c>
      <c r="E23" s="10" t="s">
        <v>26</v>
      </c>
      <c r="F23" s="152"/>
      <c r="G23" s="152"/>
      <c r="H23" s="152"/>
      <c r="I23" s="43"/>
      <c r="J23" s="12"/>
      <c r="K23" s="9"/>
      <c r="L23" s="9"/>
      <c r="M23" s="9"/>
      <c r="N23" s="9"/>
      <c r="O23" s="9"/>
      <c r="P23" s="9"/>
      <c r="Q23" s="9"/>
      <c r="R23" s="9"/>
      <c r="S23" s="9"/>
    </row>
    <row r="24" spans="2:19" s="127" customFormat="1" ht="19.5">
      <c r="B24" s="150"/>
      <c r="C24" s="154"/>
      <c r="D24" s="154"/>
      <c r="E24" s="154" t="s">
        <v>27</v>
      </c>
      <c r="F24" s="155" t="s">
        <v>21</v>
      </c>
      <c r="G24" s="152"/>
      <c r="H24" s="152"/>
      <c r="I24" s="43">
        <f>'TR-11 (1)'!AC45</f>
        <v>87.93</v>
      </c>
      <c r="J24" s="153"/>
      <c r="K24" s="44"/>
      <c r="L24" s="44"/>
      <c r="M24" s="44"/>
      <c r="N24" s="44"/>
      <c r="O24" s="44"/>
      <c r="P24" s="44"/>
      <c r="Q24" s="44"/>
      <c r="R24" s="44"/>
      <c r="S24" s="44"/>
    </row>
    <row r="25" spans="2:19" ht="18" customHeight="1">
      <c r="B25" s="41"/>
      <c r="C25" s="154"/>
      <c r="D25" s="154"/>
      <c r="E25" s="154"/>
      <c r="F25" s="155"/>
      <c r="G25" s="152"/>
      <c r="H25" s="152"/>
      <c r="I25" s="43"/>
      <c r="J25" s="12"/>
      <c r="K25" s="9"/>
      <c r="L25" s="9"/>
      <c r="M25" s="9"/>
      <c r="N25" s="9"/>
      <c r="O25" s="9"/>
      <c r="P25" s="9"/>
      <c r="Q25" s="9"/>
      <c r="R25" s="9"/>
      <c r="S25" s="9"/>
    </row>
    <row r="26" spans="2:19" s="127" customFormat="1" ht="19.5">
      <c r="B26" s="150"/>
      <c r="C26" s="154"/>
      <c r="D26" s="154" t="s">
        <v>28</v>
      </c>
      <c r="E26" s="10" t="s">
        <v>29</v>
      </c>
      <c r="F26" s="152"/>
      <c r="G26" s="152"/>
      <c r="H26" s="152"/>
      <c r="I26" s="43"/>
      <c r="J26" s="153"/>
      <c r="K26" s="44"/>
      <c r="L26" s="44"/>
      <c r="M26" s="44"/>
      <c r="N26" s="44"/>
      <c r="O26" s="44"/>
      <c r="P26" s="44"/>
      <c r="Q26" s="44"/>
      <c r="R26" s="44"/>
      <c r="S26" s="44"/>
    </row>
    <row r="27" spans="2:19" s="127" customFormat="1" ht="19.5">
      <c r="B27" s="150"/>
      <c r="C27" s="156"/>
      <c r="D27" s="154"/>
      <c r="E27" s="154"/>
      <c r="F27" s="155"/>
      <c r="G27" s="152"/>
      <c r="H27" s="152"/>
      <c r="I27" s="43"/>
      <c r="J27" s="153"/>
      <c r="K27" s="44"/>
      <c r="L27" s="44"/>
      <c r="M27" s="44"/>
      <c r="N27" s="44"/>
      <c r="O27" s="44"/>
      <c r="P27" s="44"/>
      <c r="Q27" s="44"/>
      <c r="R27" s="44"/>
      <c r="S27" s="44"/>
    </row>
    <row r="28" spans="2:19" s="127" customFormat="1" ht="19.5">
      <c r="B28" s="150"/>
      <c r="C28" s="154"/>
      <c r="D28" s="154"/>
      <c r="E28" s="154" t="s">
        <v>30</v>
      </c>
      <c r="F28" s="155" t="s">
        <v>22</v>
      </c>
      <c r="G28" s="152"/>
      <c r="H28" s="152"/>
      <c r="I28" s="43">
        <f>'SA-EDERSA-11 (1)'!V45</f>
        <v>3.0655799999999997</v>
      </c>
      <c r="J28" s="153"/>
      <c r="K28" s="44"/>
      <c r="L28" s="44"/>
      <c r="M28" s="44"/>
      <c r="N28" s="44"/>
      <c r="O28" s="44"/>
      <c r="P28" s="44"/>
      <c r="Q28" s="44"/>
      <c r="R28" s="44"/>
      <c r="S28" s="44"/>
    </row>
    <row r="29" spans="2:19" s="127" customFormat="1" ht="18.75">
      <c r="B29" s="150"/>
      <c r="C29" s="154"/>
      <c r="J29" s="153"/>
      <c r="K29" s="44"/>
      <c r="L29" s="44"/>
      <c r="M29" s="44"/>
      <c r="N29" s="44"/>
      <c r="O29" s="44"/>
      <c r="P29" s="44"/>
      <c r="Q29" s="44"/>
      <c r="R29" s="44"/>
      <c r="S29" s="44"/>
    </row>
    <row r="30" spans="2:19" ht="18.75">
      <c r="B30" s="41"/>
      <c r="C30" s="154"/>
      <c r="J30" s="12"/>
      <c r="K30" s="9"/>
      <c r="L30" s="9"/>
      <c r="M30" s="9"/>
      <c r="N30" s="9"/>
      <c r="O30" s="9"/>
      <c r="P30" s="9"/>
      <c r="Q30" s="9"/>
      <c r="R30" s="9"/>
      <c r="S30" s="9"/>
    </row>
    <row r="31" spans="2:19" s="127" customFormat="1" ht="19.5">
      <c r="B31" s="150"/>
      <c r="C31" s="154" t="s">
        <v>31</v>
      </c>
      <c r="D31" s="155" t="s">
        <v>32</v>
      </c>
      <c r="E31" s="44"/>
      <c r="F31" s="152"/>
      <c r="G31" s="152"/>
      <c r="H31" s="152"/>
      <c r="J31" s="153"/>
      <c r="K31" s="44"/>
      <c r="L31" s="44"/>
      <c r="M31" s="44"/>
      <c r="N31" s="44"/>
      <c r="O31" s="44"/>
      <c r="P31" s="44"/>
      <c r="Q31" s="44"/>
      <c r="R31" s="44"/>
      <c r="S31" s="44"/>
    </row>
    <row r="32" spans="2:19" s="127" customFormat="1" ht="19.5">
      <c r="B32" s="150"/>
      <c r="C32" s="154"/>
      <c r="D32" s="154" t="s">
        <v>167</v>
      </c>
      <c r="E32" s="155" t="s">
        <v>21</v>
      </c>
      <c r="G32" s="152"/>
      <c r="H32" s="152"/>
      <c r="I32" s="43">
        <f>'RE-11 (1)'!V42</f>
        <v>350.07</v>
      </c>
      <c r="J32" s="153"/>
      <c r="K32" s="44"/>
      <c r="L32" s="44"/>
      <c r="M32" s="44"/>
      <c r="N32" s="44"/>
      <c r="O32" s="44"/>
      <c r="P32" s="44"/>
      <c r="Q32" s="44"/>
      <c r="R32" s="44"/>
      <c r="S32" s="44"/>
    </row>
    <row r="33" spans="2:19" s="127" customFormat="1" ht="19.5">
      <c r="B33" s="150"/>
      <c r="C33" s="154"/>
      <c r="D33" s="154" t="s">
        <v>168</v>
      </c>
      <c r="E33" s="155" t="s">
        <v>22</v>
      </c>
      <c r="F33" s="152"/>
      <c r="G33" s="152"/>
      <c r="H33" s="152"/>
      <c r="I33" s="43">
        <f>'RE-EDERSA-11 (1)'!V25</f>
        <v>2.34</v>
      </c>
      <c r="J33" s="153"/>
      <c r="K33" s="44"/>
      <c r="L33" s="44"/>
      <c r="M33" s="44"/>
      <c r="N33" s="44"/>
      <c r="O33" s="44"/>
      <c r="P33" s="44"/>
      <c r="Q33" s="44"/>
      <c r="R33" s="44"/>
      <c r="S33" s="44"/>
    </row>
    <row r="34" spans="2:19" s="127" customFormat="1" ht="19.5">
      <c r="B34" s="150"/>
      <c r="C34" s="154"/>
      <c r="D34" s="155"/>
      <c r="E34" s="44"/>
      <c r="F34" s="152"/>
      <c r="G34" s="152"/>
      <c r="H34" s="152"/>
      <c r="I34" s="43"/>
      <c r="J34" s="153"/>
      <c r="K34" s="44"/>
      <c r="L34" s="44"/>
      <c r="M34" s="44"/>
      <c r="N34" s="44"/>
      <c r="O34" s="44"/>
      <c r="P34" s="44"/>
      <c r="Q34" s="44"/>
      <c r="R34" s="44"/>
      <c r="S34" s="44"/>
    </row>
    <row r="35" spans="2:19" s="127" customFormat="1" ht="19.5">
      <c r="B35" s="150"/>
      <c r="C35" s="154" t="s">
        <v>33</v>
      </c>
      <c r="D35" s="10" t="s">
        <v>34</v>
      </c>
      <c r="E35" s="152"/>
      <c r="F35"/>
      <c r="G35" s="152"/>
      <c r="H35" s="152"/>
      <c r="I35" s="43"/>
      <c r="J35" s="153"/>
      <c r="K35" s="44"/>
      <c r="L35" s="44"/>
      <c r="M35" s="44"/>
      <c r="N35" s="44"/>
      <c r="O35" s="44"/>
      <c r="P35" s="44"/>
      <c r="Q35" s="44"/>
      <c r="R35" s="44"/>
      <c r="S35" s="44"/>
    </row>
    <row r="36" spans="2:19" s="127" customFormat="1" ht="19.5">
      <c r="B36" s="150"/>
      <c r="C36" s="154"/>
      <c r="D36" s="154" t="s">
        <v>35</v>
      </c>
      <c r="E36" s="155" t="s">
        <v>22</v>
      </c>
      <c r="F36"/>
      <c r="G36" s="152"/>
      <c r="H36" s="152"/>
      <c r="I36" s="43">
        <f>'SUP-EDERSA'!I58</f>
        <v>1.351395</v>
      </c>
      <c r="J36" s="153"/>
      <c r="K36" s="44"/>
      <c r="L36" s="44"/>
      <c r="M36" s="44"/>
      <c r="N36" s="44"/>
      <c r="O36" s="44"/>
      <c r="P36" s="44"/>
      <c r="Q36" s="44"/>
      <c r="R36" s="44"/>
      <c r="S36" s="44"/>
    </row>
    <row r="37" spans="2:19" s="127" customFormat="1" ht="20.25" thickBot="1">
      <c r="B37" s="150"/>
      <c r="C37" s="151"/>
      <c r="D37" s="151"/>
      <c r="E37" s="44"/>
      <c r="F37" s="152"/>
      <c r="G37" s="152"/>
      <c r="H37" s="152"/>
      <c r="I37" s="44"/>
      <c r="J37" s="153"/>
      <c r="K37" s="44"/>
      <c r="L37" s="44"/>
      <c r="M37" s="44"/>
      <c r="N37" s="44"/>
      <c r="O37" s="44"/>
      <c r="P37" s="44"/>
      <c r="Q37" s="44"/>
      <c r="R37" s="44"/>
      <c r="S37" s="44"/>
    </row>
    <row r="38" spans="2:19" s="127" customFormat="1" ht="20.25" thickBot="1" thickTop="1">
      <c r="B38" s="150"/>
      <c r="C38" s="154"/>
      <c r="D38" s="154"/>
      <c r="F38" s="159" t="s">
        <v>36</v>
      </c>
      <c r="G38" s="160">
        <f>SUM(I19:I36)</f>
        <v>27964.276975</v>
      </c>
      <c r="H38" s="231"/>
      <c r="J38" s="153"/>
      <c r="K38" s="44"/>
      <c r="L38" s="44"/>
      <c r="M38" s="44"/>
      <c r="N38" s="44"/>
      <c r="O38" s="44"/>
      <c r="P38" s="44"/>
      <c r="Q38" s="44"/>
      <c r="R38" s="44"/>
      <c r="S38" s="44"/>
    </row>
    <row r="39" spans="2:19" s="127" customFormat="1" ht="19.5" thickTop="1">
      <c r="B39" s="150"/>
      <c r="C39" s="154"/>
      <c r="D39" s="154"/>
      <c r="F39" s="634"/>
      <c r="G39" s="231"/>
      <c r="H39" s="231"/>
      <c r="J39" s="153"/>
      <c r="K39" s="44"/>
      <c r="L39" s="44"/>
      <c r="M39" s="44"/>
      <c r="N39" s="44"/>
      <c r="O39" s="44"/>
      <c r="P39" s="44"/>
      <c r="Q39" s="44"/>
      <c r="R39" s="44"/>
      <c r="S39" s="44"/>
    </row>
    <row r="40" spans="2:19" s="127" customFormat="1" ht="18.75">
      <c r="B40" s="150"/>
      <c r="C40" s="635" t="s">
        <v>164</v>
      </c>
      <c r="D40" s="154"/>
      <c r="F40" s="634"/>
      <c r="G40" s="231"/>
      <c r="H40" s="231"/>
      <c r="J40" s="153"/>
      <c r="K40" s="44"/>
      <c r="L40" s="44"/>
      <c r="M40" s="44"/>
      <c r="N40" s="44"/>
      <c r="O40" s="44"/>
      <c r="P40" s="44"/>
      <c r="Q40" s="44"/>
      <c r="R40" s="44"/>
      <c r="S40" s="44"/>
    </row>
    <row r="41" spans="2:19" s="127" customFormat="1" ht="19.5" thickBot="1">
      <c r="B41" s="150"/>
      <c r="J41" s="153"/>
      <c r="K41" s="44"/>
      <c r="L41" s="44"/>
      <c r="M41" s="44"/>
      <c r="N41" s="44"/>
      <c r="O41" s="44"/>
      <c r="P41" s="44"/>
      <c r="Q41" s="44"/>
      <c r="R41" s="44"/>
      <c r="S41" s="44"/>
    </row>
    <row r="42" spans="2:19" s="127" customFormat="1" ht="19.5" thickTop="1">
      <c r="B42" s="682"/>
      <c r="C42" s="682"/>
      <c r="D42" s="682"/>
      <c r="E42" s="682"/>
      <c r="F42" s="682"/>
      <c r="G42" s="682"/>
      <c r="H42" s="682"/>
      <c r="I42" s="682"/>
      <c r="J42" s="682"/>
      <c r="K42" s="44"/>
      <c r="L42" s="44"/>
      <c r="M42" s="44"/>
      <c r="N42" s="44"/>
      <c r="O42" s="44"/>
      <c r="P42" s="44"/>
      <c r="Q42" s="44"/>
      <c r="R42" s="44"/>
      <c r="S42" s="44"/>
    </row>
    <row r="43" spans="2:19" s="127" customFormat="1" ht="18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2:19" s="127" customFormat="1" ht="18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2:19" s="127" customFormat="1" ht="8.25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2:19" s="127" customFormat="1" ht="18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2:19" s="143" customFormat="1" ht="6.75" customHeight="1">
      <c r="B47" s="144"/>
      <c r="C47" s="683"/>
      <c r="D47" s="683"/>
      <c r="E47" s="144"/>
      <c r="F47" s="144"/>
      <c r="G47" s="144"/>
      <c r="H47" s="144"/>
      <c r="I47" s="144"/>
      <c r="J47" s="144"/>
      <c r="K47" s="144"/>
      <c r="L47" s="144"/>
      <c r="M47" s="79"/>
      <c r="N47" s="161"/>
      <c r="O47" s="161"/>
      <c r="P47" s="162"/>
      <c r="Q47" s="163"/>
      <c r="R47" s="144"/>
      <c r="S47" s="144"/>
    </row>
    <row r="48" spans="4:19" ht="12.75">
      <c r="D48" s="9"/>
      <c r="F48" s="9"/>
      <c r="G48" s="9"/>
      <c r="H48" s="9"/>
      <c r="I48" s="9"/>
      <c r="J48" s="9"/>
      <c r="K48" s="9"/>
      <c r="L48" s="9"/>
      <c r="M48" s="28"/>
      <c r="N48" s="164"/>
      <c r="O48" s="164"/>
      <c r="P48" s="9"/>
      <c r="Q48" s="33"/>
      <c r="R48" s="9"/>
      <c r="S48" s="9"/>
    </row>
    <row r="49" spans="4:19" ht="12.75">
      <c r="D49" s="9"/>
      <c r="F49" s="9"/>
      <c r="G49" s="9"/>
      <c r="H49" s="9"/>
      <c r="I49" s="9"/>
      <c r="J49" s="9"/>
      <c r="K49" s="9"/>
      <c r="L49" s="9"/>
      <c r="M49" s="9"/>
      <c r="N49" s="165"/>
      <c r="O49" s="165"/>
      <c r="P49" s="166"/>
      <c r="Q49" s="33"/>
      <c r="R49" s="9"/>
      <c r="S49" s="9"/>
    </row>
    <row r="50" spans="4:19" ht="12.75">
      <c r="D50" s="9"/>
      <c r="E50" s="9"/>
      <c r="F50" s="9"/>
      <c r="G50" s="9"/>
      <c r="H50" s="9"/>
      <c r="I50" s="9"/>
      <c r="J50" s="9"/>
      <c r="K50" s="9"/>
      <c r="L50" s="9"/>
      <c r="M50" s="9"/>
      <c r="N50" s="165"/>
      <c r="O50" s="165"/>
      <c r="P50" s="166"/>
      <c r="Q50" s="33"/>
      <c r="R50" s="9"/>
      <c r="S50" s="9"/>
    </row>
    <row r="51" spans="4:19" ht="12.75">
      <c r="D51" s="9"/>
      <c r="E51" s="9"/>
      <c r="L51" s="9"/>
      <c r="M51" s="9"/>
      <c r="N51" s="9"/>
      <c r="O51" s="9"/>
      <c r="P51" s="9"/>
      <c r="Q51" s="9"/>
      <c r="R51" s="9"/>
      <c r="S51" s="9"/>
    </row>
    <row r="52" spans="4:19" ht="12.75">
      <c r="D52" s="9"/>
      <c r="E52" s="9"/>
      <c r="P52" s="9"/>
      <c r="Q52" s="9"/>
      <c r="R52" s="9"/>
      <c r="S52" s="9"/>
    </row>
    <row r="53" spans="4:19" ht="12.75">
      <c r="D53" s="9"/>
      <c r="E53" s="9"/>
      <c r="P53" s="9"/>
      <c r="Q53" s="9"/>
      <c r="R53" s="9"/>
      <c r="S53" s="9"/>
    </row>
    <row r="54" spans="4:19" ht="12.75">
      <c r="D54" s="9"/>
      <c r="E54" s="9"/>
      <c r="P54" s="9"/>
      <c r="Q54" s="9"/>
      <c r="R54" s="9"/>
      <c r="S54" s="9"/>
    </row>
    <row r="55" spans="4:19" ht="12.75">
      <c r="D55" s="9"/>
      <c r="E55" s="9"/>
      <c r="P55" s="9"/>
      <c r="Q55" s="9"/>
      <c r="R55" s="9"/>
      <c r="S55" s="9"/>
    </row>
    <row r="56" spans="4:19" ht="12.75">
      <c r="D56" s="9"/>
      <c r="E56" s="9"/>
      <c r="P56" s="9"/>
      <c r="Q56" s="9"/>
      <c r="R56" s="9"/>
      <c r="S56" s="9"/>
    </row>
    <row r="57" spans="16:19" ht="12.75">
      <c r="P57" s="9"/>
      <c r="Q57" s="9"/>
      <c r="R57" s="9"/>
      <c r="S57" s="9"/>
    </row>
    <row r="58" spans="16:19" ht="12.75">
      <c r="P58" s="9"/>
      <c r="Q58" s="9"/>
      <c r="R58" s="9"/>
      <c r="S58" s="9"/>
    </row>
  </sheetData>
  <printOptions horizontalCentered="1"/>
  <pageMargins left="0.29" right="0.48" top="0.7874015748031497" bottom="0.59" header="0.5118110236220472" footer="0.27"/>
  <pageSetup fitToHeight="1" fitToWidth="1" orientation="landscape" paperSize="9" scale="64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A1">
      <selection activeCell="C38" sqref="C38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8.4218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15" customFormat="1" ht="26.25">
      <c r="AB1" s="369"/>
    </row>
    <row r="2" spans="2:28" s="115" customFormat="1" ht="26.25">
      <c r="B2" s="116" t="str">
        <f>+'TOT-1110'!B2</f>
        <v>ANEXO V al Memorandum D.T.E.E.  N°    271 / 2012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="11" customFormat="1" ht="12.75"/>
    <row r="4" spans="1:3" s="118" customFormat="1" ht="11.25">
      <c r="A4" s="649" t="s">
        <v>16</v>
      </c>
      <c r="C4" s="648"/>
    </row>
    <row r="5" spans="1:3" s="118" customFormat="1" ht="11.25">
      <c r="A5" s="649" t="s">
        <v>131</v>
      </c>
      <c r="C5" s="648"/>
    </row>
    <row r="6" s="11" customFormat="1" ht="13.5" thickBot="1"/>
    <row r="7" spans="1:28" s="11" customFormat="1" ht="13.5" thickTop="1">
      <c r="A7" s="9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20" customFormat="1" ht="20.25">
      <c r="A8" s="42"/>
      <c r="B8" s="119"/>
      <c r="C8" s="42"/>
      <c r="D8" s="42"/>
      <c r="E8" s="42"/>
      <c r="F8" s="21" t="s">
        <v>37</v>
      </c>
      <c r="G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121"/>
    </row>
    <row r="9" spans="1:28" s="11" customFormat="1" ht="12.75">
      <c r="A9" s="9"/>
      <c r="B9" s="41"/>
      <c r="C9" s="9"/>
      <c r="D9" s="9"/>
      <c r="E9" s="9"/>
      <c r="F9" s="132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20" customFormat="1" ht="20.25">
      <c r="A10" s="42"/>
      <c r="B10" s="119"/>
      <c r="C10" s="42"/>
      <c r="D10" s="42"/>
      <c r="E10" s="42"/>
      <c r="F10" s="21" t="s">
        <v>38</v>
      </c>
      <c r="G10" s="21"/>
      <c r="H10" s="42"/>
      <c r="I10" s="122"/>
      <c r="J10" s="122"/>
      <c r="K10" s="122"/>
      <c r="L10" s="122"/>
      <c r="M10" s="122"/>
      <c r="N10" s="122"/>
      <c r="O10" s="12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121"/>
    </row>
    <row r="11" spans="1:28" s="11" customFormat="1" ht="12.75">
      <c r="A11" s="9"/>
      <c r="B11" s="41"/>
      <c r="C11" s="9"/>
      <c r="D11" s="9"/>
      <c r="E11" s="9"/>
      <c r="F11" s="131"/>
      <c r="G11" s="129"/>
      <c r="H11" s="9"/>
      <c r="I11" s="128"/>
      <c r="J11" s="128"/>
      <c r="K11" s="128"/>
      <c r="L11" s="128"/>
      <c r="M11" s="128"/>
      <c r="N11" s="128"/>
      <c r="O11" s="1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0" customFormat="1" ht="20.25">
      <c r="A12" s="42"/>
      <c r="B12" s="119"/>
      <c r="C12" s="42"/>
      <c r="D12" s="42"/>
      <c r="E12" s="42"/>
      <c r="F12" s="21" t="s">
        <v>39</v>
      </c>
      <c r="G12" s="21"/>
      <c r="H12" s="42"/>
      <c r="I12" s="122"/>
      <c r="J12" s="122"/>
      <c r="K12" s="122"/>
      <c r="L12" s="122"/>
      <c r="M12" s="122"/>
      <c r="N12" s="122"/>
      <c r="O12" s="12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121"/>
    </row>
    <row r="13" spans="1:28" s="11" customFormat="1" ht="12.75">
      <c r="A13" s="9"/>
      <c r="B13" s="41"/>
      <c r="C13" s="9"/>
      <c r="D13" s="9"/>
      <c r="E13" s="9"/>
      <c r="F13" s="131"/>
      <c r="G13" s="129"/>
      <c r="H13" s="9"/>
      <c r="I13" s="128"/>
      <c r="J13" s="128"/>
      <c r="K13" s="128"/>
      <c r="L13" s="128"/>
      <c r="M13" s="128"/>
      <c r="N13" s="128"/>
      <c r="O13" s="1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2"/>
    </row>
    <row r="14" spans="1:28" s="127" customFormat="1" ht="19.5">
      <c r="A14" s="44"/>
      <c r="B14" s="95" t="str">
        <f>+'TOT-1110'!B14</f>
        <v>Desde el 01 al 30 de noviembre de 2010</v>
      </c>
      <c r="C14" s="123"/>
      <c r="D14" s="123"/>
      <c r="E14" s="123"/>
      <c r="F14" s="123"/>
      <c r="G14" s="124"/>
      <c r="H14" s="124"/>
      <c r="I14" s="125"/>
      <c r="J14" s="125"/>
      <c r="K14" s="125"/>
      <c r="L14" s="125"/>
      <c r="M14" s="125"/>
      <c r="N14" s="125"/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6"/>
    </row>
    <row r="15" spans="1:28" s="11" customFormat="1" ht="13.5" thickBot="1">
      <c r="A15" s="9"/>
      <c r="B15" s="41"/>
      <c r="C15" s="9"/>
      <c r="D15" s="9"/>
      <c r="E15" s="9"/>
      <c r="F15" s="9"/>
      <c r="G15" s="129"/>
      <c r="H15" s="130"/>
      <c r="I15" s="128"/>
      <c r="J15" s="128"/>
      <c r="K15" s="128"/>
      <c r="L15" s="128"/>
      <c r="M15" s="128"/>
      <c r="N15" s="128"/>
      <c r="O15" s="1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2"/>
    </row>
    <row r="16" spans="1:28" s="101" customFormat="1" ht="16.5" customHeight="1" thickBot="1" thickTop="1">
      <c r="A16" s="97"/>
      <c r="B16" s="98"/>
      <c r="C16" s="97"/>
      <c r="D16" s="97"/>
      <c r="E16" s="97"/>
      <c r="F16" s="459" t="s">
        <v>40</v>
      </c>
      <c r="G16" s="460">
        <v>72.965</v>
      </c>
      <c r="H16" s="461"/>
      <c r="I16" s="102"/>
      <c r="J16" s="102"/>
      <c r="K16" s="102"/>
      <c r="L16" s="102"/>
      <c r="M16" s="102"/>
      <c r="N16" s="102"/>
      <c r="O16" s="102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100"/>
    </row>
    <row r="17" spans="1:28" s="101" customFormat="1" ht="16.5" customHeight="1" thickBot="1" thickTop="1">
      <c r="A17" s="97"/>
      <c r="B17" s="98"/>
      <c r="C17" s="97"/>
      <c r="D17" s="97"/>
      <c r="E17" s="97"/>
      <c r="F17" s="459" t="s">
        <v>41</v>
      </c>
      <c r="G17" s="460">
        <v>69.722</v>
      </c>
      <c r="H17" s="462"/>
      <c r="I17" s="97"/>
      <c r="K17" s="103" t="s">
        <v>42</v>
      </c>
      <c r="L17" s="104">
        <f>30*'TOT-1110'!B13</f>
        <v>30</v>
      </c>
      <c r="M17" s="230" t="str">
        <f>IF(L17=30," ",IF(L17=60,"Coeficiente duplicado por tasa de falla &gt;4 Sal. x año/100 km.","REVISAR COEFICIENTE"))</f>
        <v> 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100"/>
    </row>
    <row r="18" spans="1:28" s="676" customFormat="1" ht="14.25" thickBot="1" thickTop="1">
      <c r="A18" s="672"/>
      <c r="B18" s="673"/>
      <c r="C18" s="674">
        <v>3</v>
      </c>
      <c r="D18" s="674">
        <v>4</v>
      </c>
      <c r="E18" s="674">
        <v>5</v>
      </c>
      <c r="F18" s="674">
        <v>6</v>
      </c>
      <c r="G18" s="674">
        <v>7</v>
      </c>
      <c r="H18" s="674">
        <v>8</v>
      </c>
      <c r="I18" s="674">
        <v>9</v>
      </c>
      <c r="J18" s="674">
        <v>10</v>
      </c>
      <c r="K18" s="674">
        <v>11</v>
      </c>
      <c r="L18" s="674">
        <v>12</v>
      </c>
      <c r="M18" s="674">
        <v>13</v>
      </c>
      <c r="N18" s="674">
        <v>14</v>
      </c>
      <c r="O18" s="674">
        <v>15</v>
      </c>
      <c r="P18" s="674">
        <v>16</v>
      </c>
      <c r="Q18" s="674">
        <v>17</v>
      </c>
      <c r="R18" s="674">
        <v>18</v>
      </c>
      <c r="S18" s="674">
        <v>19</v>
      </c>
      <c r="T18" s="674">
        <v>20</v>
      </c>
      <c r="U18" s="674">
        <v>21</v>
      </c>
      <c r="V18" s="674">
        <v>22</v>
      </c>
      <c r="W18" s="674">
        <v>23</v>
      </c>
      <c r="X18" s="674">
        <v>24</v>
      </c>
      <c r="Y18" s="674">
        <v>25</v>
      </c>
      <c r="Z18" s="674">
        <v>26</v>
      </c>
      <c r="AA18" s="674">
        <v>27</v>
      </c>
      <c r="AB18" s="675"/>
    </row>
    <row r="19" spans="1:28" s="114" customFormat="1" ht="33.75" customHeight="1" thickBot="1" thickTop="1">
      <c r="A19" s="105"/>
      <c r="B19" s="106"/>
      <c r="C19" s="107" t="s">
        <v>43</v>
      </c>
      <c r="D19" s="107" t="s">
        <v>130</v>
      </c>
      <c r="E19" s="107" t="s">
        <v>129</v>
      </c>
      <c r="F19" s="108" t="s">
        <v>19</v>
      </c>
      <c r="G19" s="109" t="s">
        <v>44</v>
      </c>
      <c r="H19" s="110" t="s">
        <v>45</v>
      </c>
      <c r="I19" s="257" t="s">
        <v>46</v>
      </c>
      <c r="J19" s="108" t="s">
        <v>47</v>
      </c>
      <c r="K19" s="108" t="s">
        <v>48</v>
      </c>
      <c r="L19" s="109" t="s">
        <v>49</v>
      </c>
      <c r="M19" s="109" t="s">
        <v>50</v>
      </c>
      <c r="N19" s="111" t="s">
        <v>51</v>
      </c>
      <c r="O19" s="109" t="s">
        <v>52</v>
      </c>
      <c r="P19" s="282" t="s">
        <v>53</v>
      </c>
      <c r="Q19" s="284" t="s">
        <v>54</v>
      </c>
      <c r="R19" s="286" t="s">
        <v>55</v>
      </c>
      <c r="S19" s="287"/>
      <c r="T19" s="288"/>
      <c r="U19" s="293" t="s">
        <v>56</v>
      </c>
      <c r="V19" s="294"/>
      <c r="W19" s="295"/>
      <c r="X19" s="300" t="s">
        <v>57</v>
      </c>
      <c r="Y19" s="302" t="s">
        <v>58</v>
      </c>
      <c r="Z19" s="112" t="s">
        <v>59</v>
      </c>
      <c r="AA19" s="112" t="s">
        <v>60</v>
      </c>
      <c r="AB19" s="113"/>
    </row>
    <row r="20" spans="1:28" ht="16.5" customHeight="1" thickTop="1">
      <c r="A20" s="1"/>
      <c r="B20" s="2"/>
      <c r="C20" s="48"/>
      <c r="D20" s="647"/>
      <c r="E20" s="647"/>
      <c r="F20" s="367"/>
      <c r="G20" s="50"/>
      <c r="H20" s="50"/>
      <c r="I20" s="357"/>
      <c r="J20" s="50"/>
      <c r="K20" s="51"/>
      <c r="L20" s="51"/>
      <c r="M20" s="51"/>
      <c r="N20" s="49"/>
      <c r="O20" s="50"/>
      <c r="P20" s="283"/>
      <c r="Q20" s="285"/>
      <c r="R20" s="289"/>
      <c r="S20" s="290"/>
      <c r="T20" s="291"/>
      <c r="U20" s="296"/>
      <c r="V20" s="297"/>
      <c r="W20" s="298"/>
      <c r="X20" s="301"/>
      <c r="Y20" s="303"/>
      <c r="Z20" s="292"/>
      <c r="AA20" s="368"/>
      <c r="AB20" s="3"/>
    </row>
    <row r="21" spans="1:28" ht="16.5" customHeight="1">
      <c r="A21" s="1"/>
      <c r="B21" s="2"/>
      <c r="C21" s="485"/>
      <c r="D21" s="645"/>
      <c r="E21" s="645"/>
      <c r="F21" s="485"/>
      <c r="G21" s="486"/>
      <c r="H21" s="486"/>
      <c r="I21" s="358"/>
      <c r="J21" s="485"/>
      <c r="K21" s="487"/>
      <c r="L21" s="96"/>
      <c r="M21" s="96"/>
      <c r="N21" s="488"/>
      <c r="O21" s="485"/>
      <c r="P21" s="489"/>
      <c r="Q21" s="490"/>
      <c r="R21" s="491"/>
      <c r="S21" s="492"/>
      <c r="T21" s="493"/>
      <c r="U21" s="494"/>
      <c r="V21" s="495"/>
      <c r="W21" s="496"/>
      <c r="X21" s="497"/>
      <c r="Y21" s="498"/>
      <c r="Z21" s="499"/>
      <c r="AA21" s="96"/>
      <c r="AB21" s="3"/>
    </row>
    <row r="22" spans="1:28" ht="16.5" customHeight="1">
      <c r="A22" s="1"/>
      <c r="B22" s="2"/>
      <c r="C22" s="463">
        <v>1</v>
      </c>
      <c r="D22" s="463">
        <v>228811</v>
      </c>
      <c r="E22" s="463">
        <v>2034</v>
      </c>
      <c r="F22" s="464" t="s">
        <v>135</v>
      </c>
      <c r="G22" s="465">
        <v>132</v>
      </c>
      <c r="H22" s="466">
        <v>299.6000061035156</v>
      </c>
      <c r="I22" s="359">
        <f aca="true" t="shared" si="0" ref="I22:I41">IF(H22&gt;25,H22,25)*IF(G22=330,$G$16,$G$17)/100</f>
        <v>208.88711625549314</v>
      </c>
      <c r="J22" s="471">
        <v>40507.76111111111</v>
      </c>
      <c r="K22" s="471">
        <v>40508.03125</v>
      </c>
      <c r="L22" s="14">
        <f aca="true" t="shared" si="1" ref="L22:L41">IF(F22="","",(K22-J22)*24)</f>
        <v>6.483333333337214</v>
      </c>
      <c r="M22" s="15">
        <f aca="true" t="shared" si="2" ref="M22:M41">IF(F22="","",ROUND((K22-J22)*24*60,0))</f>
        <v>389</v>
      </c>
      <c r="N22" s="472" t="s">
        <v>136</v>
      </c>
      <c r="O22" s="651" t="str">
        <f aca="true" t="shared" si="3" ref="O22:O41">IF(F22="","","--")</f>
        <v>--</v>
      </c>
      <c r="P22" s="652" t="str">
        <f aca="true" t="shared" si="4" ref="P22:P41">IF(N22="P",ROUND(M22/60,2)*I22*$L$17*0.01,"--")</f>
        <v>--</v>
      </c>
      <c r="Q22" s="653" t="str">
        <f aca="true" t="shared" si="5" ref="Q22:Q41">IF(N22="RP",ROUND(M22/60,2)*I22*$L$17*0.01*O22/100,"--")</f>
        <v>--</v>
      </c>
      <c r="R22" s="654">
        <f aca="true" t="shared" si="6" ref="R22:R41">IF(N22="F",I22*$L$17,"--")</f>
        <v>6266.613487664794</v>
      </c>
      <c r="S22" s="655">
        <f aca="true" t="shared" si="7" ref="S22:S41">IF(AND(M22&gt;10,N22="F"),I22*$L$17*IF(M22&gt;180,3,ROUND(M22/60,2)),"--")</f>
        <v>18799.840462994383</v>
      </c>
      <c r="T22" s="656">
        <f aca="true" t="shared" si="8" ref="T22:T41">IF(AND(M22&gt;180,N22="F"),(ROUND(M22/60,2)-3)*I22*$L$17*0.1,"--")</f>
        <v>2180.7814937073485</v>
      </c>
      <c r="U22" s="657" t="str">
        <f aca="true" t="shared" si="9" ref="U22:U41">IF(N22="R",I22*$L$17*O22/100,"--")</f>
        <v>--</v>
      </c>
      <c r="V22" s="658" t="str">
        <f aca="true" t="shared" si="10" ref="V22:V41">IF(AND(M22&gt;10,N22="R"),I22*$L$17*O22/100*IF(M22&gt;180,3,ROUND(M22/60,2)),"--")</f>
        <v>--</v>
      </c>
      <c r="W22" s="659" t="str">
        <f aca="true" t="shared" si="11" ref="W22:W41">IF(AND(M22&gt;180,N22="R"),(ROUND(M22/60,2)-3)*O22/100*I22*$L$17*0.1,"--")</f>
        <v>--</v>
      </c>
      <c r="X22" s="660" t="str">
        <f aca="true" t="shared" si="12" ref="X22:X41">IF(N22="RF",ROUND(M22/60,2)*I22*$L$17*0.1,"--")</f>
        <v>--</v>
      </c>
      <c r="Y22" s="661" t="str">
        <f aca="true" t="shared" si="13" ref="Y22:Y41">IF(N22="RR",ROUND(M22/60,2)*O22/100*I22*$L$17*0.1,"--")</f>
        <v>--</v>
      </c>
      <c r="Z22" s="662" t="s">
        <v>137</v>
      </c>
      <c r="AA22" s="52">
        <f aca="true" t="shared" si="14" ref="AA22:AA41">IF(F22="","",SUM(P22:Y22)*IF(Z22="SI",1,2))</f>
        <v>27247.235444366524</v>
      </c>
      <c r="AB22" s="3"/>
    </row>
    <row r="23" spans="1:28" ht="16.5" customHeight="1">
      <c r="A23" s="1"/>
      <c r="B23" s="2"/>
      <c r="C23" s="463">
        <v>2</v>
      </c>
      <c r="D23" s="463">
        <v>228813</v>
      </c>
      <c r="E23" s="463">
        <v>4881</v>
      </c>
      <c r="F23" s="464" t="s">
        <v>146</v>
      </c>
      <c r="G23" s="465">
        <v>132</v>
      </c>
      <c r="H23" s="466">
        <v>128</v>
      </c>
      <c r="I23" s="359">
        <f t="shared" si="0"/>
        <v>89.24416</v>
      </c>
      <c r="J23" s="471">
        <v>40508.29375</v>
      </c>
      <c r="K23" s="471">
        <v>40508.717361111114</v>
      </c>
      <c r="L23" s="14">
        <f t="shared" si="1"/>
        <v>10.166666666802485</v>
      </c>
      <c r="M23" s="15">
        <f t="shared" si="2"/>
        <v>610</v>
      </c>
      <c r="N23" s="472" t="s">
        <v>138</v>
      </c>
      <c r="O23" s="651" t="str">
        <f t="shared" si="3"/>
        <v>--</v>
      </c>
      <c r="P23" s="652">
        <f t="shared" si="4"/>
        <v>272.28393215999995</v>
      </c>
      <c r="Q23" s="653" t="str">
        <f t="shared" si="5"/>
        <v>--</v>
      </c>
      <c r="R23" s="654" t="str">
        <f t="shared" si="6"/>
        <v>--</v>
      </c>
      <c r="S23" s="655" t="str">
        <f t="shared" si="7"/>
        <v>--</v>
      </c>
      <c r="T23" s="656" t="str">
        <f t="shared" si="8"/>
        <v>--</v>
      </c>
      <c r="U23" s="657" t="str">
        <f t="shared" si="9"/>
        <v>--</v>
      </c>
      <c r="V23" s="658" t="str">
        <f t="shared" si="10"/>
        <v>--</v>
      </c>
      <c r="W23" s="659" t="str">
        <f t="shared" si="11"/>
        <v>--</v>
      </c>
      <c r="X23" s="660" t="str">
        <f t="shared" si="12"/>
        <v>--</v>
      </c>
      <c r="Y23" s="661" t="str">
        <f t="shared" si="13"/>
        <v>--</v>
      </c>
      <c r="Z23" s="662" t="s">
        <v>137</v>
      </c>
      <c r="AA23" s="52">
        <f t="shared" si="14"/>
        <v>272.28393215999995</v>
      </c>
      <c r="AB23" s="3"/>
    </row>
    <row r="24" spans="1:28" ht="16.5" customHeight="1">
      <c r="A24" s="1"/>
      <c r="B24" s="2"/>
      <c r="C24" s="463"/>
      <c r="D24" s="463"/>
      <c r="E24" s="463"/>
      <c r="F24" s="464"/>
      <c r="G24" s="465"/>
      <c r="H24" s="466"/>
      <c r="I24" s="359">
        <f t="shared" si="0"/>
        <v>17.4305</v>
      </c>
      <c r="J24" s="471"/>
      <c r="K24" s="471"/>
      <c r="L24" s="14">
        <f t="shared" si="1"/>
      </c>
      <c r="M24" s="15">
        <f t="shared" si="2"/>
      </c>
      <c r="N24" s="472"/>
      <c r="O24" s="651">
        <f t="shared" si="3"/>
      </c>
      <c r="P24" s="652" t="str">
        <f t="shared" si="4"/>
        <v>--</v>
      </c>
      <c r="Q24" s="653" t="str">
        <f t="shared" si="5"/>
        <v>--</v>
      </c>
      <c r="R24" s="654" t="str">
        <f t="shared" si="6"/>
        <v>--</v>
      </c>
      <c r="S24" s="655" t="str">
        <f t="shared" si="7"/>
        <v>--</v>
      </c>
      <c r="T24" s="656" t="str">
        <f t="shared" si="8"/>
        <v>--</v>
      </c>
      <c r="U24" s="657" t="str">
        <f t="shared" si="9"/>
        <v>--</v>
      </c>
      <c r="V24" s="658" t="str">
        <f t="shared" si="10"/>
        <v>--</v>
      </c>
      <c r="W24" s="659" t="str">
        <f t="shared" si="11"/>
        <v>--</v>
      </c>
      <c r="X24" s="660" t="str">
        <f t="shared" si="12"/>
        <v>--</v>
      </c>
      <c r="Y24" s="661" t="str">
        <f t="shared" si="13"/>
        <v>--</v>
      </c>
      <c r="Z24" s="662">
        <f aca="true" t="shared" si="15" ref="Z24:Z41">IF(F24="","","SI")</f>
      </c>
      <c r="AA24" s="52">
        <f t="shared" si="14"/>
      </c>
      <c r="AB24" s="3"/>
    </row>
    <row r="25" spans="1:28" ht="16.5" customHeight="1">
      <c r="A25" s="1"/>
      <c r="B25" s="2"/>
      <c r="C25" s="463"/>
      <c r="D25" s="463"/>
      <c r="E25" s="463"/>
      <c r="F25" s="464"/>
      <c r="G25" s="465"/>
      <c r="H25" s="466"/>
      <c r="I25" s="359">
        <f t="shared" si="0"/>
        <v>17.4305</v>
      </c>
      <c r="J25" s="471"/>
      <c r="K25" s="471"/>
      <c r="L25" s="14">
        <f t="shared" si="1"/>
      </c>
      <c r="M25" s="15">
        <f t="shared" si="2"/>
      </c>
      <c r="N25" s="472"/>
      <c r="O25" s="651">
        <f t="shared" si="3"/>
      </c>
      <c r="P25" s="652" t="str">
        <f t="shared" si="4"/>
        <v>--</v>
      </c>
      <c r="Q25" s="653" t="str">
        <f t="shared" si="5"/>
        <v>--</v>
      </c>
      <c r="R25" s="654" t="str">
        <f t="shared" si="6"/>
        <v>--</v>
      </c>
      <c r="S25" s="655" t="str">
        <f t="shared" si="7"/>
        <v>--</v>
      </c>
      <c r="T25" s="656" t="str">
        <f t="shared" si="8"/>
        <v>--</v>
      </c>
      <c r="U25" s="657" t="str">
        <f t="shared" si="9"/>
        <v>--</v>
      </c>
      <c r="V25" s="658" t="str">
        <f t="shared" si="10"/>
        <v>--</v>
      </c>
      <c r="W25" s="659" t="str">
        <f t="shared" si="11"/>
        <v>--</v>
      </c>
      <c r="X25" s="660" t="str">
        <f t="shared" si="12"/>
        <v>--</v>
      </c>
      <c r="Y25" s="661" t="str">
        <f t="shared" si="13"/>
        <v>--</v>
      </c>
      <c r="Z25" s="662">
        <f t="shared" si="15"/>
      </c>
      <c r="AA25" s="52">
        <f t="shared" si="14"/>
      </c>
      <c r="AB25" s="3"/>
    </row>
    <row r="26" spans="1:28" ht="16.5" customHeight="1">
      <c r="A26" s="1"/>
      <c r="B26" s="2"/>
      <c r="C26" s="463"/>
      <c r="D26" s="463"/>
      <c r="E26" s="463"/>
      <c r="F26" s="464"/>
      <c r="G26" s="465"/>
      <c r="H26" s="466"/>
      <c r="I26" s="359">
        <f t="shared" si="0"/>
        <v>17.4305</v>
      </c>
      <c r="J26" s="471"/>
      <c r="K26" s="471"/>
      <c r="L26" s="14">
        <f t="shared" si="1"/>
      </c>
      <c r="M26" s="15">
        <f t="shared" si="2"/>
      </c>
      <c r="N26" s="472"/>
      <c r="O26" s="651">
        <f t="shared" si="3"/>
      </c>
      <c r="P26" s="652" t="str">
        <f t="shared" si="4"/>
        <v>--</v>
      </c>
      <c r="Q26" s="653" t="str">
        <f t="shared" si="5"/>
        <v>--</v>
      </c>
      <c r="R26" s="654" t="str">
        <f t="shared" si="6"/>
        <v>--</v>
      </c>
      <c r="S26" s="655" t="str">
        <f t="shared" si="7"/>
        <v>--</v>
      </c>
      <c r="T26" s="656" t="str">
        <f t="shared" si="8"/>
        <v>--</v>
      </c>
      <c r="U26" s="657" t="str">
        <f t="shared" si="9"/>
        <v>--</v>
      </c>
      <c r="V26" s="658" t="str">
        <f t="shared" si="10"/>
        <v>--</v>
      </c>
      <c r="W26" s="659" t="str">
        <f t="shared" si="11"/>
        <v>--</v>
      </c>
      <c r="X26" s="660" t="str">
        <f t="shared" si="12"/>
        <v>--</v>
      </c>
      <c r="Y26" s="661" t="str">
        <f t="shared" si="13"/>
        <v>--</v>
      </c>
      <c r="Z26" s="662">
        <f t="shared" si="15"/>
      </c>
      <c r="AA26" s="52">
        <f t="shared" si="14"/>
      </c>
      <c r="AB26" s="3"/>
    </row>
    <row r="27" spans="1:28" ht="16.5" customHeight="1">
      <c r="A27" s="1"/>
      <c r="B27" s="2"/>
      <c r="C27" s="463"/>
      <c r="D27" s="463"/>
      <c r="E27" s="463"/>
      <c r="F27" s="464"/>
      <c r="G27" s="465"/>
      <c r="H27" s="466"/>
      <c r="I27" s="359">
        <f t="shared" si="0"/>
        <v>17.4305</v>
      </c>
      <c r="J27" s="471"/>
      <c r="K27" s="471"/>
      <c r="L27" s="14">
        <f t="shared" si="1"/>
      </c>
      <c r="M27" s="15">
        <f t="shared" si="2"/>
      </c>
      <c r="N27" s="472"/>
      <c r="O27" s="651">
        <f t="shared" si="3"/>
      </c>
      <c r="P27" s="652" t="str">
        <f t="shared" si="4"/>
        <v>--</v>
      </c>
      <c r="Q27" s="653" t="str">
        <f t="shared" si="5"/>
        <v>--</v>
      </c>
      <c r="R27" s="654" t="str">
        <f t="shared" si="6"/>
        <v>--</v>
      </c>
      <c r="S27" s="655" t="str">
        <f t="shared" si="7"/>
        <v>--</v>
      </c>
      <c r="T27" s="656" t="str">
        <f t="shared" si="8"/>
        <v>--</v>
      </c>
      <c r="U27" s="657" t="str">
        <f t="shared" si="9"/>
        <v>--</v>
      </c>
      <c r="V27" s="658" t="str">
        <f t="shared" si="10"/>
        <v>--</v>
      </c>
      <c r="W27" s="659" t="str">
        <f t="shared" si="11"/>
        <v>--</v>
      </c>
      <c r="X27" s="660" t="str">
        <f t="shared" si="12"/>
        <v>--</v>
      </c>
      <c r="Y27" s="661" t="str">
        <f t="shared" si="13"/>
        <v>--</v>
      </c>
      <c r="Z27" s="662">
        <f t="shared" si="15"/>
      </c>
      <c r="AA27" s="52">
        <f t="shared" si="14"/>
      </c>
      <c r="AB27" s="3"/>
    </row>
    <row r="28" spans="1:28" ht="16.5" customHeight="1">
      <c r="A28" s="1"/>
      <c r="B28" s="2"/>
      <c r="C28" s="463"/>
      <c r="D28" s="463"/>
      <c r="E28" s="463"/>
      <c r="F28" s="464"/>
      <c r="G28" s="465"/>
      <c r="H28" s="466"/>
      <c r="I28" s="359">
        <f t="shared" si="0"/>
        <v>17.4305</v>
      </c>
      <c r="J28" s="471"/>
      <c r="K28" s="471"/>
      <c r="L28" s="14">
        <f t="shared" si="1"/>
      </c>
      <c r="M28" s="15">
        <f t="shared" si="2"/>
      </c>
      <c r="N28" s="472"/>
      <c r="O28" s="651">
        <f t="shared" si="3"/>
      </c>
      <c r="P28" s="652" t="str">
        <f t="shared" si="4"/>
        <v>--</v>
      </c>
      <c r="Q28" s="653" t="str">
        <f t="shared" si="5"/>
        <v>--</v>
      </c>
      <c r="R28" s="654" t="str">
        <f t="shared" si="6"/>
        <v>--</v>
      </c>
      <c r="S28" s="655" t="str">
        <f t="shared" si="7"/>
        <v>--</v>
      </c>
      <c r="T28" s="656" t="str">
        <f t="shared" si="8"/>
        <v>--</v>
      </c>
      <c r="U28" s="657" t="str">
        <f t="shared" si="9"/>
        <v>--</v>
      </c>
      <c r="V28" s="658" t="str">
        <f t="shared" si="10"/>
        <v>--</v>
      </c>
      <c r="W28" s="659" t="str">
        <f t="shared" si="11"/>
        <v>--</v>
      </c>
      <c r="X28" s="660" t="str">
        <f t="shared" si="12"/>
        <v>--</v>
      </c>
      <c r="Y28" s="661" t="str">
        <f t="shared" si="13"/>
        <v>--</v>
      </c>
      <c r="Z28" s="662">
        <f t="shared" si="15"/>
      </c>
      <c r="AA28" s="52">
        <f t="shared" si="14"/>
      </c>
      <c r="AB28" s="3"/>
    </row>
    <row r="29" spans="1:28" ht="16.5" customHeight="1">
      <c r="A29" s="1"/>
      <c r="B29" s="2"/>
      <c r="C29" s="463"/>
      <c r="D29" s="463"/>
      <c r="E29" s="463"/>
      <c r="F29" s="464"/>
      <c r="G29" s="465"/>
      <c r="H29" s="466"/>
      <c r="I29" s="359">
        <f t="shared" si="0"/>
        <v>17.4305</v>
      </c>
      <c r="J29" s="471"/>
      <c r="K29" s="471"/>
      <c r="L29" s="14">
        <f t="shared" si="1"/>
      </c>
      <c r="M29" s="15">
        <f t="shared" si="2"/>
      </c>
      <c r="N29" s="472"/>
      <c r="O29" s="651">
        <f t="shared" si="3"/>
      </c>
      <c r="P29" s="652" t="str">
        <f t="shared" si="4"/>
        <v>--</v>
      </c>
      <c r="Q29" s="653" t="str">
        <f t="shared" si="5"/>
        <v>--</v>
      </c>
      <c r="R29" s="654" t="str">
        <f t="shared" si="6"/>
        <v>--</v>
      </c>
      <c r="S29" s="655" t="str">
        <f t="shared" si="7"/>
        <v>--</v>
      </c>
      <c r="T29" s="656" t="str">
        <f t="shared" si="8"/>
        <v>--</v>
      </c>
      <c r="U29" s="657" t="str">
        <f t="shared" si="9"/>
        <v>--</v>
      </c>
      <c r="V29" s="658" t="str">
        <f t="shared" si="10"/>
        <v>--</v>
      </c>
      <c r="W29" s="659" t="str">
        <f t="shared" si="11"/>
        <v>--</v>
      </c>
      <c r="X29" s="660" t="str">
        <f t="shared" si="12"/>
        <v>--</v>
      </c>
      <c r="Y29" s="661" t="str">
        <f t="shared" si="13"/>
        <v>--</v>
      </c>
      <c r="Z29" s="662">
        <f t="shared" si="15"/>
      </c>
      <c r="AA29" s="52">
        <f t="shared" si="14"/>
      </c>
      <c r="AB29" s="3"/>
    </row>
    <row r="30" spans="1:28" ht="16.5" customHeight="1">
      <c r="A30" s="1"/>
      <c r="B30" s="2"/>
      <c r="C30" s="463"/>
      <c r="D30" s="463"/>
      <c r="E30" s="463"/>
      <c r="F30" s="464"/>
      <c r="G30" s="465"/>
      <c r="H30" s="466"/>
      <c r="I30" s="359">
        <f t="shared" si="0"/>
        <v>17.4305</v>
      </c>
      <c r="J30" s="471"/>
      <c r="K30" s="471"/>
      <c r="L30" s="14">
        <f t="shared" si="1"/>
      </c>
      <c r="M30" s="15">
        <f t="shared" si="2"/>
      </c>
      <c r="N30" s="472"/>
      <c r="O30" s="651">
        <f t="shared" si="3"/>
      </c>
      <c r="P30" s="652" t="str">
        <f t="shared" si="4"/>
        <v>--</v>
      </c>
      <c r="Q30" s="653" t="str">
        <f t="shared" si="5"/>
        <v>--</v>
      </c>
      <c r="R30" s="654" t="str">
        <f t="shared" si="6"/>
        <v>--</v>
      </c>
      <c r="S30" s="655" t="str">
        <f t="shared" si="7"/>
        <v>--</v>
      </c>
      <c r="T30" s="656" t="str">
        <f t="shared" si="8"/>
        <v>--</v>
      </c>
      <c r="U30" s="657" t="str">
        <f t="shared" si="9"/>
        <v>--</v>
      </c>
      <c r="V30" s="658" t="str">
        <f t="shared" si="10"/>
        <v>--</v>
      </c>
      <c r="W30" s="659" t="str">
        <f t="shared" si="11"/>
        <v>--</v>
      </c>
      <c r="X30" s="660" t="str">
        <f t="shared" si="12"/>
        <v>--</v>
      </c>
      <c r="Y30" s="661" t="str">
        <f t="shared" si="13"/>
        <v>--</v>
      </c>
      <c r="Z30" s="662">
        <f t="shared" si="15"/>
      </c>
      <c r="AA30" s="52">
        <f t="shared" si="14"/>
      </c>
      <c r="AB30" s="3"/>
    </row>
    <row r="31" spans="1:28" ht="16.5" customHeight="1">
      <c r="A31" s="1"/>
      <c r="B31" s="2"/>
      <c r="C31" s="463"/>
      <c r="D31" s="463"/>
      <c r="E31" s="463"/>
      <c r="F31" s="464"/>
      <c r="G31" s="465"/>
      <c r="H31" s="466"/>
      <c r="I31" s="359">
        <f t="shared" si="0"/>
        <v>17.4305</v>
      </c>
      <c r="J31" s="471"/>
      <c r="K31" s="471"/>
      <c r="L31" s="14">
        <f t="shared" si="1"/>
      </c>
      <c r="M31" s="15">
        <f t="shared" si="2"/>
      </c>
      <c r="N31" s="472"/>
      <c r="O31" s="651">
        <f t="shared" si="3"/>
      </c>
      <c r="P31" s="652" t="str">
        <f t="shared" si="4"/>
        <v>--</v>
      </c>
      <c r="Q31" s="653" t="str">
        <f t="shared" si="5"/>
        <v>--</v>
      </c>
      <c r="R31" s="654" t="str">
        <f t="shared" si="6"/>
        <v>--</v>
      </c>
      <c r="S31" s="655" t="str">
        <f t="shared" si="7"/>
        <v>--</v>
      </c>
      <c r="T31" s="656" t="str">
        <f t="shared" si="8"/>
        <v>--</v>
      </c>
      <c r="U31" s="657" t="str">
        <f t="shared" si="9"/>
        <v>--</v>
      </c>
      <c r="V31" s="658" t="str">
        <f t="shared" si="10"/>
        <v>--</v>
      </c>
      <c r="W31" s="659" t="str">
        <f t="shared" si="11"/>
        <v>--</v>
      </c>
      <c r="X31" s="660" t="str">
        <f t="shared" si="12"/>
        <v>--</v>
      </c>
      <c r="Y31" s="661" t="str">
        <f t="shared" si="13"/>
        <v>--</v>
      </c>
      <c r="Z31" s="662">
        <f t="shared" si="15"/>
      </c>
      <c r="AA31" s="52">
        <f t="shared" si="14"/>
      </c>
      <c r="AB31" s="3"/>
    </row>
    <row r="32" spans="1:28" ht="16.5" customHeight="1">
      <c r="A32" s="1"/>
      <c r="B32" s="2"/>
      <c r="C32" s="463"/>
      <c r="D32" s="463"/>
      <c r="E32" s="463"/>
      <c r="F32" s="464"/>
      <c r="G32" s="465"/>
      <c r="H32" s="466"/>
      <c r="I32" s="359">
        <f t="shared" si="0"/>
        <v>17.4305</v>
      </c>
      <c r="J32" s="471"/>
      <c r="K32" s="471"/>
      <c r="L32" s="14">
        <f t="shared" si="1"/>
      </c>
      <c r="M32" s="15">
        <f t="shared" si="2"/>
      </c>
      <c r="N32" s="472"/>
      <c r="O32" s="651">
        <f t="shared" si="3"/>
      </c>
      <c r="P32" s="652" t="str">
        <f t="shared" si="4"/>
        <v>--</v>
      </c>
      <c r="Q32" s="653" t="str">
        <f t="shared" si="5"/>
        <v>--</v>
      </c>
      <c r="R32" s="654" t="str">
        <f t="shared" si="6"/>
        <v>--</v>
      </c>
      <c r="S32" s="655" t="str">
        <f t="shared" si="7"/>
        <v>--</v>
      </c>
      <c r="T32" s="656" t="str">
        <f t="shared" si="8"/>
        <v>--</v>
      </c>
      <c r="U32" s="657" t="str">
        <f t="shared" si="9"/>
        <v>--</v>
      </c>
      <c r="V32" s="658" t="str">
        <f t="shared" si="10"/>
        <v>--</v>
      </c>
      <c r="W32" s="659" t="str">
        <f t="shared" si="11"/>
        <v>--</v>
      </c>
      <c r="X32" s="660" t="str">
        <f t="shared" si="12"/>
        <v>--</v>
      </c>
      <c r="Y32" s="661" t="str">
        <f t="shared" si="13"/>
        <v>--</v>
      </c>
      <c r="Z32" s="662">
        <f t="shared" si="15"/>
      </c>
      <c r="AA32" s="52">
        <f t="shared" si="14"/>
      </c>
      <c r="AB32" s="3"/>
    </row>
    <row r="33" spans="1:28" ht="16.5" customHeight="1">
      <c r="A33" s="1"/>
      <c r="B33" s="2"/>
      <c r="C33" s="463"/>
      <c r="D33" s="463"/>
      <c r="E33" s="463"/>
      <c r="F33" s="464"/>
      <c r="G33" s="465"/>
      <c r="H33" s="466"/>
      <c r="I33" s="359">
        <f t="shared" si="0"/>
        <v>17.4305</v>
      </c>
      <c r="J33" s="471"/>
      <c r="K33" s="471"/>
      <c r="L33" s="14">
        <f t="shared" si="1"/>
      </c>
      <c r="M33" s="15">
        <f t="shared" si="2"/>
      </c>
      <c r="N33" s="472"/>
      <c r="O33" s="651">
        <f t="shared" si="3"/>
      </c>
      <c r="P33" s="652" t="str">
        <f t="shared" si="4"/>
        <v>--</v>
      </c>
      <c r="Q33" s="653" t="str">
        <f t="shared" si="5"/>
        <v>--</v>
      </c>
      <c r="R33" s="654" t="str">
        <f t="shared" si="6"/>
        <v>--</v>
      </c>
      <c r="S33" s="655" t="str">
        <f t="shared" si="7"/>
        <v>--</v>
      </c>
      <c r="T33" s="656" t="str">
        <f t="shared" si="8"/>
        <v>--</v>
      </c>
      <c r="U33" s="657" t="str">
        <f t="shared" si="9"/>
        <v>--</v>
      </c>
      <c r="V33" s="658" t="str">
        <f t="shared" si="10"/>
        <v>--</v>
      </c>
      <c r="W33" s="659" t="str">
        <f t="shared" si="11"/>
        <v>--</v>
      </c>
      <c r="X33" s="660" t="str">
        <f t="shared" si="12"/>
        <v>--</v>
      </c>
      <c r="Y33" s="661" t="str">
        <f t="shared" si="13"/>
        <v>--</v>
      </c>
      <c r="Z33" s="662">
        <f t="shared" si="15"/>
      </c>
      <c r="AA33" s="52">
        <f t="shared" si="14"/>
      </c>
      <c r="AB33" s="3"/>
    </row>
    <row r="34" spans="1:28" ht="16.5" customHeight="1">
      <c r="A34" s="1"/>
      <c r="B34" s="2"/>
      <c r="C34" s="463"/>
      <c r="D34" s="463"/>
      <c r="E34" s="463"/>
      <c r="F34" s="464"/>
      <c r="G34" s="465"/>
      <c r="H34" s="466"/>
      <c r="I34" s="359">
        <f t="shared" si="0"/>
        <v>17.4305</v>
      </c>
      <c r="J34" s="471"/>
      <c r="K34" s="471"/>
      <c r="L34" s="14">
        <f t="shared" si="1"/>
      </c>
      <c r="M34" s="15">
        <f t="shared" si="2"/>
      </c>
      <c r="N34" s="472"/>
      <c r="O34" s="651">
        <f t="shared" si="3"/>
      </c>
      <c r="P34" s="652" t="str">
        <f t="shared" si="4"/>
        <v>--</v>
      </c>
      <c r="Q34" s="653" t="str">
        <f t="shared" si="5"/>
        <v>--</v>
      </c>
      <c r="R34" s="654" t="str">
        <f t="shared" si="6"/>
        <v>--</v>
      </c>
      <c r="S34" s="655" t="str">
        <f t="shared" si="7"/>
        <v>--</v>
      </c>
      <c r="T34" s="656" t="str">
        <f t="shared" si="8"/>
        <v>--</v>
      </c>
      <c r="U34" s="657" t="str">
        <f t="shared" si="9"/>
        <v>--</v>
      </c>
      <c r="V34" s="658" t="str">
        <f t="shared" si="10"/>
        <v>--</v>
      </c>
      <c r="W34" s="659" t="str">
        <f t="shared" si="11"/>
        <v>--</v>
      </c>
      <c r="X34" s="660" t="str">
        <f t="shared" si="12"/>
        <v>--</v>
      </c>
      <c r="Y34" s="661" t="str">
        <f t="shared" si="13"/>
        <v>--</v>
      </c>
      <c r="Z34" s="662">
        <f t="shared" si="15"/>
      </c>
      <c r="AA34" s="52">
        <f t="shared" si="14"/>
      </c>
      <c r="AB34" s="3"/>
    </row>
    <row r="35" spans="1:28" ht="16.5" customHeight="1">
      <c r="A35" s="1"/>
      <c r="B35" s="2"/>
      <c r="C35" s="463"/>
      <c r="D35" s="463"/>
      <c r="E35" s="463"/>
      <c r="F35" s="464"/>
      <c r="G35" s="465"/>
      <c r="H35" s="466"/>
      <c r="I35" s="359">
        <f t="shared" si="0"/>
        <v>17.4305</v>
      </c>
      <c r="J35" s="471"/>
      <c r="K35" s="471"/>
      <c r="L35" s="14">
        <f t="shared" si="1"/>
      </c>
      <c r="M35" s="15">
        <f t="shared" si="2"/>
      </c>
      <c r="N35" s="472"/>
      <c r="O35" s="651">
        <f t="shared" si="3"/>
      </c>
      <c r="P35" s="652" t="str">
        <f t="shared" si="4"/>
        <v>--</v>
      </c>
      <c r="Q35" s="653" t="str">
        <f t="shared" si="5"/>
        <v>--</v>
      </c>
      <c r="R35" s="654" t="str">
        <f t="shared" si="6"/>
        <v>--</v>
      </c>
      <c r="S35" s="655" t="str">
        <f t="shared" si="7"/>
        <v>--</v>
      </c>
      <c r="T35" s="656" t="str">
        <f t="shared" si="8"/>
        <v>--</v>
      </c>
      <c r="U35" s="657" t="str">
        <f t="shared" si="9"/>
        <v>--</v>
      </c>
      <c r="V35" s="658" t="str">
        <f t="shared" si="10"/>
        <v>--</v>
      </c>
      <c r="W35" s="659" t="str">
        <f t="shared" si="11"/>
        <v>--</v>
      </c>
      <c r="X35" s="660" t="str">
        <f t="shared" si="12"/>
        <v>--</v>
      </c>
      <c r="Y35" s="661" t="str">
        <f t="shared" si="13"/>
        <v>--</v>
      </c>
      <c r="Z35" s="662">
        <f t="shared" si="15"/>
      </c>
      <c r="AA35" s="52">
        <f t="shared" si="14"/>
      </c>
      <c r="AB35" s="3"/>
    </row>
    <row r="36" spans="1:28" ht="16.5" customHeight="1">
      <c r="A36" s="1"/>
      <c r="B36" s="2"/>
      <c r="C36" s="463"/>
      <c r="D36" s="463"/>
      <c r="E36" s="463"/>
      <c r="F36" s="464"/>
      <c r="G36" s="465"/>
      <c r="H36" s="466"/>
      <c r="I36" s="359">
        <f t="shared" si="0"/>
        <v>17.4305</v>
      </c>
      <c r="J36" s="471"/>
      <c r="K36" s="471"/>
      <c r="L36" s="14">
        <f t="shared" si="1"/>
      </c>
      <c r="M36" s="15">
        <f t="shared" si="2"/>
      </c>
      <c r="N36" s="472"/>
      <c r="O36" s="651">
        <f t="shared" si="3"/>
      </c>
      <c r="P36" s="652" t="str">
        <f t="shared" si="4"/>
        <v>--</v>
      </c>
      <c r="Q36" s="653" t="str">
        <f t="shared" si="5"/>
        <v>--</v>
      </c>
      <c r="R36" s="654" t="str">
        <f t="shared" si="6"/>
        <v>--</v>
      </c>
      <c r="S36" s="655" t="str">
        <f t="shared" si="7"/>
        <v>--</v>
      </c>
      <c r="T36" s="656" t="str">
        <f t="shared" si="8"/>
        <v>--</v>
      </c>
      <c r="U36" s="657" t="str">
        <f t="shared" si="9"/>
        <v>--</v>
      </c>
      <c r="V36" s="658" t="str">
        <f t="shared" si="10"/>
        <v>--</v>
      </c>
      <c r="W36" s="659" t="str">
        <f t="shared" si="11"/>
        <v>--</v>
      </c>
      <c r="X36" s="660" t="str">
        <f t="shared" si="12"/>
        <v>--</v>
      </c>
      <c r="Y36" s="661" t="str">
        <f t="shared" si="13"/>
        <v>--</v>
      </c>
      <c r="Z36" s="662">
        <f t="shared" si="15"/>
      </c>
      <c r="AA36" s="52">
        <f t="shared" si="14"/>
      </c>
      <c r="AB36" s="3"/>
    </row>
    <row r="37" spans="1:28" ht="16.5" customHeight="1">
      <c r="A37" s="1"/>
      <c r="B37" s="2"/>
      <c r="C37" s="463"/>
      <c r="D37" s="463"/>
      <c r="E37" s="463"/>
      <c r="F37" s="464"/>
      <c r="G37" s="465"/>
      <c r="H37" s="466"/>
      <c r="I37" s="359">
        <f t="shared" si="0"/>
        <v>17.4305</v>
      </c>
      <c r="J37" s="471"/>
      <c r="K37" s="471"/>
      <c r="L37" s="14">
        <f t="shared" si="1"/>
      </c>
      <c r="M37" s="15">
        <f t="shared" si="2"/>
      </c>
      <c r="N37" s="472"/>
      <c r="O37" s="651">
        <f t="shared" si="3"/>
      </c>
      <c r="P37" s="652" t="str">
        <f t="shared" si="4"/>
        <v>--</v>
      </c>
      <c r="Q37" s="653" t="str">
        <f t="shared" si="5"/>
        <v>--</v>
      </c>
      <c r="R37" s="654" t="str">
        <f t="shared" si="6"/>
        <v>--</v>
      </c>
      <c r="S37" s="655" t="str">
        <f t="shared" si="7"/>
        <v>--</v>
      </c>
      <c r="T37" s="656" t="str">
        <f t="shared" si="8"/>
        <v>--</v>
      </c>
      <c r="U37" s="657" t="str">
        <f t="shared" si="9"/>
        <v>--</v>
      </c>
      <c r="V37" s="658" t="str">
        <f t="shared" si="10"/>
        <v>--</v>
      </c>
      <c r="W37" s="659" t="str">
        <f t="shared" si="11"/>
        <v>--</v>
      </c>
      <c r="X37" s="660" t="str">
        <f t="shared" si="12"/>
        <v>--</v>
      </c>
      <c r="Y37" s="661" t="str">
        <f t="shared" si="13"/>
        <v>--</v>
      </c>
      <c r="Z37" s="662">
        <f t="shared" si="15"/>
      </c>
      <c r="AA37" s="52">
        <f t="shared" si="14"/>
      </c>
      <c r="AB37" s="3"/>
    </row>
    <row r="38" spans="2:28" ht="16.5" customHeight="1">
      <c r="B38" s="53"/>
      <c r="C38" s="463"/>
      <c r="D38" s="463"/>
      <c r="E38" s="463"/>
      <c r="F38" s="464"/>
      <c r="G38" s="465"/>
      <c r="H38" s="466"/>
      <c r="I38" s="359">
        <f t="shared" si="0"/>
        <v>17.4305</v>
      </c>
      <c r="J38" s="471"/>
      <c r="K38" s="471"/>
      <c r="L38" s="14">
        <f t="shared" si="1"/>
      </c>
      <c r="M38" s="15">
        <f t="shared" si="2"/>
      </c>
      <c r="N38" s="472"/>
      <c r="O38" s="651">
        <f t="shared" si="3"/>
      </c>
      <c r="P38" s="652" t="str">
        <f t="shared" si="4"/>
        <v>--</v>
      </c>
      <c r="Q38" s="653" t="str">
        <f t="shared" si="5"/>
        <v>--</v>
      </c>
      <c r="R38" s="654" t="str">
        <f t="shared" si="6"/>
        <v>--</v>
      </c>
      <c r="S38" s="655" t="str">
        <f t="shared" si="7"/>
        <v>--</v>
      </c>
      <c r="T38" s="656" t="str">
        <f t="shared" si="8"/>
        <v>--</v>
      </c>
      <c r="U38" s="657" t="str">
        <f t="shared" si="9"/>
        <v>--</v>
      </c>
      <c r="V38" s="658" t="str">
        <f t="shared" si="10"/>
        <v>--</v>
      </c>
      <c r="W38" s="659" t="str">
        <f t="shared" si="11"/>
        <v>--</v>
      </c>
      <c r="X38" s="660" t="str">
        <f t="shared" si="12"/>
        <v>--</v>
      </c>
      <c r="Y38" s="661" t="str">
        <f t="shared" si="13"/>
        <v>--</v>
      </c>
      <c r="Z38" s="662">
        <f t="shared" si="15"/>
      </c>
      <c r="AA38" s="52">
        <f t="shared" si="14"/>
      </c>
      <c r="AB38" s="3"/>
    </row>
    <row r="39" spans="2:28" ht="16.5" customHeight="1">
      <c r="B39" s="53"/>
      <c r="C39" s="463"/>
      <c r="D39" s="463"/>
      <c r="E39" s="463"/>
      <c r="F39" s="464"/>
      <c r="G39" s="465"/>
      <c r="H39" s="466"/>
      <c r="I39" s="359">
        <f t="shared" si="0"/>
        <v>17.4305</v>
      </c>
      <c r="J39" s="471"/>
      <c r="K39" s="471"/>
      <c r="L39" s="14">
        <f t="shared" si="1"/>
      </c>
      <c r="M39" s="15">
        <f t="shared" si="2"/>
      </c>
      <c r="N39" s="472"/>
      <c r="O39" s="651">
        <f t="shared" si="3"/>
      </c>
      <c r="P39" s="652" t="str">
        <f t="shared" si="4"/>
        <v>--</v>
      </c>
      <c r="Q39" s="653" t="str">
        <f t="shared" si="5"/>
        <v>--</v>
      </c>
      <c r="R39" s="654" t="str">
        <f t="shared" si="6"/>
        <v>--</v>
      </c>
      <c r="S39" s="655" t="str">
        <f t="shared" si="7"/>
        <v>--</v>
      </c>
      <c r="T39" s="656" t="str">
        <f t="shared" si="8"/>
        <v>--</v>
      </c>
      <c r="U39" s="657" t="str">
        <f t="shared" si="9"/>
        <v>--</v>
      </c>
      <c r="V39" s="658" t="str">
        <f t="shared" si="10"/>
        <v>--</v>
      </c>
      <c r="W39" s="659" t="str">
        <f t="shared" si="11"/>
        <v>--</v>
      </c>
      <c r="X39" s="660" t="str">
        <f t="shared" si="12"/>
        <v>--</v>
      </c>
      <c r="Y39" s="661" t="str">
        <f t="shared" si="13"/>
        <v>--</v>
      </c>
      <c r="Z39" s="662">
        <f t="shared" si="15"/>
      </c>
      <c r="AA39" s="52">
        <f t="shared" si="14"/>
      </c>
      <c r="AB39" s="3"/>
    </row>
    <row r="40" spans="2:28" ht="16.5" customHeight="1">
      <c r="B40" s="53"/>
      <c r="C40" s="463"/>
      <c r="D40" s="463"/>
      <c r="E40" s="463"/>
      <c r="F40" s="464"/>
      <c r="G40" s="465"/>
      <c r="H40" s="466"/>
      <c r="I40" s="359">
        <f t="shared" si="0"/>
        <v>17.4305</v>
      </c>
      <c r="J40" s="471"/>
      <c r="K40" s="471"/>
      <c r="L40" s="14">
        <f t="shared" si="1"/>
      </c>
      <c r="M40" s="15">
        <f t="shared" si="2"/>
      </c>
      <c r="N40" s="472"/>
      <c r="O40" s="651">
        <f t="shared" si="3"/>
      </c>
      <c r="P40" s="652" t="str">
        <f t="shared" si="4"/>
        <v>--</v>
      </c>
      <c r="Q40" s="653" t="str">
        <f t="shared" si="5"/>
        <v>--</v>
      </c>
      <c r="R40" s="654" t="str">
        <f t="shared" si="6"/>
        <v>--</v>
      </c>
      <c r="S40" s="655" t="str">
        <f t="shared" si="7"/>
        <v>--</v>
      </c>
      <c r="T40" s="656" t="str">
        <f t="shared" si="8"/>
        <v>--</v>
      </c>
      <c r="U40" s="657" t="str">
        <f t="shared" si="9"/>
        <v>--</v>
      </c>
      <c r="V40" s="658" t="str">
        <f t="shared" si="10"/>
        <v>--</v>
      </c>
      <c r="W40" s="659" t="str">
        <f t="shared" si="11"/>
        <v>--</v>
      </c>
      <c r="X40" s="660" t="str">
        <f t="shared" si="12"/>
        <v>--</v>
      </c>
      <c r="Y40" s="661" t="str">
        <f t="shared" si="13"/>
        <v>--</v>
      </c>
      <c r="Z40" s="662">
        <f t="shared" si="15"/>
      </c>
      <c r="AA40" s="52">
        <f t="shared" si="14"/>
      </c>
      <c r="AB40" s="3"/>
    </row>
    <row r="41" spans="2:28" ht="16.5" customHeight="1">
      <c r="B41" s="53"/>
      <c r="C41" s="463"/>
      <c r="D41" s="463"/>
      <c r="E41" s="463"/>
      <c r="F41" s="464"/>
      <c r="G41" s="465"/>
      <c r="H41" s="466"/>
      <c r="I41" s="359">
        <f t="shared" si="0"/>
        <v>17.4305</v>
      </c>
      <c r="J41" s="471"/>
      <c r="K41" s="471"/>
      <c r="L41" s="14">
        <f t="shared" si="1"/>
      </c>
      <c r="M41" s="15">
        <f t="shared" si="2"/>
      </c>
      <c r="N41" s="472"/>
      <c r="O41" s="651">
        <f t="shared" si="3"/>
      </c>
      <c r="P41" s="652" t="str">
        <f t="shared" si="4"/>
        <v>--</v>
      </c>
      <c r="Q41" s="653" t="str">
        <f t="shared" si="5"/>
        <v>--</v>
      </c>
      <c r="R41" s="654" t="str">
        <f t="shared" si="6"/>
        <v>--</v>
      </c>
      <c r="S41" s="655" t="str">
        <f t="shared" si="7"/>
        <v>--</v>
      </c>
      <c r="T41" s="656" t="str">
        <f t="shared" si="8"/>
        <v>--</v>
      </c>
      <c r="U41" s="657" t="str">
        <f t="shared" si="9"/>
        <v>--</v>
      </c>
      <c r="V41" s="658" t="str">
        <f t="shared" si="10"/>
        <v>--</v>
      </c>
      <c r="W41" s="659" t="str">
        <f t="shared" si="11"/>
        <v>--</v>
      </c>
      <c r="X41" s="660" t="str">
        <f t="shared" si="12"/>
        <v>--</v>
      </c>
      <c r="Y41" s="661" t="str">
        <f t="shared" si="13"/>
        <v>--</v>
      </c>
      <c r="Z41" s="662">
        <f t="shared" si="15"/>
      </c>
      <c r="AA41" s="52">
        <f t="shared" si="14"/>
      </c>
      <c r="AB41" s="3"/>
    </row>
    <row r="42" spans="1:28" ht="16.5" customHeight="1" thickBot="1">
      <c r="A42" s="1"/>
      <c r="B42" s="2"/>
      <c r="C42" s="467"/>
      <c r="D42" s="467"/>
      <c r="E42" s="467"/>
      <c r="F42" s="468"/>
      <c r="G42" s="469"/>
      <c r="H42" s="470"/>
      <c r="I42" s="360"/>
      <c r="J42" s="470"/>
      <c r="K42" s="470"/>
      <c r="L42" s="16"/>
      <c r="M42" s="16"/>
      <c r="N42" s="470"/>
      <c r="O42" s="473"/>
      <c r="P42" s="474"/>
      <c r="Q42" s="475"/>
      <c r="R42" s="476"/>
      <c r="S42" s="477"/>
      <c r="T42" s="478"/>
      <c r="U42" s="479"/>
      <c r="V42" s="480"/>
      <c r="W42" s="481"/>
      <c r="X42" s="482"/>
      <c r="Y42" s="483"/>
      <c r="Z42" s="484"/>
      <c r="AA42" s="54"/>
      <c r="AB42" s="3"/>
    </row>
    <row r="43" spans="1:28" ht="16.5" customHeight="1" thickBot="1" thickTop="1">
      <c r="A43" s="1"/>
      <c r="B43" s="2"/>
      <c r="C43" s="758" t="s">
        <v>160</v>
      </c>
      <c r="D43" s="757" t="s">
        <v>162</v>
      </c>
      <c r="E43" s="646"/>
      <c r="F43" s="233"/>
      <c r="G43" s="17"/>
      <c r="H43" s="18"/>
      <c r="I43" s="55"/>
      <c r="J43" s="55"/>
      <c r="K43" s="55"/>
      <c r="L43" s="55"/>
      <c r="M43" s="55"/>
      <c r="N43" s="55"/>
      <c r="O43" s="56"/>
      <c r="P43" s="304">
        <f aca="true" t="shared" si="16" ref="P43:Y43">ROUND(SUM(P20:P42),2)</f>
        <v>272.28</v>
      </c>
      <c r="Q43" s="305">
        <f t="shared" si="16"/>
        <v>0</v>
      </c>
      <c r="R43" s="306">
        <f t="shared" si="16"/>
        <v>6266.61</v>
      </c>
      <c r="S43" s="306">
        <f t="shared" si="16"/>
        <v>18799.84</v>
      </c>
      <c r="T43" s="307">
        <f t="shared" si="16"/>
        <v>2180.78</v>
      </c>
      <c r="U43" s="308">
        <f t="shared" si="16"/>
        <v>0</v>
      </c>
      <c r="V43" s="308">
        <f t="shared" si="16"/>
        <v>0</v>
      </c>
      <c r="W43" s="309">
        <f t="shared" si="16"/>
        <v>0</v>
      </c>
      <c r="X43" s="310">
        <f t="shared" si="16"/>
        <v>0</v>
      </c>
      <c r="Y43" s="311">
        <f t="shared" si="16"/>
        <v>0</v>
      </c>
      <c r="Z43" s="57"/>
      <c r="AA43" s="650">
        <f>ROUND(SUM(AA20:AA42),2)</f>
        <v>27519.52</v>
      </c>
      <c r="AB43" s="58"/>
    </row>
    <row r="44" spans="1:28" s="247" customFormat="1" ht="9.75" thickTop="1">
      <c r="A44" s="236"/>
      <c r="B44" s="237"/>
      <c r="C44" s="234"/>
      <c r="D44" s="234"/>
      <c r="E44" s="234"/>
      <c r="F44" s="235"/>
      <c r="G44" s="238"/>
      <c r="H44" s="239"/>
      <c r="I44" s="240"/>
      <c r="J44" s="240"/>
      <c r="K44" s="240"/>
      <c r="L44" s="240"/>
      <c r="M44" s="240"/>
      <c r="N44" s="240"/>
      <c r="O44" s="241"/>
      <c r="P44" s="242"/>
      <c r="Q44" s="242"/>
      <c r="R44" s="243"/>
      <c r="S44" s="243"/>
      <c r="T44" s="244"/>
      <c r="U44" s="244"/>
      <c r="V44" s="244"/>
      <c r="W44" s="244"/>
      <c r="X44" s="244"/>
      <c r="Y44" s="244"/>
      <c r="Z44" s="244"/>
      <c r="AA44" s="245"/>
      <c r="AB44" s="246"/>
    </row>
    <row r="45" spans="1:28" s="11" customFormat="1" ht="16.5" customHeight="1" thickBot="1">
      <c r="A45" s="9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workbookViewId="0" topLeftCell="A1">
      <selection activeCell="C38" sqref="C38"/>
    </sheetView>
  </sheetViews>
  <sheetFormatPr defaultColWidth="11.421875" defaultRowHeight="12.75"/>
  <cols>
    <col min="1" max="2" width="4.140625" style="595" customWidth="1"/>
    <col min="3" max="3" width="5.57421875" style="595" customWidth="1"/>
    <col min="4" max="5" width="13.7109375" style="595" customWidth="1"/>
    <col min="6" max="7" width="25.7109375" style="595" customWidth="1"/>
    <col min="8" max="8" width="7.7109375" style="595" customWidth="1"/>
    <col min="9" max="9" width="12.7109375" style="595" customWidth="1"/>
    <col min="10" max="10" width="11.8515625" style="595" hidden="1" customWidth="1"/>
    <col min="11" max="12" width="15.7109375" style="595" customWidth="1"/>
    <col min="13" max="15" width="9.7109375" style="595" customWidth="1"/>
    <col min="16" max="16" width="5.8515625" style="595" customWidth="1"/>
    <col min="17" max="18" width="7.00390625" style="595" customWidth="1"/>
    <col min="19" max="19" width="11.7109375" style="595" hidden="1" customWidth="1"/>
    <col min="20" max="21" width="14.00390625" style="595" hidden="1" customWidth="1"/>
    <col min="22" max="22" width="14.28125" style="595" hidden="1" customWidth="1"/>
    <col min="23" max="27" width="14.140625" style="595" hidden="1" customWidth="1"/>
    <col min="28" max="28" width="9.00390625" style="595" customWidth="1"/>
    <col min="29" max="29" width="15.7109375" style="595" customWidth="1"/>
    <col min="30" max="30" width="4.140625" style="595" customWidth="1"/>
    <col min="31" max="16384" width="11.421875" style="595" customWidth="1"/>
  </cols>
  <sheetData>
    <row r="1" spans="1:30" s="502" customFormat="1" ht="26.25">
      <c r="A1" s="115"/>
      <c r="B1" s="115"/>
      <c r="C1" s="115"/>
      <c r="D1" s="115"/>
      <c r="E1" s="115"/>
      <c r="F1" s="115"/>
      <c r="G1" s="115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1"/>
    </row>
    <row r="2" spans="1:30" s="502" customFormat="1" ht="26.25">
      <c r="A2" s="115"/>
      <c r="B2" s="116" t="str">
        <f>+'TOT-1110'!B2</f>
        <v>ANEXO V al Memorandum D.T.E.E.  N°    271 / 2012</v>
      </c>
      <c r="C2" s="117"/>
      <c r="D2" s="117"/>
      <c r="E2" s="117"/>
      <c r="F2" s="117"/>
      <c r="G2" s="117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</row>
    <row r="3" spans="1:30" s="505" customFormat="1" ht="12.75">
      <c r="A3" s="11"/>
      <c r="B3" s="11"/>
      <c r="C3" s="11"/>
      <c r="D3" s="11"/>
      <c r="E3" s="11"/>
      <c r="F3" s="11"/>
      <c r="G3" s="11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</row>
    <row r="4" spans="1:30" s="507" customFormat="1" ht="11.25">
      <c r="A4" s="649" t="s">
        <v>16</v>
      </c>
      <c r="B4" s="118"/>
      <c r="C4" s="648"/>
      <c r="D4" s="648"/>
      <c r="E4" s="648"/>
      <c r="F4" s="118"/>
      <c r="G4" s="118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</row>
    <row r="5" spans="1:30" s="507" customFormat="1" ht="11.25">
      <c r="A5" s="649" t="s">
        <v>131</v>
      </c>
      <c r="B5" s="118"/>
      <c r="C5" s="648"/>
      <c r="D5" s="648"/>
      <c r="E5" s="648"/>
      <c r="F5" s="118"/>
      <c r="G5" s="118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</row>
    <row r="6" spans="1:30" s="505" customFormat="1" ht="13.5" thickBot="1">
      <c r="A6" s="504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</row>
    <row r="7" spans="1:30" s="505" customFormat="1" ht="13.5" thickTop="1">
      <c r="A7" s="504"/>
      <c r="B7" s="508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10"/>
    </row>
    <row r="8" spans="1:30" s="514" customFormat="1" ht="20.25">
      <c r="A8" s="511"/>
      <c r="B8" s="512"/>
      <c r="C8" s="180"/>
      <c r="D8" s="180"/>
      <c r="E8" s="180"/>
      <c r="F8" s="513" t="s">
        <v>37</v>
      </c>
      <c r="H8" s="180"/>
      <c r="I8" s="511"/>
      <c r="J8" s="511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515"/>
    </row>
    <row r="9" spans="1:30" s="505" customFormat="1" ht="12.75">
      <c r="A9" s="504"/>
      <c r="B9" s="516"/>
      <c r="C9" s="175"/>
      <c r="D9" s="175"/>
      <c r="E9" s="175"/>
      <c r="F9" s="175"/>
      <c r="G9" s="175"/>
      <c r="H9" s="175"/>
      <c r="I9" s="50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517"/>
    </row>
    <row r="10" spans="1:30" s="514" customFormat="1" ht="20.25">
      <c r="A10" s="511"/>
      <c r="B10" s="512"/>
      <c r="C10" s="180"/>
      <c r="D10" s="180"/>
      <c r="E10" s="180"/>
      <c r="F10" s="513" t="s">
        <v>61</v>
      </c>
      <c r="G10" s="180"/>
      <c r="H10" s="180"/>
      <c r="I10" s="511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515"/>
    </row>
    <row r="11" spans="1:30" s="505" customFormat="1" ht="12.75">
      <c r="A11" s="504"/>
      <c r="B11" s="516"/>
      <c r="C11" s="175"/>
      <c r="D11" s="175"/>
      <c r="E11" s="175"/>
      <c r="F11" s="518"/>
      <c r="G11" s="175"/>
      <c r="H11" s="175"/>
      <c r="I11" s="50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517"/>
    </row>
    <row r="12" spans="1:30" s="514" customFormat="1" ht="20.25">
      <c r="A12" s="511"/>
      <c r="B12" s="512"/>
      <c r="C12" s="180"/>
      <c r="D12" s="180"/>
      <c r="E12" s="180"/>
      <c r="F12" s="513" t="s">
        <v>62</v>
      </c>
      <c r="G12" s="519"/>
      <c r="H12" s="511"/>
      <c r="I12" s="511"/>
      <c r="J12" s="180"/>
      <c r="K12" s="180"/>
      <c r="L12" s="511"/>
      <c r="M12" s="511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515"/>
    </row>
    <row r="13" spans="1:30" s="505" customFormat="1" ht="12.75">
      <c r="A13" s="504"/>
      <c r="B13" s="516"/>
      <c r="C13" s="175"/>
      <c r="D13" s="175"/>
      <c r="E13" s="175"/>
      <c r="F13" s="520"/>
      <c r="G13" s="521"/>
      <c r="H13" s="504"/>
      <c r="I13" s="504"/>
      <c r="J13" s="175"/>
      <c r="K13" s="175"/>
      <c r="L13" s="504"/>
      <c r="M13" s="504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517"/>
    </row>
    <row r="14" spans="1:30" s="514" customFormat="1" ht="20.25">
      <c r="A14" s="511"/>
      <c r="B14" s="512"/>
      <c r="C14" s="180"/>
      <c r="D14" s="180"/>
      <c r="E14" s="180"/>
      <c r="F14" s="513" t="s">
        <v>63</v>
      </c>
      <c r="G14" s="181"/>
      <c r="H14" s="181"/>
      <c r="I14" s="182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515"/>
    </row>
    <row r="15" spans="1:30" s="505" customFormat="1" ht="12.75">
      <c r="A15" s="504"/>
      <c r="B15" s="516"/>
      <c r="C15" s="175"/>
      <c r="D15" s="175"/>
      <c r="E15" s="175"/>
      <c r="F15" s="522"/>
      <c r="G15" s="176"/>
      <c r="H15" s="176"/>
      <c r="I15" s="177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517"/>
    </row>
    <row r="16" spans="1:30" s="528" customFormat="1" ht="19.5">
      <c r="A16" s="523"/>
      <c r="B16" s="95" t="str">
        <f>+'TOT-1110'!B14</f>
        <v>Desde el 01 al 30 de noviembre de 2010</v>
      </c>
      <c r="C16" s="524"/>
      <c r="D16" s="524"/>
      <c r="E16" s="524"/>
      <c r="F16" s="524"/>
      <c r="G16" s="524"/>
      <c r="H16" s="524"/>
      <c r="I16" s="525"/>
      <c r="J16" s="524"/>
      <c r="K16" s="526"/>
      <c r="L16" s="526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7"/>
    </row>
    <row r="17" spans="1:30" s="505" customFormat="1" ht="14.25" thickBot="1">
      <c r="A17" s="504"/>
      <c r="B17" s="516"/>
      <c r="C17" s="175"/>
      <c r="D17" s="175"/>
      <c r="E17" s="175"/>
      <c r="F17" s="175"/>
      <c r="G17" s="175"/>
      <c r="H17" s="175"/>
      <c r="I17" s="34"/>
      <c r="J17" s="175"/>
      <c r="K17" s="529"/>
      <c r="L17" s="530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517"/>
    </row>
    <row r="18" spans="1:30" s="505" customFormat="1" ht="16.5" customHeight="1" thickBot="1" thickTop="1">
      <c r="A18" s="504"/>
      <c r="B18" s="516"/>
      <c r="C18" s="175"/>
      <c r="D18" s="175"/>
      <c r="E18" s="175"/>
      <c r="F18" s="184" t="s">
        <v>64</v>
      </c>
      <c r="G18" s="185"/>
      <c r="H18" s="531"/>
      <c r="I18" s="532">
        <v>0.243</v>
      </c>
      <c r="J18" s="50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517"/>
    </row>
    <row r="19" spans="1:30" s="505" customFormat="1" ht="16.5" customHeight="1" thickBot="1" thickTop="1">
      <c r="A19" s="504"/>
      <c r="B19" s="516"/>
      <c r="C19" s="175"/>
      <c r="D19" s="175"/>
      <c r="E19" s="175"/>
      <c r="F19" s="186" t="s">
        <v>65</v>
      </c>
      <c r="G19" s="187"/>
      <c r="H19" s="187"/>
      <c r="I19" s="188">
        <v>30</v>
      </c>
      <c r="J19" s="175"/>
      <c r="K19" s="230" t="str">
        <f>IF(I19=30," ",IF(I19=60,"Coeficiente duplicado por tasa de falla &gt;4 Sal. x año/100 km.","REVISAR COEFICIENTE"))</f>
        <v> </v>
      </c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533"/>
      <c r="X19" s="533"/>
      <c r="Y19" s="533"/>
      <c r="Z19" s="533"/>
      <c r="AA19" s="533"/>
      <c r="AB19" s="533"/>
      <c r="AC19" s="533"/>
      <c r="AD19" s="517"/>
    </row>
    <row r="20" spans="1:30" s="681" customFormat="1" ht="16.5" customHeight="1" thickBot="1" thickTop="1">
      <c r="A20" s="677"/>
      <c r="B20" s="678"/>
      <c r="C20" s="679">
        <v>3</v>
      </c>
      <c r="D20" s="679">
        <v>4</v>
      </c>
      <c r="E20" s="679">
        <v>5</v>
      </c>
      <c r="F20" s="679">
        <v>6</v>
      </c>
      <c r="G20" s="679">
        <v>7</v>
      </c>
      <c r="H20" s="679">
        <v>8</v>
      </c>
      <c r="I20" s="679">
        <v>9</v>
      </c>
      <c r="J20" s="679">
        <v>10</v>
      </c>
      <c r="K20" s="679">
        <v>11</v>
      </c>
      <c r="L20" s="679">
        <v>12</v>
      </c>
      <c r="M20" s="679">
        <v>13</v>
      </c>
      <c r="N20" s="679">
        <v>14</v>
      </c>
      <c r="O20" s="679">
        <v>15</v>
      </c>
      <c r="P20" s="679">
        <v>16</v>
      </c>
      <c r="Q20" s="679">
        <v>17</v>
      </c>
      <c r="R20" s="679">
        <v>18</v>
      </c>
      <c r="S20" s="679">
        <v>19</v>
      </c>
      <c r="T20" s="679">
        <v>20</v>
      </c>
      <c r="U20" s="679">
        <v>21</v>
      </c>
      <c r="V20" s="679">
        <v>22</v>
      </c>
      <c r="W20" s="679">
        <v>23</v>
      </c>
      <c r="X20" s="679">
        <v>24</v>
      </c>
      <c r="Y20" s="679">
        <v>25</v>
      </c>
      <c r="Z20" s="679">
        <v>26</v>
      </c>
      <c r="AA20" s="679">
        <v>27</v>
      </c>
      <c r="AB20" s="679">
        <v>28</v>
      </c>
      <c r="AC20" s="679">
        <v>29</v>
      </c>
      <c r="AD20" s="680"/>
    </row>
    <row r="21" spans="1:30" s="543" customFormat="1" ht="33.75" customHeight="1" thickBot="1" thickTop="1">
      <c r="A21" s="534"/>
      <c r="B21" s="535"/>
      <c r="C21" s="194" t="s">
        <v>43</v>
      </c>
      <c r="D21" s="107" t="s">
        <v>130</v>
      </c>
      <c r="E21" s="107" t="s">
        <v>129</v>
      </c>
      <c r="F21" s="193" t="s">
        <v>66</v>
      </c>
      <c r="G21" s="189" t="s">
        <v>14</v>
      </c>
      <c r="H21" s="190" t="s">
        <v>67</v>
      </c>
      <c r="I21" s="193" t="s">
        <v>44</v>
      </c>
      <c r="J21" s="257" t="s">
        <v>46</v>
      </c>
      <c r="K21" s="192" t="s">
        <v>68</v>
      </c>
      <c r="L21" s="192" t="s">
        <v>69</v>
      </c>
      <c r="M21" s="193" t="s">
        <v>70</v>
      </c>
      <c r="N21" s="193" t="s">
        <v>71</v>
      </c>
      <c r="O21" s="111" t="s">
        <v>51</v>
      </c>
      <c r="P21" s="194" t="s">
        <v>72</v>
      </c>
      <c r="Q21" s="193" t="s">
        <v>73</v>
      </c>
      <c r="R21" s="189" t="s">
        <v>74</v>
      </c>
      <c r="S21" s="312" t="s">
        <v>75</v>
      </c>
      <c r="T21" s="536" t="s">
        <v>53</v>
      </c>
      <c r="U21" s="537" t="s">
        <v>54</v>
      </c>
      <c r="V21" s="315" t="s">
        <v>76</v>
      </c>
      <c r="W21" s="538"/>
      <c r="X21" s="318" t="s">
        <v>76</v>
      </c>
      <c r="Y21" s="539"/>
      <c r="Z21" s="540" t="s">
        <v>57</v>
      </c>
      <c r="AA21" s="541" t="s">
        <v>58</v>
      </c>
      <c r="AB21" s="193" t="s">
        <v>59</v>
      </c>
      <c r="AC21" s="193" t="s">
        <v>60</v>
      </c>
      <c r="AD21" s="542"/>
    </row>
    <row r="22" spans="1:30" s="505" customFormat="1" ht="16.5" customHeight="1" thickTop="1">
      <c r="A22" s="504"/>
      <c r="B22" s="516"/>
      <c r="C22" s="544"/>
      <c r="D22" s="544"/>
      <c r="E22" s="544"/>
      <c r="F22" s="545"/>
      <c r="G22" s="546"/>
      <c r="H22" s="546"/>
      <c r="I22" s="546"/>
      <c r="J22" s="547"/>
      <c r="K22" s="545"/>
      <c r="L22" s="546"/>
      <c r="M22" s="545"/>
      <c r="N22" s="545"/>
      <c r="O22" s="546"/>
      <c r="P22" s="546"/>
      <c r="Q22" s="546"/>
      <c r="R22" s="546"/>
      <c r="S22" s="548"/>
      <c r="T22" s="549"/>
      <c r="U22" s="550"/>
      <c r="V22" s="551"/>
      <c r="W22" s="552"/>
      <c r="X22" s="553"/>
      <c r="Y22" s="554"/>
      <c r="Z22" s="555"/>
      <c r="AA22" s="556"/>
      <c r="AB22" s="546"/>
      <c r="AC22" s="557"/>
      <c r="AD22" s="517"/>
    </row>
    <row r="23" spans="1:30" s="505" customFormat="1" ht="16.5" customHeight="1">
      <c r="A23" s="504"/>
      <c r="B23" s="516"/>
      <c r="C23" s="544"/>
      <c r="D23" s="544"/>
      <c r="E23" s="544"/>
      <c r="F23" s="558"/>
      <c r="G23" s="558"/>
      <c r="H23" s="558"/>
      <c r="I23" s="558"/>
      <c r="J23" s="559"/>
      <c r="K23" s="560"/>
      <c r="L23" s="558"/>
      <c r="M23" s="560"/>
      <c r="N23" s="560"/>
      <c r="O23" s="558"/>
      <c r="P23" s="558"/>
      <c r="Q23" s="558"/>
      <c r="R23" s="558"/>
      <c r="S23" s="561"/>
      <c r="T23" s="562"/>
      <c r="U23" s="563"/>
      <c r="V23" s="564"/>
      <c r="W23" s="565"/>
      <c r="X23" s="566"/>
      <c r="Y23" s="567"/>
      <c r="Z23" s="568"/>
      <c r="AA23" s="569"/>
      <c r="AB23" s="558"/>
      <c r="AC23" s="570"/>
      <c r="AD23" s="517"/>
    </row>
    <row r="24" spans="1:30" s="505" customFormat="1" ht="16.5" customHeight="1">
      <c r="A24" s="504"/>
      <c r="B24" s="516"/>
      <c r="C24" s="598">
        <v>3</v>
      </c>
      <c r="D24" s="598">
        <v>227987</v>
      </c>
      <c r="E24" s="598">
        <v>1811</v>
      </c>
      <c r="F24" s="464" t="s">
        <v>139</v>
      </c>
      <c r="G24" s="463" t="s">
        <v>140</v>
      </c>
      <c r="H24" s="599">
        <v>15</v>
      </c>
      <c r="I24" s="642" t="s">
        <v>141</v>
      </c>
      <c r="J24" s="258">
        <f aca="true" t="shared" si="0" ref="J24:J43">H24*$I$18</f>
        <v>3.645</v>
      </c>
      <c r="K24" s="602">
        <v>40484.46666666667</v>
      </c>
      <c r="L24" s="602">
        <v>40484.490277777775</v>
      </c>
      <c r="M24" s="24">
        <f aca="true" t="shared" si="1" ref="M24:M43">IF(F24="","",(L24-K24)*24)</f>
        <v>0.566666666592937</v>
      </c>
      <c r="N24" s="25">
        <f aca="true" t="shared" si="2" ref="N24:N43">IF(F24="","",ROUND((L24-K24)*24*60,0))</f>
        <v>34</v>
      </c>
      <c r="O24" s="603" t="s">
        <v>138</v>
      </c>
      <c r="P24" s="23" t="str">
        <f aca="true" t="shared" si="3" ref="P24:P43">IF(F24="","",IF(OR(O24="P",O24="RP"),"--","NO"))</f>
        <v>--</v>
      </c>
      <c r="Q24" s="663" t="str">
        <f aca="true" t="shared" si="4" ref="Q24:Q43">IF(F24="","","--")</f>
        <v>--</v>
      </c>
      <c r="R24" s="23" t="str">
        <f aca="true" t="shared" si="5" ref="R24:R43">IF(F24="","","NO")</f>
        <v>NO</v>
      </c>
      <c r="S24" s="313">
        <f aca="true" t="shared" si="6" ref="S24:S43">$I$19*IF(OR(O24="P",O24="RP"),0.1,1)*IF(R24="SI",1,0.1)</f>
        <v>0.30000000000000004</v>
      </c>
      <c r="T24" s="664">
        <f aca="true" t="shared" si="7" ref="T24:T43">IF(O24="P",J24*S24*ROUND(N24/60,2),"--")</f>
        <v>0.623295</v>
      </c>
      <c r="U24" s="665" t="str">
        <f aca="true" t="shared" si="8" ref="U24:U43">IF(O24="RP",J24*S24*ROUND(N24/60,2)*Q24/100,"--")</f>
        <v>--</v>
      </c>
      <c r="V24" s="316" t="str">
        <f aca="true" t="shared" si="9" ref="V24:V43">IF(AND(O24="F",P24="NO"),J24*S24,"--")</f>
        <v>--</v>
      </c>
      <c r="W24" s="317" t="str">
        <f aca="true" t="shared" si="10" ref="W24:W43">IF(O24="F",J24*S24*ROUND(N24/60,2),"--")</f>
        <v>--</v>
      </c>
      <c r="X24" s="320" t="str">
        <f aca="true" t="shared" si="11" ref="X24:X43">IF(AND(O24="R",P24="NO"),J24*S24*Q24/100,"--")</f>
        <v>--</v>
      </c>
      <c r="Y24" s="321" t="str">
        <f aca="true" t="shared" si="12" ref="Y24:Y43">IF(O24="R",J24*S24*ROUND(N24/60,2)*Q24/100,"--")</f>
        <v>--</v>
      </c>
      <c r="Z24" s="322" t="str">
        <f aca="true" t="shared" si="13" ref="Z24:Z43">IF(O24="RF",J24*S24*ROUND(N24/60,2),"--")</f>
        <v>--</v>
      </c>
      <c r="AA24" s="323" t="str">
        <f aca="true" t="shared" si="14" ref="AA24:AA43">IF(O24="RR",J24*S24*ROUND(N24/60,2)*Q24/100,"--")</f>
        <v>--</v>
      </c>
      <c r="AB24" s="23" t="s">
        <v>137</v>
      </c>
      <c r="AC24" s="571">
        <f aca="true" t="shared" si="15" ref="AC24:AC43">IF(F24="","",SUM(T24:AA24)*IF(AB24="SI",1,2))</f>
        <v>0.623295</v>
      </c>
      <c r="AD24" s="572"/>
    </row>
    <row r="25" spans="1:30" s="505" customFormat="1" ht="16.5" customHeight="1">
      <c r="A25" s="504"/>
      <c r="B25" s="516"/>
      <c r="C25" s="598">
        <v>4</v>
      </c>
      <c r="D25" s="598">
        <v>228247</v>
      </c>
      <c r="E25" s="598">
        <v>3824</v>
      </c>
      <c r="F25" s="464" t="s">
        <v>142</v>
      </c>
      <c r="G25" s="463" t="s">
        <v>143</v>
      </c>
      <c r="H25" s="599">
        <v>60</v>
      </c>
      <c r="I25" s="642" t="s">
        <v>144</v>
      </c>
      <c r="J25" s="258">
        <f t="shared" si="0"/>
        <v>14.58</v>
      </c>
      <c r="K25" s="602">
        <v>40493.32013888889</v>
      </c>
      <c r="L25" s="602">
        <v>40493.73819444444</v>
      </c>
      <c r="M25" s="24">
        <f t="shared" si="1"/>
        <v>10.033333333209157</v>
      </c>
      <c r="N25" s="25">
        <f t="shared" si="2"/>
        <v>602</v>
      </c>
      <c r="O25" s="603" t="s">
        <v>138</v>
      </c>
      <c r="P25" s="23" t="str">
        <f t="shared" si="3"/>
        <v>--</v>
      </c>
      <c r="Q25" s="663" t="str">
        <f t="shared" si="4"/>
        <v>--</v>
      </c>
      <c r="R25" s="23" t="str">
        <f t="shared" si="5"/>
        <v>NO</v>
      </c>
      <c r="S25" s="313">
        <f t="shared" si="6"/>
        <v>0.30000000000000004</v>
      </c>
      <c r="T25" s="664">
        <f t="shared" si="7"/>
        <v>43.87122</v>
      </c>
      <c r="U25" s="665" t="str">
        <f t="shared" si="8"/>
        <v>--</v>
      </c>
      <c r="V25" s="316" t="str">
        <f t="shared" si="9"/>
        <v>--</v>
      </c>
      <c r="W25" s="317" t="str">
        <f t="shared" si="10"/>
        <v>--</v>
      </c>
      <c r="X25" s="320" t="str">
        <f t="shared" si="11"/>
        <v>--</v>
      </c>
      <c r="Y25" s="321" t="str">
        <f t="shared" si="12"/>
        <v>--</v>
      </c>
      <c r="Z25" s="322" t="str">
        <f t="shared" si="13"/>
        <v>--</v>
      </c>
      <c r="AA25" s="323" t="str">
        <f t="shared" si="14"/>
        <v>--</v>
      </c>
      <c r="AB25" s="23" t="s">
        <v>137</v>
      </c>
      <c r="AC25" s="571">
        <f t="shared" si="15"/>
        <v>43.87122</v>
      </c>
      <c r="AD25" s="572"/>
    </row>
    <row r="26" spans="1:30" s="505" customFormat="1" ht="16.5" customHeight="1">
      <c r="A26" s="504"/>
      <c r="B26" s="516"/>
      <c r="C26" s="598">
        <v>5</v>
      </c>
      <c r="D26" s="598">
        <v>228812</v>
      </c>
      <c r="E26" s="598">
        <v>3824</v>
      </c>
      <c r="F26" s="464" t="s">
        <v>142</v>
      </c>
      <c r="G26" s="463" t="s">
        <v>143</v>
      </c>
      <c r="H26" s="599">
        <v>60</v>
      </c>
      <c r="I26" s="642" t="s">
        <v>144</v>
      </c>
      <c r="J26" s="258">
        <f t="shared" si="0"/>
        <v>14.58</v>
      </c>
      <c r="K26" s="602">
        <v>40507.308333333334</v>
      </c>
      <c r="L26" s="602">
        <v>40507.72222222222</v>
      </c>
      <c r="M26" s="24">
        <f t="shared" si="1"/>
        <v>9.93333333323244</v>
      </c>
      <c r="N26" s="25">
        <f t="shared" si="2"/>
        <v>596</v>
      </c>
      <c r="O26" s="603" t="s">
        <v>138</v>
      </c>
      <c r="P26" s="23" t="str">
        <f t="shared" si="3"/>
        <v>--</v>
      </c>
      <c r="Q26" s="663" t="str">
        <f t="shared" si="4"/>
        <v>--</v>
      </c>
      <c r="R26" s="23" t="str">
        <f t="shared" si="5"/>
        <v>NO</v>
      </c>
      <c r="S26" s="313">
        <f t="shared" si="6"/>
        <v>0.30000000000000004</v>
      </c>
      <c r="T26" s="664">
        <f t="shared" si="7"/>
        <v>43.433820000000004</v>
      </c>
      <c r="U26" s="665" t="str">
        <f t="shared" si="8"/>
        <v>--</v>
      </c>
      <c r="V26" s="316" t="str">
        <f t="shared" si="9"/>
        <v>--</v>
      </c>
      <c r="W26" s="317" t="str">
        <f t="shared" si="10"/>
        <v>--</v>
      </c>
      <c r="X26" s="320" t="str">
        <f t="shared" si="11"/>
        <v>--</v>
      </c>
      <c r="Y26" s="321" t="str">
        <f t="shared" si="12"/>
        <v>--</v>
      </c>
      <c r="Z26" s="322" t="str">
        <f t="shared" si="13"/>
        <v>--</v>
      </c>
      <c r="AA26" s="323" t="str">
        <f t="shared" si="14"/>
        <v>--</v>
      </c>
      <c r="AB26" s="23" t="s">
        <v>137</v>
      </c>
      <c r="AC26" s="571">
        <f t="shared" si="15"/>
        <v>43.433820000000004</v>
      </c>
      <c r="AD26" s="572"/>
    </row>
    <row r="27" spans="1:30" s="505" customFormat="1" ht="16.5" customHeight="1">
      <c r="A27" s="504"/>
      <c r="B27" s="516"/>
      <c r="C27" s="598"/>
      <c r="D27" s="598"/>
      <c r="E27" s="598"/>
      <c r="F27" s="464"/>
      <c r="G27" s="463"/>
      <c r="H27" s="599"/>
      <c r="I27" s="600"/>
      <c r="J27" s="258">
        <f t="shared" si="0"/>
        <v>0</v>
      </c>
      <c r="K27" s="602"/>
      <c r="L27" s="602"/>
      <c r="M27" s="24">
        <f t="shared" si="1"/>
      </c>
      <c r="N27" s="25">
        <f t="shared" si="2"/>
      </c>
      <c r="O27" s="603"/>
      <c r="P27" s="23">
        <f t="shared" si="3"/>
      </c>
      <c r="Q27" s="663">
        <f t="shared" si="4"/>
      </c>
      <c r="R27" s="23">
        <f t="shared" si="5"/>
      </c>
      <c r="S27" s="313">
        <f t="shared" si="6"/>
        <v>3</v>
      </c>
      <c r="T27" s="664" t="str">
        <f t="shared" si="7"/>
        <v>--</v>
      </c>
      <c r="U27" s="665" t="str">
        <f t="shared" si="8"/>
        <v>--</v>
      </c>
      <c r="V27" s="316" t="str">
        <f t="shared" si="9"/>
        <v>--</v>
      </c>
      <c r="W27" s="317" t="str">
        <f t="shared" si="10"/>
        <v>--</v>
      </c>
      <c r="X27" s="320" t="str">
        <f t="shared" si="11"/>
        <v>--</v>
      </c>
      <c r="Y27" s="321" t="str">
        <f t="shared" si="12"/>
        <v>--</v>
      </c>
      <c r="Z27" s="322" t="str">
        <f t="shared" si="13"/>
        <v>--</v>
      </c>
      <c r="AA27" s="323" t="str">
        <f t="shared" si="14"/>
        <v>--</v>
      </c>
      <c r="AB27" s="23">
        <f aca="true" t="shared" si="16" ref="AB27:AB43">IF(F27="","","SI")</f>
      </c>
      <c r="AC27" s="571">
        <f t="shared" si="15"/>
      </c>
      <c r="AD27" s="572"/>
    </row>
    <row r="28" spans="1:30" s="505" customFormat="1" ht="16.5" customHeight="1">
      <c r="A28" s="504"/>
      <c r="B28" s="516"/>
      <c r="C28" s="598"/>
      <c r="D28" s="598"/>
      <c r="E28" s="598"/>
      <c r="F28" s="464"/>
      <c r="G28" s="463"/>
      <c r="H28" s="599"/>
      <c r="I28" s="600"/>
      <c r="J28" s="258">
        <f t="shared" si="0"/>
        <v>0</v>
      </c>
      <c r="K28" s="602"/>
      <c r="L28" s="602"/>
      <c r="M28" s="24">
        <f t="shared" si="1"/>
      </c>
      <c r="N28" s="25">
        <f t="shared" si="2"/>
      </c>
      <c r="O28" s="603"/>
      <c r="P28" s="23">
        <f t="shared" si="3"/>
      </c>
      <c r="Q28" s="663">
        <f t="shared" si="4"/>
      </c>
      <c r="R28" s="23">
        <f t="shared" si="5"/>
      </c>
      <c r="S28" s="313">
        <f t="shared" si="6"/>
        <v>3</v>
      </c>
      <c r="T28" s="664" t="str">
        <f t="shared" si="7"/>
        <v>--</v>
      </c>
      <c r="U28" s="665" t="str">
        <f t="shared" si="8"/>
        <v>--</v>
      </c>
      <c r="V28" s="316" t="str">
        <f t="shared" si="9"/>
        <v>--</v>
      </c>
      <c r="W28" s="317" t="str">
        <f t="shared" si="10"/>
        <v>--</v>
      </c>
      <c r="X28" s="320" t="str">
        <f t="shared" si="11"/>
        <v>--</v>
      </c>
      <c r="Y28" s="321" t="str">
        <f t="shared" si="12"/>
        <v>--</v>
      </c>
      <c r="Z28" s="322" t="str">
        <f t="shared" si="13"/>
        <v>--</v>
      </c>
      <c r="AA28" s="323" t="str">
        <f t="shared" si="14"/>
        <v>--</v>
      </c>
      <c r="AB28" s="23">
        <f t="shared" si="16"/>
      </c>
      <c r="AC28" s="571">
        <f t="shared" si="15"/>
      </c>
      <c r="AD28" s="572"/>
    </row>
    <row r="29" spans="1:30" s="505" customFormat="1" ht="16.5" customHeight="1">
      <c r="A29" s="504"/>
      <c r="B29" s="516"/>
      <c r="C29" s="598"/>
      <c r="D29" s="598"/>
      <c r="E29" s="598"/>
      <c r="F29" s="464"/>
      <c r="G29" s="463"/>
      <c r="H29" s="599"/>
      <c r="I29" s="600"/>
      <c r="J29" s="258">
        <f t="shared" si="0"/>
        <v>0</v>
      </c>
      <c r="K29" s="602"/>
      <c r="L29" s="602"/>
      <c r="M29" s="24">
        <f t="shared" si="1"/>
      </c>
      <c r="N29" s="25">
        <f t="shared" si="2"/>
      </c>
      <c r="O29" s="603"/>
      <c r="P29" s="23">
        <f t="shared" si="3"/>
      </c>
      <c r="Q29" s="663">
        <f t="shared" si="4"/>
      </c>
      <c r="R29" s="23">
        <f t="shared" si="5"/>
      </c>
      <c r="S29" s="313">
        <f t="shared" si="6"/>
        <v>3</v>
      </c>
      <c r="T29" s="664" t="str">
        <f t="shared" si="7"/>
        <v>--</v>
      </c>
      <c r="U29" s="665" t="str">
        <f t="shared" si="8"/>
        <v>--</v>
      </c>
      <c r="V29" s="316" t="str">
        <f t="shared" si="9"/>
        <v>--</v>
      </c>
      <c r="W29" s="317" t="str">
        <f t="shared" si="10"/>
        <v>--</v>
      </c>
      <c r="X29" s="320" t="str">
        <f t="shared" si="11"/>
        <v>--</v>
      </c>
      <c r="Y29" s="321" t="str">
        <f t="shared" si="12"/>
        <v>--</v>
      </c>
      <c r="Z29" s="322" t="str">
        <f t="shared" si="13"/>
        <v>--</v>
      </c>
      <c r="AA29" s="323" t="str">
        <f t="shared" si="14"/>
        <v>--</v>
      </c>
      <c r="AB29" s="23">
        <f t="shared" si="16"/>
      </c>
      <c r="AC29" s="571">
        <f t="shared" si="15"/>
      </c>
      <c r="AD29" s="572"/>
    </row>
    <row r="30" spans="1:30" s="505" customFormat="1" ht="16.5" customHeight="1">
      <c r="A30" s="504"/>
      <c r="B30" s="516"/>
      <c r="C30" s="598"/>
      <c r="D30" s="598"/>
      <c r="E30" s="598"/>
      <c r="F30" s="464"/>
      <c r="G30" s="463"/>
      <c r="H30" s="599"/>
      <c r="I30" s="642"/>
      <c r="J30" s="258">
        <f t="shared" si="0"/>
        <v>0</v>
      </c>
      <c r="K30" s="602"/>
      <c r="L30" s="602"/>
      <c r="M30" s="24">
        <f t="shared" si="1"/>
      </c>
      <c r="N30" s="25">
        <f t="shared" si="2"/>
      </c>
      <c r="O30" s="603"/>
      <c r="P30" s="23">
        <f t="shared" si="3"/>
      </c>
      <c r="Q30" s="663">
        <f t="shared" si="4"/>
      </c>
      <c r="R30" s="23">
        <f t="shared" si="5"/>
      </c>
      <c r="S30" s="313">
        <f t="shared" si="6"/>
        <v>3</v>
      </c>
      <c r="T30" s="664" t="str">
        <f t="shared" si="7"/>
        <v>--</v>
      </c>
      <c r="U30" s="665" t="str">
        <f t="shared" si="8"/>
        <v>--</v>
      </c>
      <c r="V30" s="316" t="str">
        <f t="shared" si="9"/>
        <v>--</v>
      </c>
      <c r="W30" s="317" t="str">
        <f t="shared" si="10"/>
        <v>--</v>
      </c>
      <c r="X30" s="320" t="str">
        <f t="shared" si="11"/>
        <v>--</v>
      </c>
      <c r="Y30" s="321" t="str">
        <f t="shared" si="12"/>
        <v>--</v>
      </c>
      <c r="Z30" s="322" t="str">
        <f t="shared" si="13"/>
        <v>--</v>
      </c>
      <c r="AA30" s="323" t="str">
        <f t="shared" si="14"/>
        <v>--</v>
      </c>
      <c r="AB30" s="23">
        <f t="shared" si="16"/>
      </c>
      <c r="AC30" s="571">
        <f t="shared" si="15"/>
      </c>
      <c r="AD30" s="572"/>
    </row>
    <row r="31" spans="1:30" s="505" customFormat="1" ht="16.5" customHeight="1">
      <c r="A31" s="504"/>
      <c r="B31" s="516"/>
      <c r="C31" s="598"/>
      <c r="D31" s="598"/>
      <c r="E31" s="598"/>
      <c r="F31" s="464"/>
      <c r="G31" s="463"/>
      <c r="H31" s="599"/>
      <c r="I31" s="600"/>
      <c r="J31" s="258">
        <f t="shared" si="0"/>
        <v>0</v>
      </c>
      <c r="K31" s="602"/>
      <c r="L31" s="602"/>
      <c r="M31" s="24">
        <f t="shared" si="1"/>
      </c>
      <c r="N31" s="25">
        <f t="shared" si="2"/>
      </c>
      <c r="O31" s="603"/>
      <c r="P31" s="23">
        <f t="shared" si="3"/>
      </c>
      <c r="Q31" s="663">
        <f t="shared" si="4"/>
      </c>
      <c r="R31" s="23">
        <f t="shared" si="5"/>
      </c>
      <c r="S31" s="313">
        <f t="shared" si="6"/>
        <v>3</v>
      </c>
      <c r="T31" s="664" t="str">
        <f t="shared" si="7"/>
        <v>--</v>
      </c>
      <c r="U31" s="665" t="str">
        <f t="shared" si="8"/>
        <v>--</v>
      </c>
      <c r="V31" s="316" t="str">
        <f t="shared" si="9"/>
        <v>--</v>
      </c>
      <c r="W31" s="317" t="str">
        <f t="shared" si="10"/>
        <v>--</v>
      </c>
      <c r="X31" s="320" t="str">
        <f t="shared" si="11"/>
        <v>--</v>
      </c>
      <c r="Y31" s="321" t="str">
        <f t="shared" si="12"/>
        <v>--</v>
      </c>
      <c r="Z31" s="322" t="str">
        <f t="shared" si="13"/>
        <v>--</v>
      </c>
      <c r="AA31" s="323" t="str">
        <f t="shared" si="14"/>
        <v>--</v>
      </c>
      <c r="AB31" s="23">
        <f t="shared" si="16"/>
      </c>
      <c r="AC31" s="571">
        <f t="shared" si="15"/>
      </c>
      <c r="AD31" s="572"/>
    </row>
    <row r="32" spans="1:30" s="505" customFormat="1" ht="16.5" customHeight="1">
      <c r="A32" s="504"/>
      <c r="B32" s="516"/>
      <c r="C32" s="598"/>
      <c r="D32" s="598"/>
      <c r="E32" s="598"/>
      <c r="F32" s="464"/>
      <c r="G32" s="463"/>
      <c r="H32" s="599"/>
      <c r="I32" s="600"/>
      <c r="J32" s="258">
        <f t="shared" si="0"/>
        <v>0</v>
      </c>
      <c r="K32" s="602"/>
      <c r="L32" s="602"/>
      <c r="M32" s="24">
        <f t="shared" si="1"/>
      </c>
      <c r="N32" s="25">
        <f t="shared" si="2"/>
      </c>
      <c r="O32" s="603"/>
      <c r="P32" s="23">
        <f t="shared" si="3"/>
      </c>
      <c r="Q32" s="663">
        <f t="shared" si="4"/>
      </c>
      <c r="R32" s="23">
        <f t="shared" si="5"/>
      </c>
      <c r="S32" s="313">
        <f t="shared" si="6"/>
        <v>3</v>
      </c>
      <c r="T32" s="664" t="str">
        <f t="shared" si="7"/>
        <v>--</v>
      </c>
      <c r="U32" s="665" t="str">
        <f t="shared" si="8"/>
        <v>--</v>
      </c>
      <c r="V32" s="316" t="str">
        <f t="shared" si="9"/>
        <v>--</v>
      </c>
      <c r="W32" s="317" t="str">
        <f t="shared" si="10"/>
        <v>--</v>
      </c>
      <c r="X32" s="320" t="str">
        <f t="shared" si="11"/>
        <v>--</v>
      </c>
      <c r="Y32" s="321" t="str">
        <f t="shared" si="12"/>
        <v>--</v>
      </c>
      <c r="Z32" s="322" t="str">
        <f t="shared" si="13"/>
        <v>--</v>
      </c>
      <c r="AA32" s="323" t="str">
        <f t="shared" si="14"/>
        <v>--</v>
      </c>
      <c r="AB32" s="23">
        <f t="shared" si="16"/>
      </c>
      <c r="AC32" s="571">
        <f t="shared" si="15"/>
      </c>
      <c r="AD32" s="517"/>
    </row>
    <row r="33" spans="1:30" s="505" customFormat="1" ht="16.5" customHeight="1">
      <c r="A33" s="504"/>
      <c r="B33" s="516"/>
      <c r="C33" s="598"/>
      <c r="D33" s="598"/>
      <c r="E33" s="598"/>
      <c r="F33" s="464"/>
      <c r="G33" s="463"/>
      <c r="H33" s="599"/>
      <c r="I33" s="600"/>
      <c r="J33" s="258">
        <f t="shared" si="0"/>
        <v>0</v>
      </c>
      <c r="K33" s="602"/>
      <c r="L33" s="602"/>
      <c r="M33" s="24">
        <f t="shared" si="1"/>
      </c>
      <c r="N33" s="25">
        <f t="shared" si="2"/>
      </c>
      <c r="O33" s="603"/>
      <c r="P33" s="23">
        <f t="shared" si="3"/>
      </c>
      <c r="Q33" s="663">
        <f t="shared" si="4"/>
      </c>
      <c r="R33" s="23">
        <f t="shared" si="5"/>
      </c>
      <c r="S33" s="313">
        <f t="shared" si="6"/>
        <v>3</v>
      </c>
      <c r="T33" s="664" t="str">
        <f t="shared" si="7"/>
        <v>--</v>
      </c>
      <c r="U33" s="665" t="str">
        <f t="shared" si="8"/>
        <v>--</v>
      </c>
      <c r="V33" s="316" t="str">
        <f t="shared" si="9"/>
        <v>--</v>
      </c>
      <c r="W33" s="317" t="str">
        <f t="shared" si="10"/>
        <v>--</v>
      </c>
      <c r="X33" s="320" t="str">
        <f t="shared" si="11"/>
        <v>--</v>
      </c>
      <c r="Y33" s="321" t="str">
        <f t="shared" si="12"/>
        <v>--</v>
      </c>
      <c r="Z33" s="322" t="str">
        <f t="shared" si="13"/>
        <v>--</v>
      </c>
      <c r="AA33" s="323" t="str">
        <f t="shared" si="14"/>
        <v>--</v>
      </c>
      <c r="AB33" s="23">
        <f t="shared" si="16"/>
      </c>
      <c r="AC33" s="571">
        <f t="shared" si="15"/>
      </c>
      <c r="AD33" s="517"/>
    </row>
    <row r="34" spans="1:30" s="505" customFormat="1" ht="16.5" customHeight="1">
      <c r="A34" s="504"/>
      <c r="B34" s="516"/>
      <c r="C34" s="598"/>
      <c r="D34" s="598"/>
      <c r="E34" s="598"/>
      <c r="F34" s="464"/>
      <c r="G34" s="463"/>
      <c r="H34" s="599"/>
      <c r="I34" s="600"/>
      <c r="J34" s="258">
        <f t="shared" si="0"/>
        <v>0</v>
      </c>
      <c r="K34" s="602"/>
      <c r="L34" s="602"/>
      <c r="M34" s="24">
        <f t="shared" si="1"/>
      </c>
      <c r="N34" s="25">
        <f t="shared" si="2"/>
      </c>
      <c r="O34" s="603"/>
      <c r="P34" s="23">
        <f t="shared" si="3"/>
      </c>
      <c r="Q34" s="663">
        <f t="shared" si="4"/>
      </c>
      <c r="R34" s="23">
        <f t="shared" si="5"/>
      </c>
      <c r="S34" s="313">
        <f t="shared" si="6"/>
        <v>3</v>
      </c>
      <c r="T34" s="664" t="str">
        <f t="shared" si="7"/>
        <v>--</v>
      </c>
      <c r="U34" s="665" t="str">
        <f t="shared" si="8"/>
        <v>--</v>
      </c>
      <c r="V34" s="316" t="str">
        <f t="shared" si="9"/>
        <v>--</v>
      </c>
      <c r="W34" s="317" t="str">
        <f t="shared" si="10"/>
        <v>--</v>
      </c>
      <c r="X34" s="320" t="str">
        <f t="shared" si="11"/>
        <v>--</v>
      </c>
      <c r="Y34" s="321" t="str">
        <f t="shared" si="12"/>
        <v>--</v>
      </c>
      <c r="Z34" s="322" t="str">
        <f t="shared" si="13"/>
        <v>--</v>
      </c>
      <c r="AA34" s="323" t="str">
        <f t="shared" si="14"/>
        <v>--</v>
      </c>
      <c r="AB34" s="23">
        <f t="shared" si="16"/>
      </c>
      <c r="AC34" s="571">
        <f t="shared" si="15"/>
      </c>
      <c r="AD34" s="517"/>
    </row>
    <row r="35" spans="1:30" s="505" customFormat="1" ht="16.5" customHeight="1">
      <c r="A35" s="504"/>
      <c r="B35" s="516"/>
      <c r="C35" s="598"/>
      <c r="D35" s="598"/>
      <c r="E35" s="598"/>
      <c r="F35" s="464"/>
      <c r="G35" s="463"/>
      <c r="H35" s="599"/>
      <c r="I35" s="600"/>
      <c r="J35" s="258">
        <f t="shared" si="0"/>
        <v>0</v>
      </c>
      <c r="K35" s="602"/>
      <c r="L35" s="602"/>
      <c r="M35" s="24">
        <f t="shared" si="1"/>
      </c>
      <c r="N35" s="25">
        <f t="shared" si="2"/>
      </c>
      <c r="O35" s="603"/>
      <c r="P35" s="23">
        <f t="shared" si="3"/>
      </c>
      <c r="Q35" s="663">
        <f t="shared" si="4"/>
      </c>
      <c r="R35" s="23">
        <f t="shared" si="5"/>
      </c>
      <c r="S35" s="313">
        <f t="shared" si="6"/>
        <v>3</v>
      </c>
      <c r="T35" s="664" t="str">
        <f t="shared" si="7"/>
        <v>--</v>
      </c>
      <c r="U35" s="665" t="str">
        <f t="shared" si="8"/>
        <v>--</v>
      </c>
      <c r="V35" s="316" t="str">
        <f t="shared" si="9"/>
        <v>--</v>
      </c>
      <c r="W35" s="317" t="str">
        <f t="shared" si="10"/>
        <v>--</v>
      </c>
      <c r="X35" s="320" t="str">
        <f t="shared" si="11"/>
        <v>--</v>
      </c>
      <c r="Y35" s="321" t="str">
        <f t="shared" si="12"/>
        <v>--</v>
      </c>
      <c r="Z35" s="322" t="str">
        <f t="shared" si="13"/>
        <v>--</v>
      </c>
      <c r="AA35" s="323" t="str">
        <f t="shared" si="14"/>
        <v>--</v>
      </c>
      <c r="AB35" s="23">
        <f t="shared" si="16"/>
      </c>
      <c r="AC35" s="571">
        <f t="shared" si="15"/>
      </c>
      <c r="AD35" s="517"/>
    </row>
    <row r="36" spans="1:30" s="505" customFormat="1" ht="16.5" customHeight="1">
      <c r="A36" s="504"/>
      <c r="B36" s="516"/>
      <c r="C36" s="598"/>
      <c r="D36" s="598"/>
      <c r="E36" s="598"/>
      <c r="F36" s="464"/>
      <c r="G36" s="463"/>
      <c r="H36" s="599"/>
      <c r="I36" s="600"/>
      <c r="J36" s="258">
        <f t="shared" si="0"/>
        <v>0</v>
      </c>
      <c r="K36" s="602"/>
      <c r="L36" s="602"/>
      <c r="M36" s="24">
        <f t="shared" si="1"/>
      </c>
      <c r="N36" s="25">
        <f t="shared" si="2"/>
      </c>
      <c r="O36" s="603"/>
      <c r="P36" s="23">
        <f t="shared" si="3"/>
      </c>
      <c r="Q36" s="663">
        <f t="shared" si="4"/>
      </c>
      <c r="R36" s="23">
        <f t="shared" si="5"/>
      </c>
      <c r="S36" s="313">
        <f t="shared" si="6"/>
        <v>3</v>
      </c>
      <c r="T36" s="664" t="str">
        <f t="shared" si="7"/>
        <v>--</v>
      </c>
      <c r="U36" s="665" t="str">
        <f t="shared" si="8"/>
        <v>--</v>
      </c>
      <c r="V36" s="316" t="str">
        <f t="shared" si="9"/>
        <v>--</v>
      </c>
      <c r="W36" s="317" t="str">
        <f t="shared" si="10"/>
        <v>--</v>
      </c>
      <c r="X36" s="320" t="str">
        <f t="shared" si="11"/>
        <v>--</v>
      </c>
      <c r="Y36" s="321" t="str">
        <f t="shared" si="12"/>
        <v>--</v>
      </c>
      <c r="Z36" s="322" t="str">
        <f t="shared" si="13"/>
        <v>--</v>
      </c>
      <c r="AA36" s="323" t="str">
        <f t="shared" si="14"/>
        <v>--</v>
      </c>
      <c r="AB36" s="23">
        <f t="shared" si="16"/>
      </c>
      <c r="AC36" s="571">
        <f t="shared" si="15"/>
      </c>
      <c r="AD36" s="517"/>
    </row>
    <row r="37" spans="1:30" s="505" customFormat="1" ht="16.5" customHeight="1">
      <c r="A37" s="504"/>
      <c r="B37" s="516"/>
      <c r="C37" s="598"/>
      <c r="D37" s="598"/>
      <c r="E37" s="598"/>
      <c r="F37" s="464"/>
      <c r="G37" s="463"/>
      <c r="H37" s="599"/>
      <c r="I37" s="600"/>
      <c r="J37" s="258">
        <f t="shared" si="0"/>
        <v>0</v>
      </c>
      <c r="K37" s="602"/>
      <c r="L37" s="602"/>
      <c r="M37" s="24">
        <f t="shared" si="1"/>
      </c>
      <c r="N37" s="25">
        <f t="shared" si="2"/>
      </c>
      <c r="O37" s="603"/>
      <c r="P37" s="23">
        <f t="shared" si="3"/>
      </c>
      <c r="Q37" s="663">
        <f t="shared" si="4"/>
      </c>
      <c r="R37" s="23">
        <f t="shared" si="5"/>
      </c>
      <c r="S37" s="313">
        <f t="shared" si="6"/>
        <v>3</v>
      </c>
      <c r="T37" s="664" t="str">
        <f t="shared" si="7"/>
        <v>--</v>
      </c>
      <c r="U37" s="665" t="str">
        <f t="shared" si="8"/>
        <v>--</v>
      </c>
      <c r="V37" s="316" t="str">
        <f t="shared" si="9"/>
        <v>--</v>
      </c>
      <c r="W37" s="317" t="str">
        <f t="shared" si="10"/>
        <v>--</v>
      </c>
      <c r="X37" s="320" t="str">
        <f t="shared" si="11"/>
        <v>--</v>
      </c>
      <c r="Y37" s="321" t="str">
        <f t="shared" si="12"/>
        <v>--</v>
      </c>
      <c r="Z37" s="322" t="str">
        <f t="shared" si="13"/>
        <v>--</v>
      </c>
      <c r="AA37" s="323" t="str">
        <f t="shared" si="14"/>
        <v>--</v>
      </c>
      <c r="AB37" s="23">
        <f t="shared" si="16"/>
      </c>
      <c r="AC37" s="571">
        <f t="shared" si="15"/>
      </c>
      <c r="AD37" s="517"/>
    </row>
    <row r="38" spans="1:30" s="505" customFormat="1" ht="16.5" customHeight="1">
      <c r="A38" s="504"/>
      <c r="B38" s="516"/>
      <c r="C38" s="598"/>
      <c r="D38" s="598"/>
      <c r="E38" s="598"/>
      <c r="F38" s="464"/>
      <c r="G38" s="463"/>
      <c r="H38" s="599"/>
      <c r="I38" s="600"/>
      <c r="J38" s="258">
        <f t="shared" si="0"/>
        <v>0</v>
      </c>
      <c r="K38" s="602"/>
      <c r="L38" s="602"/>
      <c r="M38" s="24">
        <f t="shared" si="1"/>
      </c>
      <c r="N38" s="25">
        <f t="shared" si="2"/>
      </c>
      <c r="O38" s="603"/>
      <c r="P38" s="23">
        <f t="shared" si="3"/>
      </c>
      <c r="Q38" s="663">
        <f t="shared" si="4"/>
      </c>
      <c r="R38" s="23">
        <f t="shared" si="5"/>
      </c>
      <c r="S38" s="313">
        <f t="shared" si="6"/>
        <v>3</v>
      </c>
      <c r="T38" s="664" t="str">
        <f t="shared" si="7"/>
        <v>--</v>
      </c>
      <c r="U38" s="665" t="str">
        <f t="shared" si="8"/>
        <v>--</v>
      </c>
      <c r="V38" s="316" t="str">
        <f t="shared" si="9"/>
        <v>--</v>
      </c>
      <c r="W38" s="317" t="str">
        <f t="shared" si="10"/>
        <v>--</v>
      </c>
      <c r="X38" s="320" t="str">
        <f t="shared" si="11"/>
        <v>--</v>
      </c>
      <c r="Y38" s="321" t="str">
        <f t="shared" si="12"/>
        <v>--</v>
      </c>
      <c r="Z38" s="322" t="str">
        <f t="shared" si="13"/>
        <v>--</v>
      </c>
      <c r="AA38" s="323" t="str">
        <f t="shared" si="14"/>
        <v>--</v>
      </c>
      <c r="AB38" s="23">
        <f t="shared" si="16"/>
      </c>
      <c r="AC38" s="571">
        <f t="shared" si="15"/>
      </c>
      <c r="AD38" s="517"/>
    </row>
    <row r="39" spans="1:30" s="505" customFormat="1" ht="16.5" customHeight="1">
      <c r="A39" s="504"/>
      <c r="B39" s="516"/>
      <c r="C39" s="598"/>
      <c r="D39" s="598"/>
      <c r="E39" s="598"/>
      <c r="F39" s="464"/>
      <c r="G39" s="463"/>
      <c r="H39" s="599"/>
      <c r="I39" s="600"/>
      <c r="J39" s="258">
        <f t="shared" si="0"/>
        <v>0</v>
      </c>
      <c r="K39" s="602"/>
      <c r="L39" s="602"/>
      <c r="M39" s="24">
        <f t="shared" si="1"/>
      </c>
      <c r="N39" s="25">
        <f t="shared" si="2"/>
      </c>
      <c r="O39" s="603"/>
      <c r="P39" s="23">
        <f t="shared" si="3"/>
      </c>
      <c r="Q39" s="663">
        <f t="shared" si="4"/>
      </c>
      <c r="R39" s="23">
        <f t="shared" si="5"/>
      </c>
      <c r="S39" s="313">
        <f t="shared" si="6"/>
        <v>3</v>
      </c>
      <c r="T39" s="664" t="str">
        <f t="shared" si="7"/>
        <v>--</v>
      </c>
      <c r="U39" s="665" t="str">
        <f t="shared" si="8"/>
        <v>--</v>
      </c>
      <c r="V39" s="316" t="str">
        <f t="shared" si="9"/>
        <v>--</v>
      </c>
      <c r="W39" s="317" t="str">
        <f t="shared" si="10"/>
        <v>--</v>
      </c>
      <c r="X39" s="320" t="str">
        <f t="shared" si="11"/>
        <v>--</v>
      </c>
      <c r="Y39" s="321" t="str">
        <f t="shared" si="12"/>
        <v>--</v>
      </c>
      <c r="Z39" s="322" t="str">
        <f t="shared" si="13"/>
        <v>--</v>
      </c>
      <c r="AA39" s="323" t="str">
        <f t="shared" si="14"/>
        <v>--</v>
      </c>
      <c r="AB39" s="23">
        <f t="shared" si="16"/>
      </c>
      <c r="AC39" s="571">
        <f t="shared" si="15"/>
      </c>
      <c r="AD39" s="517"/>
    </row>
    <row r="40" spans="1:30" s="505" customFormat="1" ht="16.5" customHeight="1">
      <c r="A40" s="504"/>
      <c r="B40" s="516"/>
      <c r="C40" s="598"/>
      <c r="D40" s="598"/>
      <c r="E40" s="598"/>
      <c r="F40" s="464"/>
      <c r="G40" s="463"/>
      <c r="H40" s="599"/>
      <c r="I40" s="600"/>
      <c r="J40" s="258">
        <f t="shared" si="0"/>
        <v>0</v>
      </c>
      <c r="K40" s="602"/>
      <c r="L40" s="602"/>
      <c r="M40" s="24">
        <f t="shared" si="1"/>
      </c>
      <c r="N40" s="25">
        <f t="shared" si="2"/>
      </c>
      <c r="O40" s="603"/>
      <c r="P40" s="23">
        <f t="shared" si="3"/>
      </c>
      <c r="Q40" s="663">
        <f t="shared" si="4"/>
      </c>
      <c r="R40" s="23">
        <f t="shared" si="5"/>
      </c>
      <c r="S40" s="313">
        <f t="shared" si="6"/>
        <v>3</v>
      </c>
      <c r="T40" s="664" t="str">
        <f t="shared" si="7"/>
        <v>--</v>
      </c>
      <c r="U40" s="665" t="str">
        <f t="shared" si="8"/>
        <v>--</v>
      </c>
      <c r="V40" s="316" t="str">
        <f t="shared" si="9"/>
        <v>--</v>
      </c>
      <c r="W40" s="317" t="str">
        <f t="shared" si="10"/>
        <v>--</v>
      </c>
      <c r="X40" s="320" t="str">
        <f t="shared" si="11"/>
        <v>--</v>
      </c>
      <c r="Y40" s="321" t="str">
        <f t="shared" si="12"/>
        <v>--</v>
      </c>
      <c r="Z40" s="322" t="str">
        <f t="shared" si="13"/>
        <v>--</v>
      </c>
      <c r="AA40" s="323" t="str">
        <f t="shared" si="14"/>
        <v>--</v>
      </c>
      <c r="AB40" s="23">
        <f t="shared" si="16"/>
      </c>
      <c r="AC40" s="571">
        <f t="shared" si="15"/>
      </c>
      <c r="AD40" s="517"/>
    </row>
    <row r="41" spans="1:30" s="505" customFormat="1" ht="16.5" customHeight="1">
      <c r="A41" s="504"/>
      <c r="B41" s="516"/>
      <c r="C41" s="598"/>
      <c r="D41" s="598"/>
      <c r="E41" s="598"/>
      <c r="F41" s="464"/>
      <c r="G41" s="463"/>
      <c r="H41" s="599"/>
      <c r="I41" s="600"/>
      <c r="J41" s="258">
        <f t="shared" si="0"/>
        <v>0</v>
      </c>
      <c r="K41" s="602"/>
      <c r="L41" s="602"/>
      <c r="M41" s="24">
        <f t="shared" si="1"/>
      </c>
      <c r="N41" s="25">
        <f t="shared" si="2"/>
      </c>
      <c r="O41" s="603"/>
      <c r="P41" s="23">
        <f t="shared" si="3"/>
      </c>
      <c r="Q41" s="663">
        <f t="shared" si="4"/>
      </c>
      <c r="R41" s="23">
        <f t="shared" si="5"/>
      </c>
      <c r="S41" s="313">
        <f t="shared" si="6"/>
        <v>3</v>
      </c>
      <c r="T41" s="664" t="str">
        <f t="shared" si="7"/>
        <v>--</v>
      </c>
      <c r="U41" s="665" t="str">
        <f t="shared" si="8"/>
        <v>--</v>
      </c>
      <c r="V41" s="316" t="str">
        <f t="shared" si="9"/>
        <v>--</v>
      </c>
      <c r="W41" s="317" t="str">
        <f t="shared" si="10"/>
        <v>--</v>
      </c>
      <c r="X41" s="320" t="str">
        <f t="shared" si="11"/>
        <v>--</v>
      </c>
      <c r="Y41" s="321" t="str">
        <f t="shared" si="12"/>
        <v>--</v>
      </c>
      <c r="Z41" s="322" t="str">
        <f t="shared" si="13"/>
        <v>--</v>
      </c>
      <c r="AA41" s="323" t="str">
        <f t="shared" si="14"/>
        <v>--</v>
      </c>
      <c r="AB41" s="23">
        <f t="shared" si="16"/>
      </c>
      <c r="AC41" s="571">
        <f t="shared" si="15"/>
      </c>
      <c r="AD41" s="517"/>
    </row>
    <row r="42" spans="1:30" s="505" customFormat="1" ht="16.5" customHeight="1">
      <c r="A42" s="504"/>
      <c r="B42" s="516"/>
      <c r="C42" s="598"/>
      <c r="D42" s="598"/>
      <c r="E42" s="598"/>
      <c r="F42" s="464"/>
      <c r="G42" s="463"/>
      <c r="H42" s="599"/>
      <c r="I42" s="600"/>
      <c r="J42" s="258">
        <f t="shared" si="0"/>
        <v>0</v>
      </c>
      <c r="K42" s="602"/>
      <c r="L42" s="602"/>
      <c r="M42" s="24">
        <f t="shared" si="1"/>
      </c>
      <c r="N42" s="25">
        <f t="shared" si="2"/>
      </c>
      <c r="O42" s="603"/>
      <c r="P42" s="23">
        <f t="shared" si="3"/>
      </c>
      <c r="Q42" s="663">
        <f t="shared" si="4"/>
      </c>
      <c r="R42" s="23">
        <f t="shared" si="5"/>
      </c>
      <c r="S42" s="313">
        <f t="shared" si="6"/>
        <v>3</v>
      </c>
      <c r="T42" s="664" t="str">
        <f t="shared" si="7"/>
        <v>--</v>
      </c>
      <c r="U42" s="665" t="str">
        <f t="shared" si="8"/>
        <v>--</v>
      </c>
      <c r="V42" s="316" t="str">
        <f t="shared" si="9"/>
        <v>--</v>
      </c>
      <c r="W42" s="317" t="str">
        <f t="shared" si="10"/>
        <v>--</v>
      </c>
      <c r="X42" s="320" t="str">
        <f t="shared" si="11"/>
        <v>--</v>
      </c>
      <c r="Y42" s="321" t="str">
        <f t="shared" si="12"/>
        <v>--</v>
      </c>
      <c r="Z42" s="322" t="str">
        <f t="shared" si="13"/>
        <v>--</v>
      </c>
      <c r="AA42" s="323" t="str">
        <f t="shared" si="14"/>
        <v>--</v>
      </c>
      <c r="AB42" s="23">
        <f t="shared" si="16"/>
      </c>
      <c r="AC42" s="571">
        <f t="shared" si="15"/>
      </c>
      <c r="AD42" s="517"/>
    </row>
    <row r="43" spans="1:30" s="505" customFormat="1" ht="16.5" customHeight="1">
      <c r="A43" s="504"/>
      <c r="B43" s="516"/>
      <c r="C43" s="598"/>
      <c r="D43" s="598"/>
      <c r="E43" s="598"/>
      <c r="F43" s="464"/>
      <c r="G43" s="463"/>
      <c r="H43" s="599"/>
      <c r="I43" s="600"/>
      <c r="J43" s="258">
        <f t="shared" si="0"/>
        <v>0</v>
      </c>
      <c r="K43" s="602"/>
      <c r="L43" s="602"/>
      <c r="M43" s="24">
        <f t="shared" si="1"/>
      </c>
      <c r="N43" s="25">
        <f t="shared" si="2"/>
      </c>
      <c r="O43" s="603"/>
      <c r="P43" s="23">
        <f t="shared" si="3"/>
      </c>
      <c r="Q43" s="663">
        <f t="shared" si="4"/>
      </c>
      <c r="R43" s="23">
        <f t="shared" si="5"/>
      </c>
      <c r="S43" s="313">
        <f t="shared" si="6"/>
        <v>3</v>
      </c>
      <c r="T43" s="664" t="str">
        <f t="shared" si="7"/>
        <v>--</v>
      </c>
      <c r="U43" s="665" t="str">
        <f t="shared" si="8"/>
        <v>--</v>
      </c>
      <c r="V43" s="316" t="str">
        <f t="shared" si="9"/>
        <v>--</v>
      </c>
      <c r="W43" s="317" t="str">
        <f t="shared" si="10"/>
        <v>--</v>
      </c>
      <c r="X43" s="320" t="str">
        <f t="shared" si="11"/>
        <v>--</v>
      </c>
      <c r="Y43" s="321" t="str">
        <f t="shared" si="12"/>
        <v>--</v>
      </c>
      <c r="Z43" s="322" t="str">
        <f t="shared" si="13"/>
        <v>--</v>
      </c>
      <c r="AA43" s="323" t="str">
        <f t="shared" si="14"/>
        <v>--</v>
      </c>
      <c r="AB43" s="23">
        <f t="shared" si="16"/>
      </c>
      <c r="AC43" s="571">
        <f t="shared" si="15"/>
      </c>
      <c r="AD43" s="517"/>
    </row>
    <row r="44" spans="1:30" s="505" customFormat="1" ht="16.5" customHeight="1" thickBot="1">
      <c r="A44" s="504"/>
      <c r="B44" s="516"/>
      <c r="C44" s="601"/>
      <c r="D44" s="601"/>
      <c r="E44" s="601"/>
      <c r="F44" s="601"/>
      <c r="G44" s="601"/>
      <c r="H44" s="601"/>
      <c r="I44" s="601"/>
      <c r="J44" s="574"/>
      <c r="K44" s="601"/>
      <c r="L44" s="601"/>
      <c r="M44" s="573"/>
      <c r="N44" s="573"/>
      <c r="O44" s="601"/>
      <c r="P44" s="601"/>
      <c r="Q44" s="601"/>
      <c r="R44" s="601"/>
      <c r="S44" s="604"/>
      <c r="T44" s="605"/>
      <c r="U44" s="606"/>
      <c r="V44" s="607"/>
      <c r="W44" s="608"/>
      <c r="X44" s="609"/>
      <c r="Y44" s="610"/>
      <c r="Z44" s="611"/>
      <c r="AA44" s="612"/>
      <c r="AB44" s="601"/>
      <c r="AC44" s="575"/>
      <c r="AD44" s="517"/>
    </row>
    <row r="45" spans="1:30" s="505" customFormat="1" ht="16.5" customHeight="1" thickBot="1" thickTop="1">
      <c r="A45" s="504"/>
      <c r="B45" s="516"/>
      <c r="C45" s="759" t="s">
        <v>160</v>
      </c>
      <c r="D45" s="760" t="s">
        <v>161</v>
      </c>
      <c r="E45" s="238"/>
      <c r="F45" s="233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576">
        <f aca="true" t="shared" si="17" ref="T45:AA45">SUM(T22:T44)</f>
        <v>87.928335</v>
      </c>
      <c r="U45" s="577">
        <f t="shared" si="17"/>
        <v>0</v>
      </c>
      <c r="V45" s="578">
        <f t="shared" si="17"/>
        <v>0</v>
      </c>
      <c r="W45" s="578">
        <f t="shared" si="17"/>
        <v>0</v>
      </c>
      <c r="X45" s="579">
        <f t="shared" si="17"/>
        <v>0</v>
      </c>
      <c r="Y45" s="579">
        <f t="shared" si="17"/>
        <v>0</v>
      </c>
      <c r="Z45" s="580">
        <f t="shared" si="17"/>
        <v>0</v>
      </c>
      <c r="AA45" s="581">
        <f t="shared" si="17"/>
        <v>0</v>
      </c>
      <c r="AB45" s="582"/>
      <c r="AC45" s="583">
        <f>ROUND(SUM(AC22:AC44),2)</f>
        <v>87.93</v>
      </c>
      <c r="AD45" s="517"/>
    </row>
    <row r="46" spans="1:30" s="591" customFormat="1" ht="9.75" thickTop="1">
      <c r="A46" s="584"/>
      <c r="B46" s="585"/>
      <c r="C46" s="586"/>
      <c r="D46" s="586"/>
      <c r="E46" s="586"/>
      <c r="F46" s="235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8"/>
      <c r="U46" s="588"/>
      <c r="V46" s="588"/>
      <c r="W46" s="588"/>
      <c r="X46" s="588"/>
      <c r="Y46" s="588"/>
      <c r="Z46" s="588"/>
      <c r="AA46" s="588"/>
      <c r="AB46" s="587"/>
      <c r="AC46" s="589"/>
      <c r="AD46" s="590"/>
    </row>
    <row r="47" spans="1:30" s="505" customFormat="1" ht="16.5" customHeight="1" thickBot="1">
      <c r="A47" s="504"/>
      <c r="B47" s="592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4"/>
    </row>
    <row r="48" spans="2:30" ht="16.5" customHeight="1" thickTop="1">
      <c r="B48" s="596"/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6"/>
      <c r="U48" s="596"/>
      <c r="V48" s="596"/>
      <c r="W48" s="596"/>
      <c r="X48" s="596"/>
      <c r="Y48" s="596"/>
      <c r="Z48" s="596"/>
      <c r="AA48" s="596"/>
      <c r="AB48" s="596"/>
      <c r="AC48" s="596"/>
      <c r="AD48" s="597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9"/>
  <sheetViews>
    <sheetView zoomScale="70" zoomScaleNormal="70" workbookViewId="0" topLeftCell="A1">
      <selection activeCell="F10" sqref="F10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5" customFormat="1" ht="26.25">
      <c r="W1" s="369"/>
    </row>
    <row r="2" spans="2:23" s="115" customFormat="1" ht="26.25">
      <c r="B2" s="116" t="str">
        <f>+'TOT-1110'!B2</f>
        <v>ANEXO V al Memorandum D.T.E.E.  N°    271 / 2012</v>
      </c>
      <c r="C2" s="117"/>
      <c r="D2" s="117"/>
      <c r="E2" s="117"/>
      <c r="F2" s="117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="11" customFormat="1" ht="12.75"/>
    <row r="4" spans="1:4" s="118" customFormat="1" ht="11.25">
      <c r="A4" s="649" t="s">
        <v>16</v>
      </c>
      <c r="C4" s="648"/>
      <c r="D4" s="648"/>
    </row>
    <row r="5" spans="1:4" s="118" customFormat="1" ht="11.25">
      <c r="A5" s="649" t="s">
        <v>131</v>
      </c>
      <c r="C5" s="648"/>
      <c r="D5" s="648"/>
    </row>
    <row r="6" s="11" customFormat="1" ht="13.5" thickBot="1"/>
    <row r="7" spans="2:23" s="11" customFormat="1" ht="13.5" thickTop="1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2:23" s="120" customFormat="1" ht="20.25">
      <c r="B8" s="119"/>
      <c r="C8" s="42"/>
      <c r="D8" s="42"/>
      <c r="E8" s="42"/>
      <c r="F8" s="21" t="s">
        <v>37</v>
      </c>
      <c r="P8" s="42"/>
      <c r="Q8" s="42"/>
      <c r="R8" s="42"/>
      <c r="S8" s="42"/>
      <c r="T8" s="42"/>
      <c r="U8" s="42"/>
      <c r="V8" s="42"/>
      <c r="W8" s="121"/>
    </row>
    <row r="9" spans="2:23" s="11" customFormat="1" ht="12.75">
      <c r="B9" s="41"/>
      <c r="C9" s="9"/>
      <c r="D9" s="9"/>
      <c r="E9" s="9"/>
      <c r="F9" s="9"/>
      <c r="G9" s="9"/>
      <c r="H9" s="9"/>
      <c r="I9" s="129"/>
      <c r="J9" s="129"/>
      <c r="K9" s="129"/>
      <c r="L9" s="129"/>
      <c r="M9" s="129"/>
      <c r="P9" s="9"/>
      <c r="Q9" s="9"/>
      <c r="R9" s="9"/>
      <c r="S9" s="9"/>
      <c r="T9" s="9"/>
      <c r="U9" s="9"/>
      <c r="V9" s="9"/>
      <c r="W9" s="12"/>
    </row>
    <row r="10" spans="2:23" s="120" customFormat="1" ht="20.25">
      <c r="B10" s="119"/>
      <c r="C10" s="42"/>
      <c r="D10" s="42"/>
      <c r="E10" s="42"/>
      <c r="F10" s="21" t="s">
        <v>128</v>
      </c>
      <c r="G10" s="21"/>
      <c r="H10" s="42"/>
      <c r="I10" s="21"/>
      <c r="J10" s="21"/>
      <c r="K10" s="21"/>
      <c r="L10" s="21"/>
      <c r="M10" s="21"/>
      <c r="P10" s="42"/>
      <c r="Q10" s="42"/>
      <c r="R10" s="42"/>
      <c r="S10" s="42"/>
      <c r="T10" s="42"/>
      <c r="U10" s="42"/>
      <c r="V10" s="42"/>
      <c r="W10" s="121"/>
    </row>
    <row r="11" spans="2:23" s="11" customFormat="1" ht="12.75">
      <c r="B11" s="41"/>
      <c r="C11" s="9"/>
      <c r="D11" s="9"/>
      <c r="E11" s="9"/>
      <c r="F11" s="131"/>
      <c r="G11" s="129"/>
      <c r="H11" s="9"/>
      <c r="I11" s="129"/>
      <c r="J11" s="129"/>
      <c r="K11" s="129"/>
      <c r="L11" s="129"/>
      <c r="M11" s="129"/>
      <c r="P11" s="9"/>
      <c r="Q11" s="9"/>
      <c r="R11" s="9"/>
      <c r="S11" s="9"/>
      <c r="T11" s="9"/>
      <c r="U11" s="9"/>
      <c r="V11" s="9"/>
      <c r="W11" s="12"/>
    </row>
    <row r="12" spans="2:23" s="127" customFormat="1" ht="19.5">
      <c r="B12" s="95" t="str">
        <f>+'TOT-1110'!B14</f>
        <v>Desde el 01 al 30 de noviembre de 2010</v>
      </c>
      <c r="C12" s="123"/>
      <c r="D12" s="123"/>
      <c r="E12" s="123"/>
      <c r="F12" s="123"/>
      <c r="G12" s="123"/>
      <c r="H12" s="94"/>
      <c r="I12" s="123"/>
      <c r="J12" s="124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6"/>
    </row>
    <row r="13" spans="2:23" s="127" customFormat="1" ht="7.5" customHeight="1">
      <c r="B13" s="95"/>
      <c r="C13" s="123"/>
      <c r="D13" s="123"/>
      <c r="E13" s="123"/>
      <c r="F13" s="123"/>
      <c r="G13" s="123"/>
      <c r="H13" s="94"/>
      <c r="I13" s="123"/>
      <c r="J13" s="124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6"/>
    </row>
    <row r="14" spans="2:23" s="11" customFormat="1" ht="7.5" customHeight="1" thickBot="1">
      <c r="B14" s="41"/>
      <c r="C14" s="9"/>
      <c r="D14" s="9"/>
      <c r="E14" s="9"/>
      <c r="I14" s="128"/>
      <c r="K14" s="9"/>
      <c r="L14" s="9"/>
      <c r="M14" s="9"/>
      <c r="N14" s="128"/>
      <c r="O14" s="128"/>
      <c r="P14" s="128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41"/>
      <c r="C15" s="9"/>
      <c r="D15" s="9"/>
      <c r="E15" s="9"/>
      <c r="F15" s="200" t="s">
        <v>77</v>
      </c>
      <c r="G15" s="201">
        <v>8.106</v>
      </c>
      <c r="H15" s="99">
        <f>60*'TOT-1110'!B13</f>
        <v>60</v>
      </c>
      <c r="I15" s="128"/>
      <c r="J15" s="230" t="str">
        <f>IF(H15=60," ",IF(H15=120,"Coeficiente duplicado por tasa de falla &gt;4 Sal. x año/100 km.","REVISAR COEFICIENTE"))</f>
        <v> </v>
      </c>
      <c r="K15" s="9"/>
      <c r="L15" s="9"/>
      <c r="M15" s="9"/>
      <c r="N15" s="128"/>
      <c r="O15" s="128"/>
      <c r="P15" s="128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41"/>
      <c r="C16" s="9"/>
      <c r="D16" s="9"/>
      <c r="E16" s="9"/>
      <c r="F16" s="200" t="s">
        <v>78</v>
      </c>
      <c r="G16" s="201">
        <v>3.243</v>
      </c>
      <c r="H16" s="99">
        <f>50*'TOT-1110'!B13</f>
        <v>50</v>
      </c>
      <c r="J16" s="230" t="str">
        <f>IF(H16=50," ",IF(H16=100,"Coeficiente duplicado por tasa de falla &gt;4 Sal. x año/100 km.","REVISAR COEFICIENTE"))</f>
        <v> </v>
      </c>
      <c r="Q16" s="261"/>
      <c r="S16" s="9"/>
      <c r="T16" s="9"/>
      <c r="U16" s="9"/>
      <c r="V16" s="197"/>
      <c r="W16" s="12"/>
    </row>
    <row r="17" spans="2:23" s="11" customFormat="1" ht="16.5" customHeight="1" thickBot="1" thickTop="1">
      <c r="B17" s="41"/>
      <c r="C17" s="9"/>
      <c r="D17" s="9"/>
      <c r="E17" s="9"/>
      <c r="F17" s="202" t="s">
        <v>79</v>
      </c>
      <c r="G17" s="203">
        <v>2.433</v>
      </c>
      <c r="H17" s="204">
        <f>25*'TOT-1110'!B13</f>
        <v>25</v>
      </c>
      <c r="J17" s="230" t="str">
        <f>IF(H17=25," ",IF(H17=50,"Coeficiente duplicado por tasa de falla &gt;4 Sal. x año/100 km.","REVISAR COEFICIENTE"))</f>
        <v> </v>
      </c>
      <c r="K17" s="167"/>
      <c r="L17" s="167"/>
      <c r="M17" s="9"/>
      <c r="P17" s="198"/>
      <c r="Q17" s="199"/>
      <c r="R17" s="33"/>
      <c r="S17" s="9"/>
      <c r="T17" s="9"/>
      <c r="U17" s="9"/>
      <c r="V17" s="197"/>
      <c r="W17" s="12"/>
    </row>
    <row r="18" spans="2:23" s="11" customFormat="1" ht="16.5" customHeight="1" thickBot="1" thickTop="1">
      <c r="B18" s="41"/>
      <c r="C18" s="9"/>
      <c r="D18" s="9"/>
      <c r="E18" s="9"/>
      <c r="F18" s="205" t="s">
        <v>80</v>
      </c>
      <c r="G18" s="203">
        <v>2.433</v>
      </c>
      <c r="H18" s="206">
        <f>20*'TOT-1110'!B13</f>
        <v>20</v>
      </c>
      <c r="J18" s="230" t="str">
        <f>IF(H18=20," ",IF(H18=40,"Coeficiente duplicado por tasa de falla &gt;4 Sal. x año/100 km.","REVISAR COEFICIENTE"))</f>
        <v> </v>
      </c>
      <c r="K18" s="167"/>
      <c r="L18" s="167"/>
      <c r="M18" s="9"/>
      <c r="P18" s="198"/>
      <c r="Q18" s="199"/>
      <c r="R18" s="33"/>
      <c r="S18" s="9"/>
      <c r="T18" s="9"/>
      <c r="U18" s="9"/>
      <c r="V18" s="197"/>
      <c r="W18" s="12"/>
    </row>
    <row r="19" spans="2:23" s="11" customFormat="1" ht="7.5" customHeight="1" thickTop="1">
      <c r="B19" s="41"/>
      <c r="C19" s="9"/>
      <c r="D19" s="9"/>
      <c r="E19" s="9"/>
      <c r="F19" s="104"/>
      <c r="G19" s="640"/>
      <c r="H19" s="641"/>
      <c r="J19" s="230"/>
      <c r="K19" s="167"/>
      <c r="L19" s="167"/>
      <c r="M19" s="9"/>
      <c r="P19" s="198"/>
      <c r="Q19" s="199"/>
      <c r="R19" s="33"/>
      <c r="S19" s="9"/>
      <c r="T19" s="9"/>
      <c r="U19" s="9"/>
      <c r="V19" s="197"/>
      <c r="W19" s="12"/>
    </row>
    <row r="20" spans="2:23" s="676" customFormat="1" ht="15" customHeight="1" thickBot="1">
      <c r="B20" s="673"/>
      <c r="C20" s="672">
        <v>3</v>
      </c>
      <c r="D20" s="672">
        <v>4</v>
      </c>
      <c r="E20" s="672">
        <v>5</v>
      </c>
      <c r="F20" s="672">
        <v>6</v>
      </c>
      <c r="G20" s="672">
        <v>7</v>
      </c>
      <c r="H20" s="672">
        <v>8</v>
      </c>
      <c r="I20" s="672">
        <v>9</v>
      </c>
      <c r="J20" s="672">
        <v>10</v>
      </c>
      <c r="K20" s="672">
        <v>11</v>
      </c>
      <c r="L20" s="672">
        <v>12</v>
      </c>
      <c r="M20" s="672">
        <v>13</v>
      </c>
      <c r="N20" s="672">
        <v>14</v>
      </c>
      <c r="O20" s="672">
        <v>15</v>
      </c>
      <c r="P20" s="672">
        <v>16</v>
      </c>
      <c r="Q20" s="672">
        <v>17</v>
      </c>
      <c r="R20" s="672">
        <v>18</v>
      </c>
      <c r="S20" s="672">
        <v>19</v>
      </c>
      <c r="T20" s="672">
        <v>20</v>
      </c>
      <c r="U20" s="672">
        <v>21</v>
      </c>
      <c r="V20" s="672">
        <v>22</v>
      </c>
      <c r="W20" s="675"/>
    </row>
    <row r="21" spans="2:23" s="11" customFormat="1" ht="33.75" customHeight="1" thickBot="1" thickTop="1">
      <c r="B21" s="41"/>
      <c r="C21" s="195" t="s">
        <v>43</v>
      </c>
      <c r="D21" s="107" t="s">
        <v>130</v>
      </c>
      <c r="E21" s="107" t="s">
        <v>129</v>
      </c>
      <c r="F21" s="193" t="s">
        <v>66</v>
      </c>
      <c r="G21" s="207" t="s">
        <v>14</v>
      </c>
      <c r="H21" s="209" t="s">
        <v>44</v>
      </c>
      <c r="I21" s="257" t="s">
        <v>46</v>
      </c>
      <c r="J21" s="189" t="s">
        <v>47</v>
      </c>
      <c r="K21" s="207" t="s">
        <v>48</v>
      </c>
      <c r="L21" s="208" t="s">
        <v>70</v>
      </c>
      <c r="M21" s="208" t="s">
        <v>71</v>
      </c>
      <c r="N21" s="111" t="s">
        <v>51</v>
      </c>
      <c r="O21" s="194" t="s">
        <v>72</v>
      </c>
      <c r="P21" s="325" t="s">
        <v>81</v>
      </c>
      <c r="Q21" s="299" t="s">
        <v>53</v>
      </c>
      <c r="R21" s="318" t="s">
        <v>76</v>
      </c>
      <c r="S21" s="319"/>
      <c r="T21" s="334" t="s">
        <v>57</v>
      </c>
      <c r="U21" s="191" t="s">
        <v>59</v>
      </c>
      <c r="V21" s="191" t="s">
        <v>60</v>
      </c>
      <c r="W21" s="35"/>
    </row>
    <row r="22" spans="2:23" s="11" customFormat="1" ht="16.5" customHeight="1" thickTop="1">
      <c r="B22" s="41"/>
      <c r="C22" s="20"/>
      <c r="D22" s="19"/>
      <c r="E22" s="19"/>
      <c r="F22" s="29"/>
      <c r="G22" s="29"/>
      <c r="H22" s="13"/>
      <c r="I22" s="260"/>
      <c r="J22" s="30"/>
      <c r="K22" s="31"/>
      <c r="L22" s="32"/>
      <c r="M22" s="59"/>
      <c r="N22" s="327"/>
      <c r="O22" s="327"/>
      <c r="P22" s="328"/>
      <c r="Q22" s="330"/>
      <c r="R22" s="331"/>
      <c r="S22" s="332"/>
      <c r="T22" s="335"/>
      <c r="U22" s="333"/>
      <c r="V22" s="329"/>
      <c r="W22" s="35"/>
    </row>
    <row r="23" spans="2:23" s="11" customFormat="1" ht="16.5" customHeight="1">
      <c r="B23" s="41"/>
      <c r="C23" s="20">
        <v>6</v>
      </c>
      <c r="D23" s="19">
        <v>228451</v>
      </c>
      <c r="E23" s="19">
        <v>1770</v>
      </c>
      <c r="F23" s="544" t="s">
        <v>13</v>
      </c>
      <c r="G23" s="544" t="s">
        <v>148</v>
      </c>
      <c r="H23" s="761">
        <v>13.2</v>
      </c>
      <c r="I23" s="260">
        <f aca="true" t="shared" si="0" ref="I23:I43">IF(H23=330,$G$15,IF(AND(H23&lt;=132,H23&gt;=66),$G$16,IF(AND(H23&lt;66,H23&gt;=33),$G$17,$G$18)))</f>
        <v>2.433</v>
      </c>
      <c r="J23" s="30">
        <v>40500.33611111111</v>
      </c>
      <c r="K23" s="31">
        <v>40500.35486111111</v>
      </c>
      <c r="L23" s="32">
        <f aca="true" t="shared" si="1" ref="L23:L43">IF(F23="","",(K23-J23)*24)</f>
        <v>0.4500000000698492</v>
      </c>
      <c r="M23" s="59">
        <f aca="true" t="shared" si="2" ref="M23:M43">IF(F23="","",ROUND((K23-J23)*24*60,0))</f>
        <v>27</v>
      </c>
      <c r="N23" s="26" t="s">
        <v>138</v>
      </c>
      <c r="O23" s="26" t="str">
        <f aca="true" t="shared" si="3" ref="O23:O43">IF(F23="","",IF(N23="P","--","NO"))</f>
        <v>--</v>
      </c>
      <c r="P23" s="326">
        <v>20</v>
      </c>
      <c r="Q23" s="666">
        <f aca="true" t="shared" si="4" ref="Q23:Q43">IF(N23="P",I23*P23*ROUND(M23/60,2)*0.1,"--")</f>
        <v>2.1896999999999998</v>
      </c>
      <c r="R23" s="320" t="str">
        <f aca="true" t="shared" si="5" ref="R23:R43">IF(AND(N23="F",O23="NO"),I23*P23,"--")</f>
        <v>--</v>
      </c>
      <c r="S23" s="321" t="str">
        <f aca="true" t="shared" si="6" ref="S23:S43">IF(N23="F",I23*P23*ROUND(M23/60,2),"--")</f>
        <v>--</v>
      </c>
      <c r="T23" s="336" t="str">
        <f aca="true" t="shared" si="7" ref="T23:T43">IF(N23="RF",I23*P23*ROUND(M23/60,2),"--")</f>
        <v>--</v>
      </c>
      <c r="U23" s="23" t="s">
        <v>137</v>
      </c>
      <c r="V23" s="60">
        <f aca="true" t="shared" si="8" ref="V23:V43">IF(F23="","",SUM(Q23:T23)*IF(U23="SI",1,2)*IF(H23="500/220",0,1))</f>
        <v>2.1896999999999998</v>
      </c>
      <c r="W23" s="35"/>
    </row>
    <row r="24" spans="2:23" s="11" customFormat="1" ht="16.5" customHeight="1">
      <c r="B24" s="41"/>
      <c r="C24" s="613">
        <v>7</v>
      </c>
      <c r="D24" s="598">
        <v>228849</v>
      </c>
      <c r="E24" s="598">
        <v>4893</v>
      </c>
      <c r="F24" s="598" t="s">
        <v>13</v>
      </c>
      <c r="G24" s="598" t="s">
        <v>147</v>
      </c>
      <c r="H24" s="762">
        <v>13.2</v>
      </c>
      <c r="I24" s="260">
        <f t="shared" si="0"/>
        <v>2.433</v>
      </c>
      <c r="J24" s="615">
        <v>40511.33263888889</v>
      </c>
      <c r="K24" s="616">
        <v>40511.34027777778</v>
      </c>
      <c r="L24" s="32">
        <f t="shared" si="1"/>
        <v>0.18333333340706304</v>
      </c>
      <c r="M24" s="59">
        <f t="shared" si="2"/>
        <v>11</v>
      </c>
      <c r="N24" s="617" t="s">
        <v>138</v>
      </c>
      <c r="O24" s="26" t="str">
        <f t="shared" si="3"/>
        <v>--</v>
      </c>
      <c r="P24" s="326">
        <f aca="true" t="shared" si="9" ref="P24:P43">IF(H24=330,$H$15,IF(AND(H24&lt;=132,H24&gt;=66),$H$16,IF(AND(H24&lt;66,H24&gt;13.2),$H$17,$H$18)))</f>
        <v>20</v>
      </c>
      <c r="Q24" s="666">
        <f t="shared" si="4"/>
        <v>0.87588</v>
      </c>
      <c r="R24" s="320" t="str">
        <f t="shared" si="5"/>
        <v>--</v>
      </c>
      <c r="S24" s="321" t="str">
        <f t="shared" si="6"/>
        <v>--</v>
      </c>
      <c r="T24" s="336" t="str">
        <f t="shared" si="7"/>
        <v>--</v>
      </c>
      <c r="U24" s="23" t="s">
        <v>137</v>
      </c>
      <c r="V24" s="60">
        <f t="shared" si="8"/>
        <v>0.87588</v>
      </c>
      <c r="W24" s="35"/>
    </row>
    <row r="25" spans="2:23" s="11" customFormat="1" ht="16.5" customHeight="1">
      <c r="B25" s="41"/>
      <c r="C25" s="613"/>
      <c r="D25" s="598"/>
      <c r="E25" s="598"/>
      <c r="F25" s="614"/>
      <c r="G25" s="614"/>
      <c r="H25" s="620"/>
      <c r="I25" s="260">
        <f t="shared" si="0"/>
        <v>2.433</v>
      </c>
      <c r="J25" s="615"/>
      <c r="K25" s="616"/>
      <c r="L25" s="32">
        <f t="shared" si="1"/>
      </c>
      <c r="M25" s="59">
        <f t="shared" si="2"/>
      </c>
      <c r="N25" s="617"/>
      <c r="O25" s="26">
        <f t="shared" si="3"/>
      </c>
      <c r="P25" s="326">
        <f t="shared" si="9"/>
        <v>20</v>
      </c>
      <c r="Q25" s="666" t="str">
        <f t="shared" si="4"/>
        <v>--</v>
      </c>
      <c r="R25" s="320" t="str">
        <f t="shared" si="5"/>
        <v>--</v>
      </c>
      <c r="S25" s="321" t="str">
        <f t="shared" si="6"/>
        <v>--</v>
      </c>
      <c r="T25" s="336" t="str">
        <f t="shared" si="7"/>
        <v>--</v>
      </c>
      <c r="U25" s="23">
        <f aca="true" t="shared" si="10" ref="U25:U43">IF(F25="","","SI")</f>
      </c>
      <c r="V25" s="60">
        <f t="shared" si="8"/>
      </c>
      <c r="W25" s="35"/>
    </row>
    <row r="26" spans="2:23" s="11" customFormat="1" ht="16.5" customHeight="1">
      <c r="B26" s="41"/>
      <c r="C26" s="613"/>
      <c r="D26" s="598"/>
      <c r="E26" s="598"/>
      <c r="F26" s="614"/>
      <c r="G26" s="614"/>
      <c r="H26" s="620"/>
      <c r="I26" s="260">
        <f t="shared" si="0"/>
        <v>2.433</v>
      </c>
      <c r="J26" s="615"/>
      <c r="K26" s="616"/>
      <c r="L26" s="32">
        <f t="shared" si="1"/>
      </c>
      <c r="M26" s="59">
        <f t="shared" si="2"/>
      </c>
      <c r="N26" s="617"/>
      <c r="O26" s="26">
        <f t="shared" si="3"/>
      </c>
      <c r="P26" s="326">
        <f t="shared" si="9"/>
        <v>20</v>
      </c>
      <c r="Q26" s="666" t="str">
        <f t="shared" si="4"/>
        <v>--</v>
      </c>
      <c r="R26" s="320" t="str">
        <f t="shared" si="5"/>
        <v>--</v>
      </c>
      <c r="S26" s="321" t="str">
        <f t="shared" si="6"/>
        <v>--</v>
      </c>
      <c r="T26" s="336" t="str">
        <f t="shared" si="7"/>
        <v>--</v>
      </c>
      <c r="U26" s="23">
        <f t="shared" si="10"/>
      </c>
      <c r="V26" s="60">
        <f t="shared" si="8"/>
      </c>
      <c r="W26" s="35"/>
    </row>
    <row r="27" spans="2:23" s="11" customFormat="1" ht="16.5" customHeight="1">
      <c r="B27" s="41"/>
      <c r="C27" s="613"/>
      <c r="D27" s="598"/>
      <c r="E27" s="598"/>
      <c r="F27" s="614"/>
      <c r="G27" s="614"/>
      <c r="H27" s="620"/>
      <c r="I27" s="260">
        <f t="shared" si="0"/>
        <v>2.433</v>
      </c>
      <c r="J27" s="615"/>
      <c r="K27" s="616"/>
      <c r="L27" s="32">
        <f t="shared" si="1"/>
      </c>
      <c r="M27" s="59">
        <f t="shared" si="2"/>
      </c>
      <c r="N27" s="617"/>
      <c r="O27" s="26">
        <f t="shared" si="3"/>
      </c>
      <c r="P27" s="326">
        <f t="shared" si="9"/>
        <v>20</v>
      </c>
      <c r="Q27" s="666" t="str">
        <f t="shared" si="4"/>
        <v>--</v>
      </c>
      <c r="R27" s="320" t="str">
        <f t="shared" si="5"/>
        <v>--</v>
      </c>
      <c r="S27" s="321" t="str">
        <f t="shared" si="6"/>
        <v>--</v>
      </c>
      <c r="T27" s="336" t="str">
        <f t="shared" si="7"/>
        <v>--</v>
      </c>
      <c r="U27" s="23">
        <f t="shared" si="10"/>
      </c>
      <c r="V27" s="60">
        <f t="shared" si="8"/>
      </c>
      <c r="W27" s="35"/>
    </row>
    <row r="28" spans="2:23" s="11" customFormat="1" ht="16.5" customHeight="1">
      <c r="B28" s="41"/>
      <c r="C28" s="613"/>
      <c r="D28" s="598"/>
      <c r="E28" s="598"/>
      <c r="F28" s="614"/>
      <c r="G28" s="614"/>
      <c r="H28" s="620"/>
      <c r="I28" s="260">
        <f t="shared" si="0"/>
        <v>2.433</v>
      </c>
      <c r="J28" s="615"/>
      <c r="K28" s="616"/>
      <c r="L28" s="32">
        <f t="shared" si="1"/>
      </c>
      <c r="M28" s="59">
        <f t="shared" si="2"/>
      </c>
      <c r="N28" s="617"/>
      <c r="O28" s="26">
        <f t="shared" si="3"/>
      </c>
      <c r="P28" s="326">
        <f t="shared" si="9"/>
        <v>20</v>
      </c>
      <c r="Q28" s="666" t="str">
        <f t="shared" si="4"/>
        <v>--</v>
      </c>
      <c r="R28" s="320" t="str">
        <f t="shared" si="5"/>
        <v>--</v>
      </c>
      <c r="S28" s="321" t="str">
        <f t="shared" si="6"/>
        <v>--</v>
      </c>
      <c r="T28" s="336" t="str">
        <f t="shared" si="7"/>
        <v>--</v>
      </c>
      <c r="U28" s="23">
        <f t="shared" si="10"/>
      </c>
      <c r="V28" s="60">
        <f t="shared" si="8"/>
      </c>
      <c r="W28" s="35"/>
    </row>
    <row r="29" spans="2:23" s="11" customFormat="1" ht="16.5" customHeight="1">
      <c r="B29" s="41"/>
      <c r="C29" s="613"/>
      <c r="D29" s="598"/>
      <c r="E29" s="598"/>
      <c r="F29" s="614"/>
      <c r="G29" s="614"/>
      <c r="H29" s="620"/>
      <c r="I29" s="260">
        <f t="shared" si="0"/>
        <v>2.433</v>
      </c>
      <c r="J29" s="615"/>
      <c r="K29" s="616"/>
      <c r="L29" s="32">
        <f t="shared" si="1"/>
      </c>
      <c r="M29" s="59">
        <f t="shared" si="2"/>
      </c>
      <c r="N29" s="617"/>
      <c r="O29" s="26">
        <f t="shared" si="3"/>
      </c>
      <c r="P29" s="326">
        <f t="shared" si="9"/>
        <v>20</v>
      </c>
      <c r="Q29" s="666" t="str">
        <f t="shared" si="4"/>
        <v>--</v>
      </c>
      <c r="R29" s="320" t="str">
        <f t="shared" si="5"/>
        <v>--</v>
      </c>
      <c r="S29" s="321" t="str">
        <f t="shared" si="6"/>
        <v>--</v>
      </c>
      <c r="T29" s="336" t="str">
        <f t="shared" si="7"/>
        <v>--</v>
      </c>
      <c r="U29" s="23">
        <f t="shared" si="10"/>
      </c>
      <c r="V29" s="60">
        <f t="shared" si="8"/>
      </c>
      <c r="W29" s="35"/>
    </row>
    <row r="30" spans="2:23" s="11" customFormat="1" ht="16.5" customHeight="1">
      <c r="B30" s="41"/>
      <c r="C30" s="613"/>
      <c r="D30" s="598"/>
      <c r="E30" s="598"/>
      <c r="F30" s="614"/>
      <c r="G30" s="614"/>
      <c r="H30" s="620"/>
      <c r="I30" s="260">
        <f t="shared" si="0"/>
        <v>2.433</v>
      </c>
      <c r="J30" s="615"/>
      <c r="K30" s="616"/>
      <c r="L30" s="32">
        <f t="shared" si="1"/>
      </c>
      <c r="M30" s="59">
        <f t="shared" si="2"/>
      </c>
      <c r="N30" s="617"/>
      <c r="O30" s="26">
        <f t="shared" si="3"/>
      </c>
      <c r="P30" s="326">
        <f t="shared" si="9"/>
        <v>20</v>
      </c>
      <c r="Q30" s="666" t="str">
        <f t="shared" si="4"/>
        <v>--</v>
      </c>
      <c r="R30" s="320" t="str">
        <f t="shared" si="5"/>
        <v>--</v>
      </c>
      <c r="S30" s="321" t="str">
        <f t="shared" si="6"/>
        <v>--</v>
      </c>
      <c r="T30" s="336" t="str">
        <f t="shared" si="7"/>
        <v>--</v>
      </c>
      <c r="U30" s="23">
        <f t="shared" si="10"/>
      </c>
      <c r="V30" s="60">
        <f t="shared" si="8"/>
      </c>
      <c r="W30" s="35"/>
    </row>
    <row r="31" spans="2:23" s="11" customFormat="1" ht="16.5" customHeight="1">
      <c r="B31" s="41"/>
      <c r="C31" s="613"/>
      <c r="D31" s="598"/>
      <c r="E31" s="598"/>
      <c r="F31" s="614"/>
      <c r="G31" s="614"/>
      <c r="H31" s="620"/>
      <c r="I31" s="260">
        <f t="shared" si="0"/>
        <v>2.433</v>
      </c>
      <c r="J31" s="615"/>
      <c r="K31" s="616"/>
      <c r="L31" s="32">
        <f t="shared" si="1"/>
      </c>
      <c r="M31" s="59">
        <f t="shared" si="2"/>
      </c>
      <c r="N31" s="617"/>
      <c r="O31" s="26">
        <f t="shared" si="3"/>
      </c>
      <c r="P31" s="326">
        <f t="shared" si="9"/>
        <v>20</v>
      </c>
      <c r="Q31" s="666" t="str">
        <f t="shared" si="4"/>
        <v>--</v>
      </c>
      <c r="R31" s="320" t="str">
        <f t="shared" si="5"/>
        <v>--</v>
      </c>
      <c r="S31" s="321" t="str">
        <f t="shared" si="6"/>
        <v>--</v>
      </c>
      <c r="T31" s="336" t="str">
        <f t="shared" si="7"/>
        <v>--</v>
      </c>
      <c r="U31" s="23">
        <f t="shared" si="10"/>
      </c>
      <c r="V31" s="60">
        <f t="shared" si="8"/>
      </c>
      <c r="W31" s="35"/>
    </row>
    <row r="32" spans="2:23" s="11" customFormat="1" ht="16.5" customHeight="1">
      <c r="B32" s="41"/>
      <c r="C32" s="613"/>
      <c r="D32" s="598"/>
      <c r="E32" s="598"/>
      <c r="F32" s="614"/>
      <c r="G32" s="614"/>
      <c r="H32" s="620"/>
      <c r="I32" s="260">
        <f t="shared" si="0"/>
        <v>2.433</v>
      </c>
      <c r="J32" s="615"/>
      <c r="K32" s="616"/>
      <c r="L32" s="32">
        <f t="shared" si="1"/>
      </c>
      <c r="M32" s="59">
        <f t="shared" si="2"/>
      </c>
      <c r="N32" s="617"/>
      <c r="O32" s="26">
        <f t="shared" si="3"/>
      </c>
      <c r="P32" s="326">
        <f t="shared" si="9"/>
        <v>20</v>
      </c>
      <c r="Q32" s="666" t="str">
        <f t="shared" si="4"/>
        <v>--</v>
      </c>
      <c r="R32" s="320" t="str">
        <f t="shared" si="5"/>
        <v>--</v>
      </c>
      <c r="S32" s="321" t="str">
        <f t="shared" si="6"/>
        <v>--</v>
      </c>
      <c r="T32" s="336" t="str">
        <f t="shared" si="7"/>
        <v>--</v>
      </c>
      <c r="U32" s="23">
        <f t="shared" si="10"/>
      </c>
      <c r="V32" s="60">
        <f t="shared" si="8"/>
      </c>
      <c r="W32" s="35"/>
    </row>
    <row r="33" spans="2:23" s="11" customFormat="1" ht="16.5" customHeight="1">
      <c r="B33" s="41"/>
      <c r="C33" s="613"/>
      <c r="D33" s="598"/>
      <c r="E33" s="598"/>
      <c r="F33" s="614"/>
      <c r="G33" s="614"/>
      <c r="H33" s="620"/>
      <c r="I33" s="260">
        <f t="shared" si="0"/>
        <v>2.433</v>
      </c>
      <c r="J33" s="615"/>
      <c r="K33" s="616"/>
      <c r="L33" s="32">
        <f t="shared" si="1"/>
      </c>
      <c r="M33" s="59">
        <f t="shared" si="2"/>
      </c>
      <c r="N33" s="617"/>
      <c r="O33" s="26">
        <f t="shared" si="3"/>
      </c>
      <c r="P33" s="326">
        <f t="shared" si="9"/>
        <v>20</v>
      </c>
      <c r="Q33" s="666" t="str">
        <f t="shared" si="4"/>
        <v>--</v>
      </c>
      <c r="R33" s="320" t="str">
        <f t="shared" si="5"/>
        <v>--</v>
      </c>
      <c r="S33" s="321" t="str">
        <f t="shared" si="6"/>
        <v>--</v>
      </c>
      <c r="T33" s="336" t="str">
        <f t="shared" si="7"/>
        <v>--</v>
      </c>
      <c r="U33" s="23">
        <f t="shared" si="10"/>
      </c>
      <c r="V33" s="60">
        <f t="shared" si="8"/>
      </c>
      <c r="W33" s="35"/>
    </row>
    <row r="34" spans="2:23" s="11" customFormat="1" ht="16.5" customHeight="1">
      <c r="B34" s="41"/>
      <c r="C34" s="613"/>
      <c r="D34" s="598"/>
      <c r="E34" s="598"/>
      <c r="F34" s="614"/>
      <c r="G34" s="614"/>
      <c r="H34" s="620"/>
      <c r="I34" s="260">
        <f t="shared" si="0"/>
        <v>2.433</v>
      </c>
      <c r="J34" s="615"/>
      <c r="K34" s="616"/>
      <c r="L34" s="32">
        <f t="shared" si="1"/>
      </c>
      <c r="M34" s="59">
        <f t="shared" si="2"/>
      </c>
      <c r="N34" s="617"/>
      <c r="O34" s="26">
        <f t="shared" si="3"/>
      </c>
      <c r="P34" s="326">
        <f t="shared" si="9"/>
        <v>20</v>
      </c>
      <c r="Q34" s="666" t="str">
        <f t="shared" si="4"/>
        <v>--</v>
      </c>
      <c r="R34" s="320" t="str">
        <f t="shared" si="5"/>
        <v>--</v>
      </c>
      <c r="S34" s="321" t="str">
        <f t="shared" si="6"/>
        <v>--</v>
      </c>
      <c r="T34" s="336" t="str">
        <f t="shared" si="7"/>
        <v>--</v>
      </c>
      <c r="U34" s="23">
        <f t="shared" si="10"/>
      </c>
      <c r="V34" s="60">
        <f t="shared" si="8"/>
      </c>
      <c r="W34" s="35"/>
    </row>
    <row r="35" spans="2:23" s="11" customFormat="1" ht="16.5" customHeight="1">
      <c r="B35" s="41"/>
      <c r="C35" s="613"/>
      <c r="D35" s="598"/>
      <c r="E35" s="598"/>
      <c r="F35" s="614"/>
      <c r="G35" s="614"/>
      <c r="H35" s="620"/>
      <c r="I35" s="260">
        <f t="shared" si="0"/>
        <v>2.433</v>
      </c>
      <c r="J35" s="615"/>
      <c r="K35" s="616"/>
      <c r="L35" s="32">
        <f t="shared" si="1"/>
      </c>
      <c r="M35" s="59">
        <f t="shared" si="2"/>
      </c>
      <c r="N35" s="617"/>
      <c r="O35" s="26">
        <f t="shared" si="3"/>
      </c>
      <c r="P35" s="326">
        <f t="shared" si="9"/>
        <v>20</v>
      </c>
      <c r="Q35" s="666" t="str">
        <f t="shared" si="4"/>
        <v>--</v>
      </c>
      <c r="R35" s="320" t="str">
        <f t="shared" si="5"/>
        <v>--</v>
      </c>
      <c r="S35" s="321" t="str">
        <f t="shared" si="6"/>
        <v>--</v>
      </c>
      <c r="T35" s="336" t="str">
        <f t="shared" si="7"/>
        <v>--</v>
      </c>
      <c r="U35" s="23">
        <f t="shared" si="10"/>
      </c>
      <c r="V35" s="60">
        <f t="shared" si="8"/>
      </c>
      <c r="W35" s="35"/>
    </row>
    <row r="36" spans="2:23" s="11" customFormat="1" ht="16.5" customHeight="1">
      <c r="B36" s="41"/>
      <c r="C36" s="613"/>
      <c r="D36" s="598"/>
      <c r="E36" s="598"/>
      <c r="F36" s="614"/>
      <c r="G36" s="614"/>
      <c r="H36" s="620"/>
      <c r="I36" s="260">
        <f t="shared" si="0"/>
        <v>2.433</v>
      </c>
      <c r="J36" s="615"/>
      <c r="K36" s="616"/>
      <c r="L36" s="32">
        <f t="shared" si="1"/>
      </c>
      <c r="M36" s="59">
        <f t="shared" si="2"/>
      </c>
      <c r="N36" s="617"/>
      <c r="O36" s="26">
        <f t="shared" si="3"/>
      </c>
      <c r="P36" s="326">
        <f t="shared" si="9"/>
        <v>20</v>
      </c>
      <c r="Q36" s="666" t="str">
        <f t="shared" si="4"/>
        <v>--</v>
      </c>
      <c r="R36" s="320" t="str">
        <f t="shared" si="5"/>
        <v>--</v>
      </c>
      <c r="S36" s="321" t="str">
        <f t="shared" si="6"/>
        <v>--</v>
      </c>
      <c r="T36" s="336" t="str">
        <f t="shared" si="7"/>
        <v>--</v>
      </c>
      <c r="U36" s="23">
        <f t="shared" si="10"/>
      </c>
      <c r="V36" s="60">
        <f t="shared" si="8"/>
      </c>
      <c r="W36" s="35"/>
    </row>
    <row r="37" spans="2:23" s="11" customFormat="1" ht="16.5" customHeight="1">
      <c r="B37" s="41"/>
      <c r="C37" s="613"/>
      <c r="D37" s="598"/>
      <c r="E37" s="598"/>
      <c r="F37" s="614"/>
      <c r="G37" s="614"/>
      <c r="H37" s="620"/>
      <c r="I37" s="260">
        <f t="shared" si="0"/>
        <v>2.433</v>
      </c>
      <c r="J37" s="615"/>
      <c r="K37" s="616"/>
      <c r="L37" s="32">
        <f t="shared" si="1"/>
      </c>
      <c r="M37" s="59">
        <f t="shared" si="2"/>
      </c>
      <c r="N37" s="617"/>
      <c r="O37" s="26">
        <f t="shared" si="3"/>
      </c>
      <c r="P37" s="326">
        <f t="shared" si="9"/>
        <v>20</v>
      </c>
      <c r="Q37" s="666" t="str">
        <f t="shared" si="4"/>
        <v>--</v>
      </c>
      <c r="R37" s="320" t="str">
        <f t="shared" si="5"/>
        <v>--</v>
      </c>
      <c r="S37" s="321" t="str">
        <f t="shared" si="6"/>
        <v>--</v>
      </c>
      <c r="T37" s="336" t="str">
        <f t="shared" si="7"/>
        <v>--</v>
      </c>
      <c r="U37" s="23">
        <f t="shared" si="10"/>
      </c>
      <c r="V37" s="60">
        <f t="shared" si="8"/>
      </c>
      <c r="W37" s="35"/>
    </row>
    <row r="38" spans="2:23" s="11" customFormat="1" ht="16.5" customHeight="1">
      <c r="B38" s="41"/>
      <c r="C38" s="613"/>
      <c r="D38" s="598"/>
      <c r="E38" s="598"/>
      <c r="F38" s="614"/>
      <c r="G38" s="614"/>
      <c r="H38" s="620"/>
      <c r="I38" s="260">
        <f t="shared" si="0"/>
        <v>2.433</v>
      </c>
      <c r="J38" s="615"/>
      <c r="K38" s="616"/>
      <c r="L38" s="32">
        <f t="shared" si="1"/>
      </c>
      <c r="M38" s="59">
        <f t="shared" si="2"/>
      </c>
      <c r="N38" s="617"/>
      <c r="O38" s="26">
        <f t="shared" si="3"/>
      </c>
      <c r="P38" s="326">
        <f t="shared" si="9"/>
        <v>20</v>
      </c>
      <c r="Q38" s="666" t="str">
        <f t="shared" si="4"/>
        <v>--</v>
      </c>
      <c r="R38" s="320" t="str">
        <f t="shared" si="5"/>
        <v>--</v>
      </c>
      <c r="S38" s="321" t="str">
        <f t="shared" si="6"/>
        <v>--</v>
      </c>
      <c r="T38" s="336" t="str">
        <f t="shared" si="7"/>
        <v>--</v>
      </c>
      <c r="U38" s="23">
        <f t="shared" si="10"/>
      </c>
      <c r="V38" s="60">
        <f t="shared" si="8"/>
      </c>
      <c r="W38" s="35"/>
    </row>
    <row r="39" spans="2:23" s="11" customFormat="1" ht="16.5" customHeight="1">
      <c r="B39" s="41"/>
      <c r="C39" s="613"/>
      <c r="D39" s="598"/>
      <c r="E39" s="598"/>
      <c r="F39" s="614"/>
      <c r="G39" s="614"/>
      <c r="H39" s="620"/>
      <c r="I39" s="260">
        <f t="shared" si="0"/>
        <v>2.433</v>
      </c>
      <c r="J39" s="615"/>
      <c r="K39" s="616"/>
      <c r="L39" s="32">
        <f t="shared" si="1"/>
      </c>
      <c r="M39" s="59">
        <f t="shared" si="2"/>
      </c>
      <c r="N39" s="617"/>
      <c r="O39" s="26">
        <f t="shared" si="3"/>
      </c>
      <c r="P39" s="326">
        <f t="shared" si="9"/>
        <v>20</v>
      </c>
      <c r="Q39" s="666" t="str">
        <f t="shared" si="4"/>
        <v>--</v>
      </c>
      <c r="R39" s="320" t="str">
        <f t="shared" si="5"/>
        <v>--</v>
      </c>
      <c r="S39" s="321" t="str">
        <f t="shared" si="6"/>
        <v>--</v>
      </c>
      <c r="T39" s="336" t="str">
        <f t="shared" si="7"/>
        <v>--</v>
      </c>
      <c r="U39" s="23">
        <f t="shared" si="10"/>
      </c>
      <c r="V39" s="60">
        <f t="shared" si="8"/>
      </c>
      <c r="W39" s="35"/>
    </row>
    <row r="40" spans="2:23" s="11" customFormat="1" ht="16.5" customHeight="1">
      <c r="B40" s="41"/>
      <c r="C40" s="613"/>
      <c r="D40" s="598"/>
      <c r="E40" s="598"/>
      <c r="F40" s="614"/>
      <c r="G40" s="614"/>
      <c r="H40" s="620"/>
      <c r="I40" s="260">
        <f t="shared" si="0"/>
        <v>2.433</v>
      </c>
      <c r="J40" s="615"/>
      <c r="K40" s="616"/>
      <c r="L40" s="32">
        <f t="shared" si="1"/>
      </c>
      <c r="M40" s="59">
        <f t="shared" si="2"/>
      </c>
      <c r="N40" s="617"/>
      <c r="O40" s="26">
        <f t="shared" si="3"/>
      </c>
      <c r="P40" s="326">
        <f t="shared" si="9"/>
        <v>20</v>
      </c>
      <c r="Q40" s="666" t="str">
        <f t="shared" si="4"/>
        <v>--</v>
      </c>
      <c r="R40" s="320" t="str">
        <f t="shared" si="5"/>
        <v>--</v>
      </c>
      <c r="S40" s="321" t="str">
        <f t="shared" si="6"/>
        <v>--</v>
      </c>
      <c r="T40" s="336" t="str">
        <f t="shared" si="7"/>
        <v>--</v>
      </c>
      <c r="U40" s="23">
        <f t="shared" si="10"/>
      </c>
      <c r="V40" s="60">
        <f t="shared" si="8"/>
      </c>
      <c r="W40" s="35"/>
    </row>
    <row r="41" spans="2:23" s="11" customFormat="1" ht="16.5" customHeight="1">
      <c r="B41" s="41"/>
      <c r="C41" s="613"/>
      <c r="D41" s="598"/>
      <c r="E41" s="598"/>
      <c r="F41" s="614"/>
      <c r="G41" s="614"/>
      <c r="H41" s="620"/>
      <c r="I41" s="260">
        <f t="shared" si="0"/>
        <v>2.433</v>
      </c>
      <c r="J41" s="615"/>
      <c r="K41" s="616"/>
      <c r="L41" s="32">
        <f t="shared" si="1"/>
      </c>
      <c r="M41" s="59">
        <f t="shared" si="2"/>
      </c>
      <c r="N41" s="617"/>
      <c r="O41" s="26">
        <f t="shared" si="3"/>
      </c>
      <c r="P41" s="326">
        <f t="shared" si="9"/>
        <v>20</v>
      </c>
      <c r="Q41" s="666" t="str">
        <f t="shared" si="4"/>
        <v>--</v>
      </c>
      <c r="R41" s="320" t="str">
        <f t="shared" si="5"/>
        <v>--</v>
      </c>
      <c r="S41" s="321" t="str">
        <f t="shared" si="6"/>
        <v>--</v>
      </c>
      <c r="T41" s="336" t="str">
        <f t="shared" si="7"/>
        <v>--</v>
      </c>
      <c r="U41" s="23">
        <f t="shared" si="10"/>
      </c>
      <c r="V41" s="60">
        <f t="shared" si="8"/>
      </c>
      <c r="W41" s="35"/>
    </row>
    <row r="42" spans="2:23" s="11" customFormat="1" ht="16.5" customHeight="1">
      <c r="B42" s="41"/>
      <c r="C42" s="613"/>
      <c r="D42" s="598"/>
      <c r="E42" s="598"/>
      <c r="F42" s="614"/>
      <c r="G42" s="614"/>
      <c r="H42" s="620"/>
      <c r="I42" s="260">
        <f t="shared" si="0"/>
        <v>2.433</v>
      </c>
      <c r="J42" s="615"/>
      <c r="K42" s="616"/>
      <c r="L42" s="32">
        <f t="shared" si="1"/>
      </c>
      <c r="M42" s="59">
        <f t="shared" si="2"/>
      </c>
      <c r="N42" s="617"/>
      <c r="O42" s="26">
        <f t="shared" si="3"/>
      </c>
      <c r="P42" s="326">
        <f t="shared" si="9"/>
        <v>20</v>
      </c>
      <c r="Q42" s="666" t="str">
        <f t="shared" si="4"/>
        <v>--</v>
      </c>
      <c r="R42" s="320" t="str">
        <f t="shared" si="5"/>
        <v>--</v>
      </c>
      <c r="S42" s="321" t="str">
        <f t="shared" si="6"/>
        <v>--</v>
      </c>
      <c r="T42" s="336" t="str">
        <f t="shared" si="7"/>
        <v>--</v>
      </c>
      <c r="U42" s="23">
        <f t="shared" si="10"/>
      </c>
      <c r="V42" s="60">
        <f t="shared" si="8"/>
      </c>
      <c r="W42" s="35"/>
    </row>
    <row r="43" spans="2:23" s="11" customFormat="1" ht="16.5" customHeight="1">
      <c r="B43" s="41"/>
      <c r="C43" s="613"/>
      <c r="D43" s="598"/>
      <c r="E43" s="598"/>
      <c r="F43" s="614"/>
      <c r="G43" s="614"/>
      <c r="H43" s="620"/>
      <c r="I43" s="260">
        <f t="shared" si="0"/>
        <v>2.433</v>
      </c>
      <c r="J43" s="615"/>
      <c r="K43" s="616"/>
      <c r="L43" s="32">
        <f t="shared" si="1"/>
      </c>
      <c r="M43" s="59">
        <f t="shared" si="2"/>
      </c>
      <c r="N43" s="617"/>
      <c r="O43" s="26">
        <f t="shared" si="3"/>
      </c>
      <c r="P43" s="326">
        <f t="shared" si="9"/>
        <v>20</v>
      </c>
      <c r="Q43" s="666" t="str">
        <f t="shared" si="4"/>
        <v>--</v>
      </c>
      <c r="R43" s="320" t="str">
        <f t="shared" si="5"/>
        <v>--</v>
      </c>
      <c r="S43" s="321" t="str">
        <f t="shared" si="6"/>
        <v>--</v>
      </c>
      <c r="T43" s="336" t="str">
        <f t="shared" si="7"/>
        <v>--</v>
      </c>
      <c r="U43" s="23">
        <f t="shared" si="10"/>
      </c>
      <c r="V43" s="60">
        <f t="shared" si="8"/>
      </c>
      <c r="W43" s="35"/>
    </row>
    <row r="44" spans="2:23" s="11" customFormat="1" ht="16.5" customHeight="1" thickBot="1">
      <c r="B44" s="41"/>
      <c r="C44" s="601"/>
      <c r="D44" s="601"/>
      <c r="E44" s="601"/>
      <c r="F44" s="601"/>
      <c r="G44" s="601"/>
      <c r="H44" s="601"/>
      <c r="I44" s="259"/>
      <c r="J44" s="601"/>
      <c r="K44" s="601"/>
      <c r="L44" s="27"/>
      <c r="M44" s="27"/>
      <c r="N44" s="601"/>
      <c r="O44" s="601"/>
      <c r="P44" s="618"/>
      <c r="Q44" s="619"/>
      <c r="R44" s="609"/>
      <c r="S44" s="610"/>
      <c r="T44" s="604"/>
      <c r="U44" s="601"/>
      <c r="V44" s="196"/>
      <c r="W44" s="35"/>
    </row>
    <row r="45" spans="2:23" s="11" customFormat="1" ht="16.5" customHeight="1" thickBot="1" thickTop="1">
      <c r="B45" s="41"/>
      <c r="C45" s="758" t="s">
        <v>160</v>
      </c>
      <c r="D45" s="757" t="s">
        <v>161</v>
      </c>
      <c r="E45" s="646"/>
      <c r="F45" s="233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37">
        <f>ROUND(SUM(Q22:Q44),2)</f>
        <v>3.07</v>
      </c>
      <c r="R45" s="304">
        <f>SUM(R22:R44)</f>
        <v>0</v>
      </c>
      <c r="S45" s="304">
        <f>SUM(S22:S44)</f>
        <v>0</v>
      </c>
      <c r="T45" s="338">
        <f>SUM(T22:T44)</f>
        <v>0</v>
      </c>
      <c r="U45" s="61"/>
      <c r="V45" s="248">
        <f>SUM(V22:V44)</f>
        <v>3.0655799999999997</v>
      </c>
      <c r="W45" s="35"/>
    </row>
    <row r="46" spans="2:23" s="251" customFormat="1" ht="9.75" thickTop="1">
      <c r="B46" s="250"/>
      <c r="C46" s="234"/>
      <c r="D46" s="234"/>
      <c r="E46" s="234"/>
      <c r="F46" s="235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3"/>
      <c r="V46" s="254"/>
      <c r="W46" s="255"/>
    </row>
    <row r="47" spans="1:23" s="11" customFormat="1" ht="16.5" customHeight="1" thickBot="1">
      <c r="A47" s="12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9"/>
    </row>
    <row r="48" spans="1:23" ht="13.5" thickTop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6" ht="12.75">
      <c r="C49" s="7"/>
      <c r="D49" s="7"/>
      <c r="E49" s="7"/>
      <c r="F49" s="7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Y157"/>
  <sheetViews>
    <sheetView zoomScale="70" zoomScaleNormal="70" workbookViewId="0" topLeftCell="A1">
      <selection activeCell="A29" sqref="A29:IV29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20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5" customFormat="1" ht="26.25">
      <c r="W1" s="369"/>
    </row>
    <row r="2" spans="2:23" s="115" customFormat="1" ht="26.25">
      <c r="B2" s="116" t="str">
        <f>+'TOT-1110'!B2</f>
        <v>ANEXO V al Memorandum D.T.E.E.  N°    271 / 2012</v>
      </c>
      <c r="C2" s="117"/>
      <c r="D2" s="117"/>
      <c r="E2" s="117"/>
      <c r="F2" s="117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="11" customFormat="1" ht="12.75"/>
    <row r="4" spans="1:4" s="118" customFormat="1" ht="11.25">
      <c r="A4" s="649" t="s">
        <v>16</v>
      </c>
      <c r="C4" s="648"/>
      <c r="D4" s="648"/>
    </row>
    <row r="5" spans="1:4" s="118" customFormat="1" ht="11.25">
      <c r="A5" s="649" t="s">
        <v>131</v>
      </c>
      <c r="C5" s="648"/>
      <c r="D5" s="648"/>
    </row>
    <row r="6" s="11" customFormat="1" ht="12.75"/>
    <row r="7" s="11" customFormat="1" ht="13.5" thickBot="1"/>
    <row r="8" spans="2:23" s="11" customFormat="1" ht="13.5" thickTop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 spans="2:23" s="120" customFormat="1" ht="20.25">
      <c r="B9" s="119"/>
      <c r="C9" s="21"/>
      <c r="D9" s="21"/>
      <c r="E9" s="21"/>
      <c r="F9" s="21" t="s">
        <v>37</v>
      </c>
      <c r="G9" s="80"/>
      <c r="H9" s="141"/>
      <c r="I9" s="140"/>
      <c r="J9" s="140"/>
      <c r="K9" s="140"/>
      <c r="L9" s="140"/>
      <c r="M9" s="140"/>
      <c r="N9" s="140"/>
      <c r="O9" s="141"/>
      <c r="P9" s="141"/>
      <c r="Q9" s="141"/>
      <c r="R9" s="141"/>
      <c r="S9" s="141"/>
      <c r="T9" s="141"/>
      <c r="U9" s="141"/>
      <c r="V9" s="141"/>
      <c r="W9" s="169"/>
    </row>
    <row r="10" spans="2:23" s="11" customFormat="1" ht="12.75">
      <c r="B10" s="4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</row>
    <row r="11" spans="2:23" s="120" customFormat="1" ht="20.25">
      <c r="B11" s="119"/>
      <c r="F11" s="21" t="s">
        <v>82</v>
      </c>
      <c r="H11" s="62"/>
      <c r="I11" s="122"/>
      <c r="J11" s="122"/>
      <c r="K11" s="122"/>
      <c r="L11" s="122"/>
      <c r="M11" s="122"/>
      <c r="N11" s="122"/>
      <c r="O11" s="122"/>
      <c r="P11" s="122"/>
      <c r="Q11" s="42"/>
      <c r="R11" s="42"/>
      <c r="S11" s="42"/>
      <c r="T11" s="42"/>
      <c r="U11" s="42"/>
      <c r="V11" s="42"/>
      <c r="W11" s="121"/>
    </row>
    <row r="12" spans="2:23" s="11" customFormat="1" ht="16.5" customHeight="1">
      <c r="B12" s="41"/>
      <c r="C12" s="9"/>
      <c r="D12" s="9"/>
      <c r="E12" s="9"/>
      <c r="F12" s="132"/>
      <c r="H12" s="142"/>
      <c r="I12" s="128"/>
      <c r="J12" s="128"/>
      <c r="K12" s="128"/>
      <c r="L12" s="128"/>
      <c r="M12" s="128"/>
      <c r="N12" s="128"/>
      <c r="O12" s="128"/>
      <c r="P12" s="128"/>
      <c r="Q12" s="9"/>
      <c r="R12" s="9"/>
      <c r="S12" s="9"/>
      <c r="T12" s="9"/>
      <c r="U12" s="9"/>
      <c r="V12" s="9"/>
      <c r="W12" s="12"/>
    </row>
    <row r="13" spans="2:23" s="127" customFormat="1" ht="16.5" customHeight="1">
      <c r="B13" s="95" t="str">
        <f>+'TOT-1110'!B14</f>
        <v>Desde el 01 al 30 de noviembre de 2010</v>
      </c>
      <c r="C13" s="123"/>
      <c r="D13" s="123"/>
      <c r="E13" s="123"/>
      <c r="F13" s="125"/>
      <c r="G13" s="125"/>
      <c r="H13" s="125"/>
      <c r="I13" s="125"/>
      <c r="J13" s="94"/>
      <c r="K13" s="125"/>
      <c r="L13" s="125"/>
      <c r="M13" s="125"/>
      <c r="N13" s="125"/>
      <c r="O13" s="125"/>
      <c r="P13" s="125"/>
      <c r="Q13" s="123"/>
      <c r="R13" s="123"/>
      <c r="S13" s="123"/>
      <c r="T13" s="123"/>
      <c r="U13" s="123"/>
      <c r="V13" s="123"/>
      <c r="W13" s="126"/>
    </row>
    <row r="14" spans="2:23" s="11" customFormat="1" ht="16.5" customHeight="1" thickBot="1">
      <c r="B14" s="4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41"/>
      <c r="C15" s="9"/>
      <c r="D15" s="9"/>
      <c r="E15" s="9"/>
      <c r="F15" s="200" t="s">
        <v>83</v>
      </c>
      <c r="G15" s="216"/>
      <c r="H15" s="217"/>
      <c r="I15" s="218"/>
      <c r="J15" s="364">
        <v>0.243</v>
      </c>
      <c r="K15" s="9"/>
      <c r="L15" s="9"/>
      <c r="M15" s="9"/>
      <c r="N15" s="9"/>
      <c r="P15" s="9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41"/>
      <c r="C16" s="9"/>
      <c r="D16" s="9"/>
      <c r="E16" s="9"/>
      <c r="F16" s="219" t="s">
        <v>65</v>
      </c>
      <c r="G16" s="220"/>
      <c r="H16" s="220"/>
      <c r="I16" s="218"/>
      <c r="J16" s="221">
        <f>6*'TOT-1110'!B13</f>
        <v>6</v>
      </c>
      <c r="K16" s="230" t="str">
        <f>IF(J16=20," ",IF(J16=40,"  Coeficiente duplicado por tasa de falla &gt;4 Sal. x año/100 km.","REVISAR COEFICIENTE"))</f>
        <v>REVISAR COEFICIENTE</v>
      </c>
      <c r="L16" s="9"/>
      <c r="M16" s="9"/>
      <c r="N16" s="9"/>
      <c r="P16" s="9"/>
      <c r="Q16" s="9"/>
      <c r="R16" s="9"/>
      <c r="S16" s="197"/>
      <c r="T16" s="197"/>
      <c r="U16" s="197"/>
      <c r="V16" s="197"/>
      <c r="W16" s="12"/>
    </row>
    <row r="17" spans="2:23" s="11" customFormat="1" ht="16.5" customHeight="1" thickTop="1">
      <c r="B17" s="4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</row>
    <row r="18" spans="2:23" s="676" customFormat="1" ht="16.5" customHeight="1" thickBot="1">
      <c r="B18" s="673"/>
      <c r="C18" s="674">
        <v>3</v>
      </c>
      <c r="D18" s="674">
        <v>4</v>
      </c>
      <c r="E18" s="674">
        <v>5</v>
      </c>
      <c r="F18" s="674">
        <v>6</v>
      </c>
      <c r="G18" s="674">
        <v>7</v>
      </c>
      <c r="H18" s="674">
        <v>8</v>
      </c>
      <c r="I18" s="674">
        <v>9</v>
      </c>
      <c r="J18" s="674">
        <v>10</v>
      </c>
      <c r="K18" s="674">
        <v>11</v>
      </c>
      <c r="L18" s="674">
        <v>12</v>
      </c>
      <c r="M18" s="674">
        <v>13</v>
      </c>
      <c r="N18" s="674">
        <v>14</v>
      </c>
      <c r="O18" s="674">
        <v>15</v>
      </c>
      <c r="P18" s="674">
        <v>16</v>
      </c>
      <c r="Q18" s="674">
        <v>17</v>
      </c>
      <c r="R18" s="674">
        <v>18</v>
      </c>
      <c r="S18" s="674">
        <v>19</v>
      </c>
      <c r="T18" s="674">
        <v>20</v>
      </c>
      <c r="U18" s="674">
        <v>21</v>
      </c>
      <c r="V18" s="674">
        <v>22</v>
      </c>
      <c r="W18" s="675"/>
    </row>
    <row r="19" spans="2:23" s="114" customFormat="1" ht="33.75" customHeight="1" thickBot="1" thickTop="1">
      <c r="B19" s="106"/>
      <c r="C19" s="107" t="s">
        <v>43</v>
      </c>
      <c r="D19" s="107" t="s">
        <v>130</v>
      </c>
      <c r="E19" s="107" t="s">
        <v>129</v>
      </c>
      <c r="F19" s="109" t="s">
        <v>66</v>
      </c>
      <c r="G19" s="108" t="s">
        <v>14</v>
      </c>
      <c r="H19" s="222" t="s">
        <v>84</v>
      </c>
      <c r="I19" s="257" t="s">
        <v>46</v>
      </c>
      <c r="J19" s="108" t="s">
        <v>47</v>
      </c>
      <c r="K19" s="108" t="s">
        <v>48</v>
      </c>
      <c r="L19" s="109" t="s">
        <v>70</v>
      </c>
      <c r="M19" s="109" t="s">
        <v>71</v>
      </c>
      <c r="N19" s="111" t="s">
        <v>51</v>
      </c>
      <c r="O19" s="108" t="s">
        <v>85</v>
      </c>
      <c r="P19" s="312" t="s">
        <v>86</v>
      </c>
      <c r="Q19" s="314" t="s">
        <v>53</v>
      </c>
      <c r="R19" s="353" t="s">
        <v>87</v>
      </c>
      <c r="S19" s="295"/>
      <c r="T19" s="299" t="s">
        <v>57</v>
      </c>
      <c r="U19" s="112" t="s">
        <v>59</v>
      </c>
      <c r="V19" s="223" t="s">
        <v>60</v>
      </c>
      <c r="W19" s="113"/>
    </row>
    <row r="20" spans="2:23" s="11" customFormat="1" ht="16.5" customHeight="1" thickTop="1">
      <c r="B20" s="41"/>
      <c r="C20" s="213"/>
      <c r="D20" s="644"/>
      <c r="E20" s="644"/>
      <c r="F20" s="644"/>
      <c r="G20" s="214"/>
      <c r="H20" s="214"/>
      <c r="I20" s="339"/>
      <c r="J20" s="215"/>
      <c r="K20" s="215"/>
      <c r="L20" s="213"/>
      <c r="M20" s="213"/>
      <c r="N20" s="214"/>
      <c r="O20" s="168"/>
      <c r="P20" s="346"/>
      <c r="Q20" s="347"/>
      <c r="R20" s="349"/>
      <c r="S20" s="354"/>
      <c r="T20" s="361"/>
      <c r="U20" s="356"/>
      <c r="V20" s="348"/>
      <c r="W20" s="12"/>
    </row>
    <row r="21" spans="2:23" s="11" customFormat="1" ht="16.5" customHeight="1">
      <c r="B21" s="41"/>
      <c r="C21" s="82"/>
      <c r="D21" s="82"/>
      <c r="E21" s="82"/>
      <c r="F21" s="84"/>
      <c r="G21" s="83"/>
      <c r="H21" s="84"/>
      <c r="I21" s="340"/>
      <c r="J21" s="86"/>
      <c r="K21" s="87"/>
      <c r="L21" s="88"/>
      <c r="M21" s="89"/>
      <c r="N21" s="90"/>
      <c r="O21" s="85"/>
      <c r="P21" s="343"/>
      <c r="Q21" s="344"/>
      <c r="R21" s="350"/>
      <c r="S21" s="355"/>
      <c r="T21" s="362"/>
      <c r="U21" s="85"/>
      <c r="V21" s="224"/>
      <c r="W21" s="12"/>
    </row>
    <row r="22" spans="2:23" s="11" customFormat="1" ht="16.5" customHeight="1">
      <c r="B22" s="41"/>
      <c r="C22" s="463">
        <v>8</v>
      </c>
      <c r="D22" s="463">
        <v>228246</v>
      </c>
      <c r="E22" s="463">
        <v>2629</v>
      </c>
      <c r="F22" s="463" t="s">
        <v>142</v>
      </c>
      <c r="G22" s="763" t="s">
        <v>145</v>
      </c>
      <c r="H22" s="463">
        <v>50</v>
      </c>
      <c r="I22" s="341">
        <f aca="true" t="shared" si="0" ref="I22:I40">H22*$J$15</f>
        <v>12.15</v>
      </c>
      <c r="J22" s="626">
        <v>40492.33472222222</v>
      </c>
      <c r="K22" s="627">
        <v>40492.592361111114</v>
      </c>
      <c r="L22" s="91">
        <f aca="true" t="shared" si="1" ref="L22:L40">IF(F22="","",(K22-J22)*24)</f>
        <v>6.183333333407063</v>
      </c>
      <c r="M22" s="59">
        <f aca="true" t="shared" si="2" ref="M22:M40">IF(F22="","",ROUND((K22-J22)*24*60,0))</f>
        <v>371</v>
      </c>
      <c r="N22" s="629" t="s">
        <v>138</v>
      </c>
      <c r="O22" s="667" t="str">
        <f aca="true" t="shared" si="3" ref="O22:O40">IF(F22="","",IF(N22="P","--","NO"))</f>
        <v>--</v>
      </c>
      <c r="P22" s="668">
        <f aca="true" t="shared" si="4" ref="P22:P40">IF(OR(N22="P",N22="RP"),$J$16*0.1,$J$16)</f>
        <v>0.6000000000000001</v>
      </c>
      <c r="Q22" s="669">
        <f aca="true" t="shared" si="5" ref="Q22:Q40">IF(N22="P",I22*P22*ROUND(M22/60,2),"--")</f>
        <v>45.052200000000006</v>
      </c>
      <c r="R22" s="657" t="str">
        <f aca="true" t="shared" si="6" ref="R22:R40">IF(AND(N22="F",O22="NO"),I22*P22,"--")</f>
        <v>--</v>
      </c>
      <c r="S22" s="670" t="str">
        <f aca="true" t="shared" si="7" ref="S22:S40">IF(N22="F",I22*P22*ROUND(M22/60,2),"--")</f>
        <v>--</v>
      </c>
      <c r="T22" s="671" t="str">
        <f aca="true" t="shared" si="8" ref="T22:T40">IF(N22="RF",I22*P22*ROUND(M22/60,2),"--")</f>
        <v>--</v>
      </c>
      <c r="U22" s="667" t="s">
        <v>137</v>
      </c>
      <c r="V22" s="92">
        <f aca="true" t="shared" si="9" ref="V22:V40">IF(F22="","",SUM(Q22:T22)*IF(U22="SI",1,2))</f>
        <v>45.052200000000006</v>
      </c>
      <c r="W22" s="12"/>
    </row>
    <row r="23" spans="2:23" s="11" customFormat="1" ht="16.5" customHeight="1">
      <c r="B23" s="41"/>
      <c r="C23" s="463">
        <v>9</v>
      </c>
      <c r="D23" s="463">
        <v>228448</v>
      </c>
      <c r="E23" s="463">
        <v>2629</v>
      </c>
      <c r="F23" s="463" t="s">
        <v>142</v>
      </c>
      <c r="G23" s="763" t="s">
        <v>145</v>
      </c>
      <c r="H23" s="463">
        <v>50</v>
      </c>
      <c r="I23" s="341">
        <f t="shared" si="0"/>
        <v>12.15</v>
      </c>
      <c r="J23" s="626">
        <v>40497.32986111111</v>
      </c>
      <c r="K23" s="627">
        <v>40497.57847222222</v>
      </c>
      <c r="L23" s="91">
        <f t="shared" si="1"/>
        <v>5.966666666732635</v>
      </c>
      <c r="M23" s="59">
        <f t="shared" si="2"/>
        <v>358</v>
      </c>
      <c r="N23" s="629" t="s">
        <v>138</v>
      </c>
      <c r="O23" s="667" t="str">
        <f t="shared" si="3"/>
        <v>--</v>
      </c>
      <c r="P23" s="668">
        <f t="shared" si="4"/>
        <v>0.6000000000000001</v>
      </c>
      <c r="Q23" s="669">
        <f t="shared" si="5"/>
        <v>43.521300000000004</v>
      </c>
      <c r="R23" s="657" t="str">
        <f t="shared" si="6"/>
        <v>--</v>
      </c>
      <c r="S23" s="670" t="str">
        <f t="shared" si="7"/>
        <v>--</v>
      </c>
      <c r="T23" s="671" t="str">
        <f t="shared" si="8"/>
        <v>--</v>
      </c>
      <c r="U23" s="667" t="s">
        <v>137</v>
      </c>
      <c r="V23" s="92">
        <f t="shared" si="9"/>
        <v>43.521300000000004</v>
      </c>
      <c r="W23" s="12"/>
    </row>
    <row r="24" spans="2:23" s="11" customFormat="1" ht="16.5" customHeight="1">
      <c r="B24" s="41"/>
      <c r="C24" s="463">
        <v>10</v>
      </c>
      <c r="D24" s="463">
        <v>228449</v>
      </c>
      <c r="E24" s="463">
        <v>2629</v>
      </c>
      <c r="F24" s="463" t="s">
        <v>142</v>
      </c>
      <c r="G24" s="763" t="s">
        <v>145</v>
      </c>
      <c r="H24" s="463">
        <v>50</v>
      </c>
      <c r="I24" s="341">
        <f t="shared" si="0"/>
        <v>12.15</v>
      </c>
      <c r="J24" s="626">
        <v>40498.33611111111</v>
      </c>
      <c r="K24" s="627">
        <v>40498.55416666667</v>
      </c>
      <c r="L24" s="91">
        <f t="shared" si="1"/>
        <v>5.233333333453629</v>
      </c>
      <c r="M24" s="59">
        <f t="shared" si="2"/>
        <v>314</v>
      </c>
      <c r="N24" s="629" t="s">
        <v>138</v>
      </c>
      <c r="O24" s="667" t="str">
        <f t="shared" si="3"/>
        <v>--</v>
      </c>
      <c r="P24" s="668">
        <f t="shared" si="4"/>
        <v>0.6000000000000001</v>
      </c>
      <c r="Q24" s="669">
        <f t="shared" si="5"/>
        <v>38.12670000000001</v>
      </c>
      <c r="R24" s="657" t="str">
        <f t="shared" si="6"/>
        <v>--</v>
      </c>
      <c r="S24" s="670" t="str">
        <f t="shared" si="7"/>
        <v>--</v>
      </c>
      <c r="T24" s="671" t="str">
        <f t="shared" si="8"/>
        <v>--</v>
      </c>
      <c r="U24" s="667" t="s">
        <v>137</v>
      </c>
      <c r="V24" s="92">
        <f t="shared" si="9"/>
        <v>38.12670000000001</v>
      </c>
      <c r="W24" s="12"/>
    </row>
    <row r="25" spans="2:23" s="11" customFormat="1" ht="16.5" customHeight="1">
      <c r="B25" s="41"/>
      <c r="C25" s="463">
        <v>11</v>
      </c>
      <c r="D25" s="463">
        <v>228450</v>
      </c>
      <c r="E25" s="463">
        <v>2629</v>
      </c>
      <c r="F25" s="463" t="s">
        <v>142</v>
      </c>
      <c r="G25" s="763" t="s">
        <v>145</v>
      </c>
      <c r="H25" s="463">
        <v>50</v>
      </c>
      <c r="I25" s="341">
        <f t="shared" si="0"/>
        <v>12.15</v>
      </c>
      <c r="J25" s="626">
        <v>40499.330555555556</v>
      </c>
      <c r="K25" s="627">
        <v>40499.54861111111</v>
      </c>
      <c r="L25" s="91">
        <f t="shared" si="1"/>
        <v>5.233333333279006</v>
      </c>
      <c r="M25" s="59">
        <f t="shared" si="2"/>
        <v>314</v>
      </c>
      <c r="N25" s="629" t="s">
        <v>138</v>
      </c>
      <c r="O25" s="667" t="str">
        <f t="shared" si="3"/>
        <v>--</v>
      </c>
      <c r="P25" s="668">
        <f t="shared" si="4"/>
        <v>0.6000000000000001</v>
      </c>
      <c r="Q25" s="669">
        <f t="shared" si="5"/>
        <v>38.12670000000001</v>
      </c>
      <c r="R25" s="657" t="str">
        <f t="shared" si="6"/>
        <v>--</v>
      </c>
      <c r="S25" s="670" t="str">
        <f t="shared" si="7"/>
        <v>--</v>
      </c>
      <c r="T25" s="671" t="str">
        <f t="shared" si="8"/>
        <v>--</v>
      </c>
      <c r="U25" s="667" t="s">
        <v>137</v>
      </c>
      <c r="V25" s="92">
        <f t="shared" si="9"/>
        <v>38.12670000000001</v>
      </c>
      <c r="W25" s="211"/>
    </row>
    <row r="26" spans="2:23" s="11" customFormat="1" ht="16.5" customHeight="1">
      <c r="B26" s="41"/>
      <c r="C26" s="463">
        <v>12</v>
      </c>
      <c r="D26" s="463">
        <v>228452</v>
      </c>
      <c r="E26" s="463">
        <v>2629</v>
      </c>
      <c r="F26" s="463" t="s">
        <v>142</v>
      </c>
      <c r="G26" s="763" t="s">
        <v>145</v>
      </c>
      <c r="H26" s="463">
        <v>50</v>
      </c>
      <c r="I26" s="341">
        <f t="shared" si="0"/>
        <v>12.15</v>
      </c>
      <c r="J26" s="626">
        <v>40500.319444444445</v>
      </c>
      <c r="K26" s="627">
        <v>40500.58263888889</v>
      </c>
      <c r="L26" s="91">
        <f t="shared" si="1"/>
        <v>6.316666666651145</v>
      </c>
      <c r="M26" s="59">
        <f t="shared" si="2"/>
        <v>379</v>
      </c>
      <c r="N26" s="629" t="s">
        <v>138</v>
      </c>
      <c r="O26" s="667" t="str">
        <f t="shared" si="3"/>
        <v>--</v>
      </c>
      <c r="P26" s="668">
        <f t="shared" si="4"/>
        <v>0.6000000000000001</v>
      </c>
      <c r="Q26" s="669">
        <f t="shared" si="5"/>
        <v>46.07280000000001</v>
      </c>
      <c r="R26" s="657" t="str">
        <f t="shared" si="6"/>
        <v>--</v>
      </c>
      <c r="S26" s="670" t="str">
        <f t="shared" si="7"/>
        <v>--</v>
      </c>
      <c r="T26" s="671" t="str">
        <f t="shared" si="8"/>
        <v>--</v>
      </c>
      <c r="U26" s="667" t="s">
        <v>137</v>
      </c>
      <c r="V26" s="92">
        <f t="shared" si="9"/>
        <v>46.07280000000001</v>
      </c>
      <c r="W26" s="211"/>
    </row>
    <row r="27" spans="2:23" s="11" customFormat="1" ht="16.5" customHeight="1">
      <c r="B27" s="41"/>
      <c r="C27" s="463">
        <v>13</v>
      </c>
      <c r="D27" s="463">
        <v>228453</v>
      </c>
      <c r="E27" s="463">
        <v>2629</v>
      </c>
      <c r="F27" s="463" t="s">
        <v>142</v>
      </c>
      <c r="G27" s="763" t="s">
        <v>145</v>
      </c>
      <c r="H27" s="463">
        <v>50</v>
      </c>
      <c r="I27" s="341">
        <f t="shared" si="0"/>
        <v>12.15</v>
      </c>
      <c r="J27" s="626">
        <v>40501.32777777778</v>
      </c>
      <c r="K27" s="627">
        <v>40501.59097222222</v>
      </c>
      <c r="L27" s="91">
        <f t="shared" si="1"/>
        <v>6.316666666651145</v>
      </c>
      <c r="M27" s="59">
        <f t="shared" si="2"/>
        <v>379</v>
      </c>
      <c r="N27" s="629" t="s">
        <v>138</v>
      </c>
      <c r="O27" s="667" t="str">
        <f t="shared" si="3"/>
        <v>--</v>
      </c>
      <c r="P27" s="668">
        <f t="shared" si="4"/>
        <v>0.6000000000000001</v>
      </c>
      <c r="Q27" s="669">
        <f t="shared" si="5"/>
        <v>46.07280000000001</v>
      </c>
      <c r="R27" s="657" t="str">
        <f t="shared" si="6"/>
        <v>--</v>
      </c>
      <c r="S27" s="670" t="str">
        <f t="shared" si="7"/>
        <v>--</v>
      </c>
      <c r="T27" s="671" t="str">
        <f t="shared" si="8"/>
        <v>--</v>
      </c>
      <c r="U27" s="667" t="s">
        <v>137</v>
      </c>
      <c r="V27" s="92">
        <f t="shared" si="9"/>
        <v>46.07280000000001</v>
      </c>
      <c r="W27" s="211"/>
    </row>
    <row r="28" spans="2:23" s="11" customFormat="1" ht="16.5" customHeight="1">
      <c r="B28" s="41"/>
      <c r="C28" s="463">
        <v>14</v>
      </c>
      <c r="D28" s="463">
        <v>228808</v>
      </c>
      <c r="E28" s="463">
        <v>2629</v>
      </c>
      <c r="F28" s="463" t="s">
        <v>142</v>
      </c>
      <c r="G28" s="763" t="s">
        <v>145</v>
      </c>
      <c r="H28" s="463">
        <v>50</v>
      </c>
      <c r="I28" s="341">
        <f t="shared" si="0"/>
        <v>12.15</v>
      </c>
      <c r="J28" s="626">
        <v>40505.330555555556</v>
      </c>
      <c r="K28" s="627">
        <v>40505.60555555556</v>
      </c>
      <c r="L28" s="91">
        <f t="shared" si="1"/>
        <v>6.600000000034925</v>
      </c>
      <c r="M28" s="59">
        <f t="shared" si="2"/>
        <v>396</v>
      </c>
      <c r="N28" s="629" t="s">
        <v>138</v>
      </c>
      <c r="O28" s="667" t="str">
        <f t="shared" si="3"/>
        <v>--</v>
      </c>
      <c r="P28" s="668">
        <f t="shared" si="4"/>
        <v>0.6000000000000001</v>
      </c>
      <c r="Q28" s="669">
        <f t="shared" si="5"/>
        <v>48.114000000000004</v>
      </c>
      <c r="R28" s="657" t="str">
        <f t="shared" si="6"/>
        <v>--</v>
      </c>
      <c r="S28" s="670" t="str">
        <f t="shared" si="7"/>
        <v>--</v>
      </c>
      <c r="T28" s="671" t="str">
        <f t="shared" si="8"/>
        <v>--</v>
      </c>
      <c r="U28" s="667" t="s">
        <v>137</v>
      </c>
      <c r="V28" s="92">
        <f t="shared" si="9"/>
        <v>48.114000000000004</v>
      </c>
      <c r="W28" s="211"/>
    </row>
    <row r="29" spans="2:23" s="11" customFormat="1" ht="16.5" customHeight="1">
      <c r="B29" s="41"/>
      <c r="C29" s="463">
        <v>16</v>
      </c>
      <c r="D29" s="463">
        <v>228810</v>
      </c>
      <c r="E29" s="463">
        <v>2629</v>
      </c>
      <c r="F29" s="463" t="s">
        <v>142</v>
      </c>
      <c r="G29" s="763" t="s">
        <v>145</v>
      </c>
      <c r="H29" s="463">
        <v>50</v>
      </c>
      <c r="I29" s="341">
        <f t="shared" si="0"/>
        <v>12.15</v>
      </c>
      <c r="J29" s="626">
        <v>40506.336805555555</v>
      </c>
      <c r="K29" s="627">
        <v>40506.59375</v>
      </c>
      <c r="L29" s="91">
        <f t="shared" si="1"/>
        <v>6.166666666686069</v>
      </c>
      <c r="M29" s="59">
        <f t="shared" si="2"/>
        <v>370</v>
      </c>
      <c r="N29" s="629" t="s">
        <v>138</v>
      </c>
      <c r="O29" s="667" t="str">
        <f t="shared" si="3"/>
        <v>--</v>
      </c>
      <c r="P29" s="668">
        <f t="shared" si="4"/>
        <v>0.6000000000000001</v>
      </c>
      <c r="Q29" s="669">
        <f t="shared" si="5"/>
        <v>44.9793</v>
      </c>
      <c r="R29" s="657" t="str">
        <f t="shared" si="6"/>
        <v>--</v>
      </c>
      <c r="S29" s="670" t="str">
        <f t="shared" si="7"/>
        <v>--</v>
      </c>
      <c r="T29" s="671" t="str">
        <f t="shared" si="8"/>
        <v>--</v>
      </c>
      <c r="U29" s="667" t="s">
        <v>137</v>
      </c>
      <c r="V29" s="92">
        <f t="shared" si="9"/>
        <v>44.9793</v>
      </c>
      <c r="W29" s="211"/>
    </row>
    <row r="30" spans="2:23" s="11" customFormat="1" ht="16.5" customHeight="1">
      <c r="B30" s="41"/>
      <c r="C30" s="463"/>
      <c r="D30" s="463"/>
      <c r="E30" s="463"/>
      <c r="F30" s="622"/>
      <c r="G30" s="621"/>
      <c r="H30" s="622"/>
      <c r="I30" s="341">
        <f t="shared" si="0"/>
        <v>0</v>
      </c>
      <c r="J30" s="626"/>
      <c r="K30" s="627"/>
      <c r="L30" s="91">
        <f t="shared" si="1"/>
      </c>
      <c r="M30" s="59">
        <f t="shared" si="2"/>
      </c>
      <c r="N30" s="629"/>
      <c r="O30" s="667">
        <f t="shared" si="3"/>
      </c>
      <c r="P30" s="668">
        <f t="shared" si="4"/>
        <v>6</v>
      </c>
      <c r="Q30" s="669" t="str">
        <f t="shared" si="5"/>
        <v>--</v>
      </c>
      <c r="R30" s="657" t="str">
        <f t="shared" si="6"/>
        <v>--</v>
      </c>
      <c r="S30" s="670" t="str">
        <f t="shared" si="7"/>
        <v>--</v>
      </c>
      <c r="T30" s="671" t="str">
        <f t="shared" si="8"/>
        <v>--</v>
      </c>
      <c r="U30" s="667">
        <f aca="true" t="shared" si="10" ref="U30:U40">IF(F30="","","SI")</f>
      </c>
      <c r="V30" s="92">
        <f t="shared" si="9"/>
      </c>
      <c r="W30" s="12"/>
    </row>
    <row r="31" spans="2:23" s="11" customFormat="1" ht="16.5" customHeight="1">
      <c r="B31" s="41"/>
      <c r="C31" s="463"/>
      <c r="D31" s="463"/>
      <c r="E31" s="463"/>
      <c r="F31" s="622"/>
      <c r="G31" s="621"/>
      <c r="H31" s="622"/>
      <c r="I31" s="341">
        <f t="shared" si="0"/>
        <v>0</v>
      </c>
      <c r="J31" s="626"/>
      <c r="K31" s="627"/>
      <c r="L31" s="91">
        <f t="shared" si="1"/>
      </c>
      <c r="M31" s="59">
        <f t="shared" si="2"/>
      </c>
      <c r="N31" s="629"/>
      <c r="O31" s="667">
        <f t="shared" si="3"/>
      </c>
      <c r="P31" s="668">
        <f t="shared" si="4"/>
        <v>6</v>
      </c>
      <c r="Q31" s="669" t="str">
        <f t="shared" si="5"/>
        <v>--</v>
      </c>
      <c r="R31" s="657" t="str">
        <f t="shared" si="6"/>
        <v>--</v>
      </c>
      <c r="S31" s="670" t="str">
        <f t="shared" si="7"/>
        <v>--</v>
      </c>
      <c r="T31" s="671" t="str">
        <f t="shared" si="8"/>
        <v>--</v>
      </c>
      <c r="U31" s="667">
        <f t="shared" si="10"/>
      </c>
      <c r="V31" s="92">
        <f t="shared" si="9"/>
      </c>
      <c r="W31" s="12"/>
    </row>
    <row r="32" spans="2:23" s="11" customFormat="1" ht="16.5" customHeight="1">
      <c r="B32" s="41"/>
      <c r="C32" s="463"/>
      <c r="D32" s="463"/>
      <c r="E32" s="463"/>
      <c r="F32" s="622"/>
      <c r="G32" s="621"/>
      <c r="H32" s="622"/>
      <c r="I32" s="341">
        <f t="shared" si="0"/>
        <v>0</v>
      </c>
      <c r="J32" s="626"/>
      <c r="K32" s="627"/>
      <c r="L32" s="91">
        <f t="shared" si="1"/>
      </c>
      <c r="M32" s="59">
        <f t="shared" si="2"/>
      </c>
      <c r="N32" s="629"/>
      <c r="O32" s="667">
        <f t="shared" si="3"/>
      </c>
      <c r="P32" s="668">
        <f t="shared" si="4"/>
        <v>6</v>
      </c>
      <c r="Q32" s="669" t="str">
        <f t="shared" si="5"/>
        <v>--</v>
      </c>
      <c r="R32" s="657" t="str">
        <f t="shared" si="6"/>
        <v>--</v>
      </c>
      <c r="S32" s="670" t="str">
        <f t="shared" si="7"/>
        <v>--</v>
      </c>
      <c r="T32" s="671" t="str">
        <f t="shared" si="8"/>
        <v>--</v>
      </c>
      <c r="U32" s="667">
        <f t="shared" si="10"/>
      </c>
      <c r="V32" s="92">
        <f t="shared" si="9"/>
      </c>
      <c r="W32" s="12"/>
    </row>
    <row r="33" spans="2:23" s="11" customFormat="1" ht="16.5" customHeight="1">
      <c r="B33" s="41"/>
      <c r="C33" s="463"/>
      <c r="D33" s="463"/>
      <c r="E33" s="463"/>
      <c r="F33" s="622"/>
      <c r="G33" s="621"/>
      <c r="H33" s="622"/>
      <c r="I33" s="341">
        <f t="shared" si="0"/>
        <v>0</v>
      </c>
      <c r="J33" s="626"/>
      <c r="K33" s="627"/>
      <c r="L33" s="91">
        <f t="shared" si="1"/>
      </c>
      <c r="M33" s="59">
        <f t="shared" si="2"/>
      </c>
      <c r="N33" s="629"/>
      <c r="O33" s="667">
        <f t="shared" si="3"/>
      </c>
      <c r="P33" s="668">
        <f t="shared" si="4"/>
        <v>6</v>
      </c>
      <c r="Q33" s="669" t="str">
        <f t="shared" si="5"/>
        <v>--</v>
      </c>
      <c r="R33" s="657" t="str">
        <f t="shared" si="6"/>
        <v>--</v>
      </c>
      <c r="S33" s="670" t="str">
        <f t="shared" si="7"/>
        <v>--</v>
      </c>
      <c r="T33" s="671" t="str">
        <f t="shared" si="8"/>
        <v>--</v>
      </c>
      <c r="U33" s="667">
        <f t="shared" si="10"/>
      </c>
      <c r="V33" s="92">
        <f t="shared" si="9"/>
      </c>
      <c r="W33" s="12"/>
    </row>
    <row r="34" spans="2:23" s="11" customFormat="1" ht="16.5" customHeight="1">
      <c r="B34" s="41"/>
      <c r="C34" s="463"/>
      <c r="D34" s="463"/>
      <c r="E34" s="463"/>
      <c r="F34" s="622"/>
      <c r="G34" s="621"/>
      <c r="H34" s="622"/>
      <c r="I34" s="341">
        <f t="shared" si="0"/>
        <v>0</v>
      </c>
      <c r="J34" s="626"/>
      <c r="K34" s="627"/>
      <c r="L34" s="91">
        <f t="shared" si="1"/>
      </c>
      <c r="M34" s="59">
        <f t="shared" si="2"/>
      </c>
      <c r="N34" s="629"/>
      <c r="O34" s="667">
        <f t="shared" si="3"/>
      </c>
      <c r="P34" s="668">
        <f t="shared" si="4"/>
        <v>6</v>
      </c>
      <c r="Q34" s="669" t="str">
        <f t="shared" si="5"/>
        <v>--</v>
      </c>
      <c r="R34" s="657" t="str">
        <f t="shared" si="6"/>
        <v>--</v>
      </c>
      <c r="S34" s="670" t="str">
        <f t="shared" si="7"/>
        <v>--</v>
      </c>
      <c r="T34" s="671" t="str">
        <f t="shared" si="8"/>
        <v>--</v>
      </c>
      <c r="U34" s="667">
        <f t="shared" si="10"/>
      </c>
      <c r="V34" s="92">
        <f t="shared" si="9"/>
      </c>
      <c r="W34" s="12"/>
    </row>
    <row r="35" spans="2:23" s="11" customFormat="1" ht="16.5" customHeight="1">
      <c r="B35" s="41"/>
      <c r="C35" s="463"/>
      <c r="D35" s="463"/>
      <c r="E35" s="463"/>
      <c r="F35" s="622"/>
      <c r="G35" s="621"/>
      <c r="H35" s="622"/>
      <c r="I35" s="341">
        <f t="shared" si="0"/>
        <v>0</v>
      </c>
      <c r="J35" s="626"/>
      <c r="K35" s="627"/>
      <c r="L35" s="91">
        <f t="shared" si="1"/>
      </c>
      <c r="M35" s="59">
        <f t="shared" si="2"/>
      </c>
      <c r="N35" s="629"/>
      <c r="O35" s="667">
        <f t="shared" si="3"/>
      </c>
      <c r="P35" s="668">
        <f t="shared" si="4"/>
        <v>6</v>
      </c>
      <c r="Q35" s="669" t="str">
        <f t="shared" si="5"/>
        <v>--</v>
      </c>
      <c r="R35" s="657" t="str">
        <f t="shared" si="6"/>
        <v>--</v>
      </c>
      <c r="S35" s="670" t="str">
        <f t="shared" si="7"/>
        <v>--</v>
      </c>
      <c r="T35" s="671" t="str">
        <f t="shared" si="8"/>
        <v>--</v>
      </c>
      <c r="U35" s="667">
        <f t="shared" si="10"/>
      </c>
      <c r="V35" s="92">
        <f t="shared" si="9"/>
      </c>
      <c r="W35" s="12"/>
    </row>
    <row r="36" spans="2:23" s="11" customFormat="1" ht="16.5" customHeight="1">
      <c r="B36" s="41"/>
      <c r="C36" s="463"/>
      <c r="D36" s="463"/>
      <c r="E36" s="463"/>
      <c r="F36" s="622"/>
      <c r="G36" s="621"/>
      <c r="H36" s="622"/>
      <c r="I36" s="341">
        <f t="shared" si="0"/>
        <v>0</v>
      </c>
      <c r="J36" s="626"/>
      <c r="K36" s="627"/>
      <c r="L36" s="91">
        <f t="shared" si="1"/>
      </c>
      <c r="M36" s="59">
        <f t="shared" si="2"/>
      </c>
      <c r="N36" s="629"/>
      <c r="O36" s="667">
        <f t="shared" si="3"/>
      </c>
      <c r="P36" s="668">
        <f t="shared" si="4"/>
        <v>6</v>
      </c>
      <c r="Q36" s="669" t="str">
        <f t="shared" si="5"/>
        <v>--</v>
      </c>
      <c r="R36" s="657" t="str">
        <f t="shared" si="6"/>
        <v>--</v>
      </c>
      <c r="S36" s="670" t="str">
        <f t="shared" si="7"/>
        <v>--</v>
      </c>
      <c r="T36" s="671" t="str">
        <f t="shared" si="8"/>
        <v>--</v>
      </c>
      <c r="U36" s="667">
        <f t="shared" si="10"/>
      </c>
      <c r="V36" s="92">
        <f t="shared" si="9"/>
      </c>
      <c r="W36" s="12"/>
    </row>
    <row r="37" spans="2:23" s="11" customFormat="1" ht="16.5" customHeight="1">
      <c r="B37" s="41"/>
      <c r="C37" s="463"/>
      <c r="D37" s="463"/>
      <c r="E37" s="463"/>
      <c r="F37" s="622"/>
      <c r="G37" s="621"/>
      <c r="H37" s="622"/>
      <c r="I37" s="341">
        <f t="shared" si="0"/>
        <v>0</v>
      </c>
      <c r="J37" s="626"/>
      <c r="K37" s="627"/>
      <c r="L37" s="91">
        <f t="shared" si="1"/>
      </c>
      <c r="M37" s="59">
        <f t="shared" si="2"/>
      </c>
      <c r="N37" s="629"/>
      <c r="O37" s="667">
        <f t="shared" si="3"/>
      </c>
      <c r="P37" s="668">
        <f t="shared" si="4"/>
        <v>6</v>
      </c>
      <c r="Q37" s="669" t="str">
        <f t="shared" si="5"/>
        <v>--</v>
      </c>
      <c r="R37" s="657" t="str">
        <f t="shared" si="6"/>
        <v>--</v>
      </c>
      <c r="S37" s="670" t="str">
        <f t="shared" si="7"/>
        <v>--</v>
      </c>
      <c r="T37" s="671" t="str">
        <f t="shared" si="8"/>
        <v>--</v>
      </c>
      <c r="U37" s="667">
        <f t="shared" si="10"/>
      </c>
      <c r="V37" s="92">
        <f t="shared" si="9"/>
      </c>
      <c r="W37" s="12"/>
    </row>
    <row r="38" spans="2:23" s="11" customFormat="1" ht="16.5" customHeight="1">
      <c r="B38" s="41"/>
      <c r="C38" s="463"/>
      <c r="D38" s="463"/>
      <c r="E38" s="463"/>
      <c r="F38" s="622"/>
      <c r="G38" s="621"/>
      <c r="H38" s="622"/>
      <c r="I38" s="341">
        <f t="shared" si="0"/>
        <v>0</v>
      </c>
      <c r="J38" s="626"/>
      <c r="K38" s="627"/>
      <c r="L38" s="91">
        <f t="shared" si="1"/>
      </c>
      <c r="M38" s="59">
        <f t="shared" si="2"/>
      </c>
      <c r="N38" s="629"/>
      <c r="O38" s="667">
        <f t="shared" si="3"/>
      </c>
      <c r="P38" s="668">
        <f t="shared" si="4"/>
        <v>6</v>
      </c>
      <c r="Q38" s="669" t="str">
        <f t="shared" si="5"/>
        <v>--</v>
      </c>
      <c r="R38" s="657" t="str">
        <f t="shared" si="6"/>
        <v>--</v>
      </c>
      <c r="S38" s="670" t="str">
        <f t="shared" si="7"/>
        <v>--</v>
      </c>
      <c r="T38" s="671" t="str">
        <f t="shared" si="8"/>
        <v>--</v>
      </c>
      <c r="U38" s="667">
        <f t="shared" si="10"/>
      </c>
      <c r="V38" s="92">
        <f t="shared" si="9"/>
      </c>
      <c r="W38" s="12"/>
    </row>
    <row r="39" spans="2:23" s="11" customFormat="1" ht="16.5" customHeight="1">
      <c r="B39" s="41"/>
      <c r="C39" s="463"/>
      <c r="D39" s="463"/>
      <c r="E39" s="463"/>
      <c r="F39" s="622"/>
      <c r="G39" s="621"/>
      <c r="H39" s="622"/>
      <c r="I39" s="341">
        <f t="shared" si="0"/>
        <v>0</v>
      </c>
      <c r="J39" s="626"/>
      <c r="K39" s="627"/>
      <c r="L39" s="91">
        <f t="shared" si="1"/>
      </c>
      <c r="M39" s="59">
        <f t="shared" si="2"/>
      </c>
      <c r="N39" s="629"/>
      <c r="O39" s="667">
        <f t="shared" si="3"/>
      </c>
      <c r="P39" s="668">
        <f t="shared" si="4"/>
        <v>6</v>
      </c>
      <c r="Q39" s="669" t="str">
        <f t="shared" si="5"/>
        <v>--</v>
      </c>
      <c r="R39" s="657" t="str">
        <f t="shared" si="6"/>
        <v>--</v>
      </c>
      <c r="S39" s="670" t="str">
        <f t="shared" si="7"/>
        <v>--</v>
      </c>
      <c r="T39" s="671" t="str">
        <f t="shared" si="8"/>
        <v>--</v>
      </c>
      <c r="U39" s="667">
        <f t="shared" si="10"/>
      </c>
      <c r="V39" s="92">
        <f t="shared" si="9"/>
      </c>
      <c r="W39" s="12"/>
    </row>
    <row r="40" spans="2:23" s="11" customFormat="1" ht="16.5" customHeight="1">
      <c r="B40" s="41"/>
      <c r="C40" s="463"/>
      <c r="D40" s="463"/>
      <c r="E40" s="463"/>
      <c r="F40" s="622"/>
      <c r="G40" s="621"/>
      <c r="H40" s="622"/>
      <c r="I40" s="341">
        <f t="shared" si="0"/>
        <v>0</v>
      </c>
      <c r="J40" s="626"/>
      <c r="K40" s="627"/>
      <c r="L40" s="91">
        <f t="shared" si="1"/>
      </c>
      <c r="M40" s="59">
        <f t="shared" si="2"/>
      </c>
      <c r="N40" s="629"/>
      <c r="O40" s="667">
        <f t="shared" si="3"/>
      </c>
      <c r="P40" s="668">
        <f t="shared" si="4"/>
        <v>6</v>
      </c>
      <c r="Q40" s="669" t="str">
        <f t="shared" si="5"/>
        <v>--</v>
      </c>
      <c r="R40" s="657" t="str">
        <f t="shared" si="6"/>
        <v>--</v>
      </c>
      <c r="S40" s="670" t="str">
        <f t="shared" si="7"/>
        <v>--</v>
      </c>
      <c r="T40" s="671" t="str">
        <f t="shared" si="8"/>
        <v>--</v>
      </c>
      <c r="U40" s="667">
        <f t="shared" si="10"/>
      </c>
      <c r="V40" s="92">
        <f t="shared" si="9"/>
      </c>
      <c r="W40" s="12"/>
    </row>
    <row r="41" spans="2:23" s="11" customFormat="1" ht="16.5" customHeight="1" thickBot="1">
      <c r="B41" s="41"/>
      <c r="C41" s="623"/>
      <c r="D41" s="623"/>
      <c r="E41" s="623"/>
      <c r="F41" s="625"/>
      <c r="G41" s="624"/>
      <c r="H41" s="625"/>
      <c r="I41" s="342"/>
      <c r="J41" s="628"/>
      <c r="K41" s="628"/>
      <c r="L41" s="93"/>
      <c r="M41" s="93"/>
      <c r="N41" s="628"/>
      <c r="O41" s="470"/>
      <c r="P41" s="630"/>
      <c r="Q41" s="631"/>
      <c r="R41" s="479"/>
      <c r="S41" s="632"/>
      <c r="T41" s="633"/>
      <c r="U41" s="470"/>
      <c r="V41" s="225"/>
      <c r="W41" s="12"/>
    </row>
    <row r="42" spans="2:23" s="11" customFormat="1" ht="16.5" customHeight="1" thickBot="1" thickTop="1">
      <c r="B42" s="41"/>
      <c r="C42" s="758" t="s">
        <v>160</v>
      </c>
      <c r="D42" s="757" t="s">
        <v>161</v>
      </c>
      <c r="E42" s="646"/>
      <c r="F42" s="233"/>
      <c r="G42"/>
      <c r="I42" s="9"/>
      <c r="J42" s="9"/>
      <c r="K42" s="9"/>
      <c r="L42" s="9"/>
      <c r="M42" s="9"/>
      <c r="N42" s="9"/>
      <c r="O42" s="9"/>
      <c r="P42" s="9"/>
      <c r="Q42" s="345">
        <f>SUM(Q20:Q41)</f>
        <v>350.0658</v>
      </c>
      <c r="R42" s="351">
        <f>SUM(R20:R41)</f>
        <v>0</v>
      </c>
      <c r="S42" s="352">
        <f>SUM(S20:S41)</f>
        <v>0</v>
      </c>
      <c r="T42" s="363">
        <f>SUM(T20:T41)</f>
        <v>0</v>
      </c>
      <c r="V42" s="248">
        <f>ROUND(SUM(V20:V41),2)</f>
        <v>350.07</v>
      </c>
      <c r="W42" s="212"/>
    </row>
    <row r="43" spans="2:23" s="251" customFormat="1" ht="9.75" thickTop="1">
      <c r="B43" s="250"/>
      <c r="C43" s="249"/>
      <c r="D43" s="249"/>
      <c r="E43" s="249"/>
      <c r="F43" s="235"/>
      <c r="G43" s="247"/>
      <c r="I43" s="249"/>
      <c r="J43" s="249"/>
      <c r="K43" s="249"/>
      <c r="L43" s="249"/>
      <c r="M43" s="249"/>
      <c r="N43" s="249"/>
      <c r="O43" s="249"/>
      <c r="P43" s="249"/>
      <c r="Q43" s="262"/>
      <c r="R43" s="262"/>
      <c r="S43" s="262"/>
      <c r="T43" s="262"/>
      <c r="V43" s="254"/>
      <c r="W43" s="256"/>
    </row>
    <row r="44" spans="2:23" s="11" customFormat="1" ht="16.5" customHeight="1" thickBo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7"/>
    </row>
    <row r="45" spans="6:25" ht="16.5" customHeight="1" thickTop="1">
      <c r="F45" s="4"/>
      <c r="G45" s="4"/>
      <c r="H45" s="4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6:25" ht="16.5" customHeight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X152" s="5"/>
      <c r="Y152" s="5"/>
    </row>
    <row r="153" spans="6:8" ht="16.5" customHeight="1">
      <c r="F153" s="5"/>
      <c r="G153" s="5"/>
      <c r="H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Y140"/>
  <sheetViews>
    <sheetView zoomScale="70" zoomScaleNormal="70" workbookViewId="0" topLeftCell="A1">
      <selection activeCell="F12" sqref="F1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20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5" customFormat="1" ht="26.25">
      <c r="W1" s="369"/>
    </row>
    <row r="2" spans="2:23" s="115" customFormat="1" ht="26.25">
      <c r="B2" s="116" t="str">
        <f>+'TOT-1110'!B2</f>
        <v>ANEXO V al Memorandum D.T.E.E.  N°    271 / 2012</v>
      </c>
      <c r="C2" s="117"/>
      <c r="D2" s="117"/>
      <c r="E2" s="117"/>
      <c r="F2" s="117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="11" customFormat="1" ht="12.75"/>
    <row r="4" spans="1:4" s="118" customFormat="1" ht="11.25">
      <c r="A4" s="649" t="s">
        <v>16</v>
      </c>
      <c r="C4" s="648"/>
      <c r="D4" s="648"/>
    </row>
    <row r="5" spans="1:4" s="118" customFormat="1" ht="11.25">
      <c r="A5" s="649" t="s">
        <v>131</v>
      </c>
      <c r="C5" s="648"/>
      <c r="D5" s="648"/>
    </row>
    <row r="6" s="11" customFormat="1" ht="12.75"/>
    <row r="7" s="11" customFormat="1" ht="13.5" thickBot="1"/>
    <row r="8" spans="2:23" s="11" customFormat="1" ht="13.5" thickTop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 spans="2:23" s="120" customFormat="1" ht="20.25">
      <c r="B9" s="119"/>
      <c r="C9" s="21"/>
      <c r="D9" s="21"/>
      <c r="E9" s="21"/>
      <c r="F9" s="21" t="s">
        <v>37</v>
      </c>
      <c r="G9" s="80"/>
      <c r="H9" s="141"/>
      <c r="I9" s="140"/>
      <c r="J9" s="140"/>
      <c r="K9" s="140"/>
      <c r="L9" s="140"/>
      <c r="M9" s="140"/>
      <c r="N9" s="140"/>
      <c r="O9" s="141"/>
      <c r="P9" s="141"/>
      <c r="Q9" s="141"/>
      <c r="R9" s="141"/>
      <c r="S9" s="141"/>
      <c r="T9" s="141"/>
      <c r="U9" s="141"/>
      <c r="V9" s="141"/>
      <c r="W9" s="169"/>
    </row>
    <row r="10" spans="2:23" s="11" customFormat="1" ht="12.75">
      <c r="B10" s="4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</row>
    <row r="11" spans="2:23" s="120" customFormat="1" ht="20.25">
      <c r="B11" s="119"/>
      <c r="F11" s="155" t="s">
        <v>171</v>
      </c>
      <c r="H11" s="62"/>
      <c r="I11" s="122"/>
      <c r="J11" s="122"/>
      <c r="K11" s="122"/>
      <c r="L11" s="122"/>
      <c r="M11" s="122"/>
      <c r="N11" s="122"/>
      <c r="O11" s="122"/>
      <c r="P11" s="122"/>
      <c r="Q11" s="42"/>
      <c r="R11" s="42"/>
      <c r="S11" s="42"/>
      <c r="T11" s="42"/>
      <c r="U11" s="42"/>
      <c r="V11" s="42"/>
      <c r="W11" s="121"/>
    </row>
    <row r="12" spans="2:23" s="11" customFormat="1" ht="16.5" customHeight="1">
      <c r="B12" s="41"/>
      <c r="C12" s="9"/>
      <c r="D12" s="9"/>
      <c r="E12" s="9"/>
      <c r="F12" s="132"/>
      <c r="H12" s="142"/>
      <c r="I12" s="128"/>
      <c r="J12" s="128"/>
      <c r="K12" s="128"/>
      <c r="L12" s="128"/>
      <c r="M12" s="128"/>
      <c r="N12" s="128"/>
      <c r="O12" s="128"/>
      <c r="P12" s="128"/>
      <c r="Q12" s="9"/>
      <c r="R12" s="9"/>
      <c r="S12" s="9"/>
      <c r="T12" s="9"/>
      <c r="U12" s="9"/>
      <c r="V12" s="9"/>
      <c r="W12" s="12"/>
    </row>
    <row r="13" spans="2:23" s="127" customFormat="1" ht="16.5" customHeight="1">
      <c r="B13" s="95" t="str">
        <f>+'TOT-1110'!B14</f>
        <v>Desde el 01 al 30 de noviembre de 2010</v>
      </c>
      <c r="C13" s="123"/>
      <c r="D13" s="123"/>
      <c r="E13" s="123"/>
      <c r="F13" s="125"/>
      <c r="G13" s="125"/>
      <c r="H13" s="125"/>
      <c r="I13" s="125"/>
      <c r="J13" s="94"/>
      <c r="K13" s="125"/>
      <c r="L13" s="125"/>
      <c r="M13" s="125"/>
      <c r="N13" s="125"/>
      <c r="O13" s="125"/>
      <c r="P13" s="125"/>
      <c r="Q13" s="123"/>
      <c r="R13" s="123"/>
      <c r="S13" s="123"/>
      <c r="T13" s="123"/>
      <c r="U13" s="123"/>
      <c r="V13" s="123"/>
      <c r="W13" s="126"/>
    </row>
    <row r="14" spans="2:23" s="11" customFormat="1" ht="16.5" customHeight="1" thickBot="1">
      <c r="B14" s="4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41"/>
      <c r="C15" s="9"/>
      <c r="D15" s="9"/>
      <c r="E15" s="9"/>
      <c r="F15" s="200" t="s">
        <v>83</v>
      </c>
      <c r="G15" s="216"/>
      <c r="H15" s="217"/>
      <c r="I15" s="218"/>
      <c r="J15" s="364">
        <v>0.243</v>
      </c>
      <c r="K15" s="9"/>
      <c r="L15" s="9"/>
      <c r="M15" s="9"/>
      <c r="N15" s="9"/>
      <c r="P15" s="9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41"/>
      <c r="C16" s="9"/>
      <c r="D16" s="9"/>
      <c r="E16" s="9"/>
      <c r="F16" s="219" t="s">
        <v>65</v>
      </c>
      <c r="G16" s="220"/>
      <c r="H16" s="220"/>
      <c r="I16" s="218"/>
      <c r="J16" s="221">
        <f>6*'TOT-1110'!B13</f>
        <v>6</v>
      </c>
      <c r="K16" s="230"/>
      <c r="L16" s="9"/>
      <c r="M16" s="9"/>
      <c r="N16" s="9"/>
      <c r="P16" s="9"/>
      <c r="Q16" s="9"/>
      <c r="R16" s="9"/>
      <c r="S16" s="197"/>
      <c r="T16" s="197"/>
      <c r="U16" s="197"/>
      <c r="V16" s="197"/>
      <c r="W16" s="12"/>
    </row>
    <row r="17" spans="2:23" s="11" customFormat="1" ht="16.5" customHeight="1" thickTop="1">
      <c r="B17" s="4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</row>
    <row r="18" spans="2:23" s="676" customFormat="1" ht="16.5" customHeight="1" thickBot="1">
      <c r="B18" s="673"/>
      <c r="C18" s="674">
        <v>3</v>
      </c>
      <c r="D18" s="674">
        <v>4</v>
      </c>
      <c r="E18" s="674">
        <v>5</v>
      </c>
      <c r="F18" s="674">
        <v>6</v>
      </c>
      <c r="G18" s="674">
        <v>7</v>
      </c>
      <c r="H18" s="674">
        <v>8</v>
      </c>
      <c r="I18" s="674">
        <v>9</v>
      </c>
      <c r="J18" s="674">
        <v>10</v>
      </c>
      <c r="K18" s="674">
        <v>11</v>
      </c>
      <c r="L18" s="674">
        <v>12</v>
      </c>
      <c r="M18" s="674">
        <v>13</v>
      </c>
      <c r="N18" s="674">
        <v>14</v>
      </c>
      <c r="O18" s="674">
        <v>15</v>
      </c>
      <c r="P18" s="674">
        <v>16</v>
      </c>
      <c r="Q18" s="674">
        <v>17</v>
      </c>
      <c r="R18" s="674">
        <v>18</v>
      </c>
      <c r="S18" s="674">
        <v>19</v>
      </c>
      <c r="T18" s="674">
        <v>20</v>
      </c>
      <c r="U18" s="674">
        <v>21</v>
      </c>
      <c r="V18" s="674">
        <v>22</v>
      </c>
      <c r="W18" s="675"/>
    </row>
    <row r="19" spans="2:23" s="114" customFormat="1" ht="33.75" customHeight="1" thickBot="1" thickTop="1">
      <c r="B19" s="106"/>
      <c r="C19" s="107" t="s">
        <v>43</v>
      </c>
      <c r="D19" s="107" t="s">
        <v>130</v>
      </c>
      <c r="E19" s="107" t="s">
        <v>129</v>
      </c>
      <c r="F19" s="109" t="s">
        <v>66</v>
      </c>
      <c r="G19" s="108" t="s">
        <v>14</v>
      </c>
      <c r="H19" s="222" t="s">
        <v>84</v>
      </c>
      <c r="I19" s="257" t="s">
        <v>46</v>
      </c>
      <c r="J19" s="108" t="s">
        <v>47</v>
      </c>
      <c r="K19" s="108" t="s">
        <v>48</v>
      </c>
      <c r="L19" s="109" t="s">
        <v>70</v>
      </c>
      <c r="M19" s="109" t="s">
        <v>71</v>
      </c>
      <c r="N19" s="111" t="s">
        <v>51</v>
      </c>
      <c r="O19" s="108" t="s">
        <v>85</v>
      </c>
      <c r="P19" s="312" t="s">
        <v>86</v>
      </c>
      <c r="Q19" s="314" t="s">
        <v>53</v>
      </c>
      <c r="R19" s="353" t="s">
        <v>87</v>
      </c>
      <c r="S19" s="295"/>
      <c r="T19" s="299" t="s">
        <v>57</v>
      </c>
      <c r="U19" s="112" t="s">
        <v>59</v>
      </c>
      <c r="V19" s="223" t="s">
        <v>60</v>
      </c>
      <c r="W19" s="113"/>
    </row>
    <row r="20" spans="2:23" s="11" customFormat="1" ht="16.5" customHeight="1" thickTop="1">
      <c r="B20" s="41"/>
      <c r="C20" s="213"/>
      <c r="D20" s="644"/>
      <c r="E20" s="644"/>
      <c r="F20" s="644"/>
      <c r="G20" s="214"/>
      <c r="H20" s="214"/>
      <c r="I20" s="339"/>
      <c r="J20" s="215"/>
      <c r="K20" s="215"/>
      <c r="L20" s="213"/>
      <c r="M20" s="213"/>
      <c r="N20" s="214"/>
      <c r="O20" s="168"/>
      <c r="P20" s="346"/>
      <c r="Q20" s="347"/>
      <c r="R20" s="349"/>
      <c r="S20" s="354"/>
      <c r="T20" s="361"/>
      <c r="U20" s="356"/>
      <c r="V20" s="348"/>
      <c r="W20" s="12"/>
    </row>
    <row r="21" spans="2:23" s="171" customFormat="1" ht="16.5" customHeight="1">
      <c r="B21" s="768"/>
      <c r="C21" s="613">
        <v>15</v>
      </c>
      <c r="D21" s="613">
        <v>228809</v>
      </c>
      <c r="E21" s="613">
        <v>4401</v>
      </c>
      <c r="F21" s="613" t="s">
        <v>13</v>
      </c>
      <c r="G21" s="598" t="s">
        <v>145</v>
      </c>
      <c r="H21" s="613">
        <v>6</v>
      </c>
      <c r="I21" s="769">
        <f>H21*$J$15</f>
        <v>1.458</v>
      </c>
      <c r="J21" s="770">
        <v>40506.33611111111</v>
      </c>
      <c r="K21" s="771">
        <v>40506.447222222225</v>
      </c>
      <c r="L21" s="91">
        <f>IF(F21="","",(K21-J21)*24)</f>
        <v>2.6666666668024845</v>
      </c>
      <c r="M21" s="59">
        <f>IF(F21="","",ROUND((K21-J21)*24*60,0))</f>
        <v>160</v>
      </c>
      <c r="N21" s="617" t="s">
        <v>138</v>
      </c>
      <c r="O21" s="23" t="str">
        <f>IF(F21="","",IF(N21="P","--","NO"))</f>
        <v>--</v>
      </c>
      <c r="P21" s="772">
        <f>IF(OR(N21="P",N21="RP"),$J$16*0.1,$J$16)</f>
        <v>0.6000000000000001</v>
      </c>
      <c r="Q21" s="773">
        <f>IF(N21="P",I21*P21*ROUND(M21/60,2),"--")</f>
        <v>2.335716</v>
      </c>
      <c r="R21" s="774" t="str">
        <f>IF(AND(N21="F",O21="NO"),I21*P21,"--")</f>
        <v>--</v>
      </c>
      <c r="S21" s="775" t="str">
        <f>IF(N21="F",I21*P21*ROUND(M21/60,2),"--")</f>
        <v>--</v>
      </c>
      <c r="T21" s="776" t="str">
        <f>IF(N21="RF",I21*P21*ROUND(M21/60,2),"--")</f>
        <v>--</v>
      </c>
      <c r="U21" s="23" t="s">
        <v>137</v>
      </c>
      <c r="V21" s="92">
        <f>IF(F21="","",SUM(Q21:T21)*IF(U21="SI",1,2))</f>
        <v>2.335716</v>
      </c>
      <c r="W21" s="211"/>
    </row>
    <row r="22" spans="2:23" s="11" customFormat="1" ht="16.5" customHeight="1">
      <c r="B22" s="41"/>
      <c r="C22" s="463"/>
      <c r="D22" s="463"/>
      <c r="E22" s="463"/>
      <c r="F22" s="622"/>
      <c r="G22" s="621"/>
      <c r="H22" s="622"/>
      <c r="I22" s="341">
        <f>H22*$J$15</f>
        <v>0</v>
      </c>
      <c r="J22" s="626"/>
      <c r="K22" s="627"/>
      <c r="L22" s="91">
        <f>IF(F22="","",(K22-J22)*24)</f>
      </c>
      <c r="M22" s="59">
        <f>IF(F22="","",ROUND((K22-J22)*24*60,0))</f>
      </c>
      <c r="N22" s="629"/>
      <c r="O22" s="667">
        <f>IF(F22="","",IF(N22="P","--","NO"))</f>
      </c>
      <c r="P22" s="668">
        <f>IF(OR(N22="P",N22="RP"),$J$16*0.1,$J$16)</f>
        <v>6</v>
      </c>
      <c r="Q22" s="669" t="str">
        <f>IF(N22="P",I22*P22*ROUND(M22/60,2),"--")</f>
        <v>--</v>
      </c>
      <c r="R22" s="657" t="str">
        <f>IF(AND(N22="F",O22="NO"),I22*P22,"--")</f>
        <v>--</v>
      </c>
      <c r="S22" s="670" t="str">
        <f>IF(N22="F",I22*P22*ROUND(M22/60,2),"--")</f>
        <v>--</v>
      </c>
      <c r="T22" s="671" t="str">
        <f>IF(N22="RF",I22*P22*ROUND(M22/60,2),"--")</f>
        <v>--</v>
      </c>
      <c r="U22" s="667">
        <f>IF(F22="","","SI")</f>
      </c>
      <c r="V22" s="92">
        <f>IF(F22="","",SUM(Q22:T22)*IF(U22="SI",1,2))</f>
      </c>
      <c r="W22" s="12"/>
    </row>
    <row r="23" spans="2:23" s="11" customFormat="1" ht="16.5" customHeight="1">
      <c r="B23" s="41"/>
      <c r="C23" s="463"/>
      <c r="D23" s="463"/>
      <c r="E23" s="463"/>
      <c r="F23" s="622"/>
      <c r="G23" s="621"/>
      <c r="H23" s="622"/>
      <c r="I23" s="341">
        <f>H23*$J$15</f>
        <v>0</v>
      </c>
      <c r="J23" s="626"/>
      <c r="K23" s="627"/>
      <c r="L23" s="91">
        <f>IF(F23="","",(K23-J23)*24)</f>
      </c>
      <c r="M23" s="59">
        <f>IF(F23="","",ROUND((K23-J23)*24*60,0))</f>
      </c>
      <c r="N23" s="629"/>
      <c r="O23" s="667">
        <f>IF(F23="","",IF(N23="P","--","NO"))</f>
      </c>
      <c r="P23" s="668">
        <f>IF(OR(N23="P",N23="RP"),$J$16*0.1,$J$16)</f>
        <v>6</v>
      </c>
      <c r="Q23" s="669" t="str">
        <f>IF(N23="P",I23*P23*ROUND(M23/60,2),"--")</f>
        <v>--</v>
      </c>
      <c r="R23" s="657" t="str">
        <f>IF(AND(N23="F",O23="NO"),I23*P23,"--")</f>
        <v>--</v>
      </c>
      <c r="S23" s="670" t="str">
        <f>IF(N23="F",I23*P23*ROUND(M23/60,2),"--")</f>
        <v>--</v>
      </c>
      <c r="T23" s="671" t="str">
        <f>IF(N23="RF",I23*P23*ROUND(M23/60,2),"--")</f>
        <v>--</v>
      </c>
      <c r="U23" s="667">
        <f>IF(F23="","","SI")</f>
      </c>
      <c r="V23" s="92">
        <f>IF(F23="","",SUM(Q23:T23)*IF(U23="SI",1,2))</f>
      </c>
      <c r="W23" s="12"/>
    </row>
    <row r="24" spans="2:23" s="11" customFormat="1" ht="16.5" customHeight="1" thickBot="1">
      <c r="B24" s="41"/>
      <c r="C24" s="623"/>
      <c r="D24" s="623"/>
      <c r="E24" s="623"/>
      <c r="F24" s="625"/>
      <c r="G24" s="624"/>
      <c r="H24" s="625"/>
      <c r="I24" s="342"/>
      <c r="J24" s="628"/>
      <c r="K24" s="628"/>
      <c r="L24" s="93"/>
      <c r="M24" s="93"/>
      <c r="N24" s="628"/>
      <c r="O24" s="470"/>
      <c r="P24" s="630"/>
      <c r="Q24" s="631"/>
      <c r="R24" s="479"/>
      <c r="S24" s="632"/>
      <c r="T24" s="633"/>
      <c r="U24" s="470"/>
      <c r="V24" s="225"/>
      <c r="W24" s="12"/>
    </row>
    <row r="25" spans="2:23" s="11" customFormat="1" ht="16.5" customHeight="1" thickBot="1" thickTop="1">
      <c r="B25" s="41"/>
      <c r="C25" s="758" t="s">
        <v>160</v>
      </c>
      <c r="D25" s="757" t="s">
        <v>161</v>
      </c>
      <c r="E25" s="646"/>
      <c r="F25" s="233"/>
      <c r="G25"/>
      <c r="I25" s="9"/>
      <c r="J25" s="9"/>
      <c r="K25" s="9"/>
      <c r="L25" s="9"/>
      <c r="M25" s="9"/>
      <c r="N25" s="9"/>
      <c r="O25" s="9"/>
      <c r="P25" s="9"/>
      <c r="Q25" s="345">
        <f>SUM(Q20:Q24)</f>
        <v>2.335716</v>
      </c>
      <c r="R25" s="351">
        <f>SUM(R20:R24)</f>
        <v>0</v>
      </c>
      <c r="S25" s="352">
        <f>SUM(S20:S24)</f>
        <v>0</v>
      </c>
      <c r="T25" s="363">
        <f>SUM(T20:T24)</f>
        <v>0</v>
      </c>
      <c r="V25" s="248">
        <f>ROUND(SUM(V20:V24),2)</f>
        <v>2.34</v>
      </c>
      <c r="W25" s="212"/>
    </row>
    <row r="26" spans="2:23" s="251" customFormat="1" ht="9.75" thickTop="1">
      <c r="B26" s="250"/>
      <c r="C26" s="249"/>
      <c r="D26" s="249"/>
      <c r="E26" s="249"/>
      <c r="F26" s="235"/>
      <c r="G26" s="247"/>
      <c r="I26" s="249"/>
      <c r="J26" s="249"/>
      <c r="K26" s="249"/>
      <c r="L26" s="249"/>
      <c r="M26" s="249"/>
      <c r="N26" s="249"/>
      <c r="O26" s="249"/>
      <c r="P26" s="249"/>
      <c r="Q26" s="262"/>
      <c r="R26" s="262"/>
      <c r="S26" s="262"/>
      <c r="T26" s="262"/>
      <c r="V26" s="254"/>
      <c r="W26" s="256"/>
    </row>
    <row r="27" spans="2:23" s="11" customFormat="1" ht="16.5" customHeight="1" thickBo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7"/>
    </row>
    <row r="28" spans="6:25" ht="16.5" customHeight="1" thickTop="1">
      <c r="F28" s="4"/>
      <c r="G28" s="4"/>
      <c r="H28" s="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6:25" ht="16.5" customHeight="1"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6:25" ht="16.5" customHeight="1">
      <c r="F30" s="4"/>
      <c r="G30" s="4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6:25" ht="16.5" customHeight="1">
      <c r="F31" s="4"/>
      <c r="G31" s="4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6:25" ht="16.5" customHeight="1">
      <c r="F32" s="4"/>
      <c r="G32" s="4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6:25" ht="16.5" customHeight="1">
      <c r="F33" s="4"/>
      <c r="G33" s="4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6:25" ht="16.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6:25" ht="16.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6:25" ht="16.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6:25" ht="16.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6:25" ht="16.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6:25" ht="16.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6:25" ht="16.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6:25" ht="16.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6:25" ht="16.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6:25" ht="16.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6:25" ht="16.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6:25" ht="16.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6:25" ht="16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X135" s="5"/>
      <c r="Y135" s="5"/>
    </row>
    <row r="136" spans="6:8" ht="16.5" customHeight="1">
      <c r="F136" s="5"/>
      <c r="G136" s="5"/>
      <c r="H136" s="5"/>
    </row>
    <row r="137" spans="6:8" ht="16.5" customHeight="1">
      <c r="F137" s="5"/>
      <c r="G137" s="5"/>
      <c r="H137" s="5"/>
    </row>
    <row r="138" spans="6:8" ht="16.5" customHeight="1">
      <c r="F138" s="5"/>
      <c r="G138" s="5"/>
      <c r="H138" s="5"/>
    </row>
    <row r="139" spans="6:8" ht="16.5" customHeight="1">
      <c r="F139" s="5"/>
      <c r="G139" s="5"/>
      <c r="H139" s="5"/>
    </row>
    <row r="140" spans="6:8" ht="16.5" customHeight="1">
      <c r="F140" s="5"/>
      <c r="G140" s="5"/>
      <c r="H140" s="5"/>
    </row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72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1"/>
  <sheetViews>
    <sheetView zoomScale="55" zoomScaleNormal="55" workbookViewId="0" topLeftCell="A1">
      <selection activeCell="L26" sqref="L26"/>
    </sheetView>
  </sheetViews>
  <sheetFormatPr defaultColWidth="13.421875" defaultRowHeight="12.75"/>
  <cols>
    <col min="1" max="1" width="20.57421875" style="0" customWidth="1"/>
    <col min="2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8.8515625" style="0" customWidth="1"/>
    <col min="8" max="8" width="24.8515625" style="0" bestFit="1" customWidth="1"/>
    <col min="9" max="9" width="19.140625" style="0" customWidth="1"/>
    <col min="10" max="10" width="15.7109375" style="0" customWidth="1"/>
    <col min="11" max="11" width="8.421875" style="0" customWidth="1"/>
    <col min="12" max="12" width="35.421875" style="0" customWidth="1"/>
    <col min="13" max="13" width="9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15" customFormat="1" ht="39.75" customHeight="1">
      <c r="P1" s="369"/>
    </row>
    <row r="2" spans="1:16" s="115" customFormat="1" ht="26.25">
      <c r="A2" s="172"/>
      <c r="B2" s="643" t="str">
        <f>'TOT-1110'!B2</f>
        <v>ANEXO V al Memorandum D.T.E.E.  N°    271 / 2012</v>
      </c>
      <c r="C2" s="643"/>
      <c r="D2" s="64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4" s="118" customFormat="1" ht="12.75">
      <c r="A3" s="649" t="s">
        <v>132</v>
      </c>
      <c r="B3" s="11"/>
      <c r="C3" s="11"/>
      <c r="D3" s="11"/>
    </row>
    <row r="4" spans="1:4" s="118" customFormat="1" ht="11.25">
      <c r="A4" s="649" t="s">
        <v>165</v>
      </c>
      <c r="B4" s="210"/>
      <c r="C4" s="210"/>
      <c r="D4" s="210"/>
    </row>
    <row r="5" spans="1:4" s="11" customFormat="1" ht="13.5" thickBot="1">
      <c r="A5" s="649"/>
      <c r="B5" s="210"/>
      <c r="C5" s="210"/>
      <c r="D5" s="210"/>
    </row>
    <row r="6" spans="1:16" s="11" customFormat="1" ht="13.5" thickTop="1">
      <c r="A6" s="9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s="120" customFormat="1" ht="20.25">
      <c r="A7" s="42"/>
      <c r="B7" s="119"/>
      <c r="C7" s="42"/>
      <c r="D7" s="21" t="s">
        <v>37</v>
      </c>
      <c r="G7" s="42"/>
      <c r="H7" s="42"/>
      <c r="I7" s="42"/>
      <c r="J7" s="42"/>
      <c r="K7" s="42"/>
      <c r="L7" s="42"/>
      <c r="M7" s="42"/>
      <c r="N7" s="42"/>
      <c r="O7" s="42"/>
      <c r="P7" s="121"/>
    </row>
    <row r="8" spans="1:16" ht="15">
      <c r="A8" s="1"/>
      <c r="B8" s="263"/>
      <c r="C8" s="69"/>
      <c r="D8" s="370"/>
      <c r="E8" s="69"/>
      <c r="F8" s="67"/>
      <c r="G8" s="69"/>
      <c r="H8" s="69"/>
      <c r="I8" s="69"/>
      <c r="J8" s="69"/>
      <c r="K8" s="69"/>
      <c r="L8" s="69"/>
      <c r="M8" s="69"/>
      <c r="N8" s="69"/>
      <c r="O8" s="69"/>
      <c r="P8" s="267"/>
    </row>
    <row r="9" spans="1:19" s="120" customFormat="1" ht="20.25">
      <c r="A9" s="42"/>
      <c r="B9" s="371"/>
      <c r="C9"/>
      <c r="D9" s="22" t="s">
        <v>127</v>
      </c>
      <c r="E9" s="372"/>
      <c r="F9" s="372"/>
      <c r="G9" s="372"/>
      <c r="H9" s="373"/>
      <c r="I9" s="372"/>
      <c r="J9" s="372"/>
      <c r="K9" s="372"/>
      <c r="L9" s="372"/>
      <c r="M9" s="372"/>
      <c r="N9" s="372"/>
      <c r="O9" s="372"/>
      <c r="P9" s="374"/>
      <c r="Q9" s="226"/>
      <c r="R9" s="174"/>
      <c r="S9" s="174"/>
    </row>
    <row r="10" spans="1:19" s="11" customFormat="1" ht="12.75">
      <c r="A10" s="9"/>
      <c r="B10" s="41"/>
      <c r="C10" s="9"/>
      <c r="D10" s="63"/>
      <c r="E10" s="28"/>
      <c r="F10" s="28"/>
      <c r="G10" s="28"/>
      <c r="H10" s="171"/>
      <c r="I10" s="28"/>
      <c r="J10" s="28"/>
      <c r="K10" s="28"/>
      <c r="L10" s="28"/>
      <c r="M10" s="28"/>
      <c r="N10" s="28"/>
      <c r="O10" s="28"/>
      <c r="P10" s="35"/>
      <c r="Q10" s="28"/>
      <c r="R10" s="28"/>
      <c r="S10" s="173"/>
    </row>
    <row r="11" spans="1:19" s="127" customFormat="1" ht="19.5">
      <c r="A11" s="44"/>
      <c r="B11" s="229" t="str">
        <f>+'TOT-1110'!B14</f>
        <v>Desde el 01 al 30 de noviembre de 2010</v>
      </c>
      <c r="C11" s="149"/>
      <c r="D11" s="183"/>
      <c r="E11" s="183"/>
      <c r="F11" s="183"/>
      <c r="G11" s="183"/>
      <c r="H11" s="183"/>
      <c r="I11" s="149"/>
      <c r="J11" s="183"/>
      <c r="K11" s="183"/>
      <c r="L11" s="183"/>
      <c r="M11" s="183"/>
      <c r="N11" s="183"/>
      <c r="O11" s="183"/>
      <c r="P11" s="375"/>
      <c r="Q11" s="376"/>
      <c r="R11" s="376"/>
      <c r="S11" s="376"/>
    </row>
    <row r="12" spans="1:19" ht="15">
      <c r="A12" s="1"/>
      <c r="B12" s="263"/>
      <c r="C12" s="69"/>
      <c r="D12" s="65"/>
      <c r="E12" s="65"/>
      <c r="F12" s="65"/>
      <c r="G12" s="65"/>
      <c r="H12" s="377"/>
      <c r="I12" s="69"/>
      <c r="J12" s="65"/>
      <c r="K12" s="65"/>
      <c r="L12" s="65"/>
      <c r="M12" s="65"/>
      <c r="N12" s="65"/>
      <c r="O12" s="65"/>
      <c r="P12" s="66"/>
      <c r="Q12" s="6"/>
      <c r="R12" s="6"/>
      <c r="S12" s="378"/>
    </row>
    <row r="13" spans="1:19" ht="18" customHeight="1">
      <c r="A13" s="1"/>
      <c r="B13" s="263"/>
      <c r="C13" s="69"/>
      <c r="D13" s="65"/>
      <c r="E13" s="65"/>
      <c r="F13" s="65"/>
      <c r="G13" s="65"/>
      <c r="H13" s="76"/>
      <c r="I13" s="76"/>
      <c r="J13" s="65"/>
      <c r="K13" s="65"/>
      <c r="P13" s="66"/>
      <c r="Q13" s="6"/>
      <c r="R13" s="6"/>
      <c r="S13" s="378"/>
    </row>
    <row r="14" spans="1:19" ht="18" customHeight="1">
      <c r="A14" s="1"/>
      <c r="B14" s="263"/>
      <c r="C14" s="69"/>
      <c r="D14" s="64"/>
      <c r="E14" s="379"/>
      <c r="F14" s="65"/>
      <c r="G14" s="65"/>
      <c r="H14" s="76"/>
      <c r="I14" s="76"/>
      <c r="J14" s="65"/>
      <c r="K14" s="65"/>
      <c r="P14" s="66"/>
      <c r="Q14" s="6"/>
      <c r="R14" s="6"/>
      <c r="S14" s="378"/>
    </row>
    <row r="15" spans="1:16" ht="16.5" thickBot="1">
      <c r="A15" s="1"/>
      <c r="B15" s="263"/>
      <c r="C15" s="380" t="s">
        <v>88</v>
      </c>
      <c r="D15" s="67"/>
      <c r="E15" s="264"/>
      <c r="F15" s="265"/>
      <c r="G15" s="69"/>
      <c r="H15" s="69"/>
      <c r="I15" s="69"/>
      <c r="J15" s="68"/>
      <c r="K15" s="68"/>
      <c r="L15" s="266"/>
      <c r="M15" s="69"/>
      <c r="N15" s="69"/>
      <c r="O15" s="69"/>
      <c r="P15" s="267"/>
    </row>
    <row r="16" spans="1:16" ht="16.5" thickBot="1">
      <c r="A16" s="1"/>
      <c r="B16" s="263"/>
      <c r="C16" s="268"/>
      <c r="D16" s="67"/>
      <c r="E16" s="264"/>
      <c r="F16" s="265"/>
      <c r="G16" s="69"/>
      <c r="H16" s="69"/>
      <c r="L16" s="381" t="s">
        <v>78</v>
      </c>
      <c r="M16" s="382">
        <v>3.243</v>
      </c>
      <c r="N16" s="383"/>
      <c r="O16" s="69"/>
      <c r="P16" s="267"/>
    </row>
    <row r="17" spans="1:16" ht="15.75">
      <c r="A17" s="1"/>
      <c r="B17" s="263"/>
      <c r="C17" s="268"/>
      <c r="D17" s="68" t="s">
        <v>89</v>
      </c>
      <c r="E17" s="269">
        <v>720</v>
      </c>
      <c r="F17" s="69" t="s">
        <v>90</v>
      </c>
      <c r="G17" s="65"/>
      <c r="H17" s="384"/>
      <c r="I17" s="385" t="s">
        <v>91</v>
      </c>
      <c r="J17" s="386">
        <v>69.722</v>
      </c>
      <c r="K17" s="365"/>
      <c r="L17" s="387" t="s">
        <v>79</v>
      </c>
      <c r="M17" s="388">
        <v>2.433</v>
      </c>
      <c r="N17" s="389"/>
      <c r="O17" s="69"/>
      <c r="P17" s="267"/>
    </row>
    <row r="18" spans="1:16" ht="16.5" thickBot="1">
      <c r="A18" s="1"/>
      <c r="B18" s="263"/>
      <c r="C18" s="268"/>
      <c r="D18" s="68" t="s">
        <v>92</v>
      </c>
      <c r="E18" s="271">
        <v>0.025</v>
      </c>
      <c r="F18" s="65"/>
      <c r="G18" s="65"/>
      <c r="H18" s="390"/>
      <c r="I18" s="391" t="s">
        <v>93</v>
      </c>
      <c r="J18" s="392">
        <v>0.243</v>
      </c>
      <c r="K18" s="393"/>
      <c r="L18" s="394" t="s">
        <v>80</v>
      </c>
      <c r="M18" s="395">
        <v>2.433</v>
      </c>
      <c r="N18" s="396"/>
      <c r="O18" s="69"/>
      <c r="P18" s="267"/>
    </row>
    <row r="19" spans="1:16" ht="15.75">
      <c r="A19" s="1"/>
      <c r="B19" s="263"/>
      <c r="C19" s="268"/>
      <c r="D19" s="68"/>
      <c r="E19" s="271"/>
      <c r="F19" s="65"/>
      <c r="G19" s="65"/>
      <c r="H19" s="65"/>
      <c r="I19" s="65"/>
      <c r="L19" s="266"/>
      <c r="M19" s="69"/>
      <c r="N19" s="69"/>
      <c r="O19" s="69"/>
      <c r="P19" s="267"/>
    </row>
    <row r="20" spans="1:16" ht="15">
      <c r="A20" s="1"/>
      <c r="B20" s="263"/>
      <c r="C20" s="64" t="s">
        <v>94</v>
      </c>
      <c r="D20" s="71"/>
      <c r="E20" s="264"/>
      <c r="F20" s="265"/>
      <c r="G20" s="69"/>
      <c r="H20" s="69"/>
      <c r="I20" s="69"/>
      <c r="J20" s="68"/>
      <c r="K20" s="68"/>
      <c r="L20" s="266"/>
      <c r="M20" s="69"/>
      <c r="N20" s="69"/>
      <c r="O20" s="69"/>
      <c r="P20" s="267"/>
    </row>
    <row r="21" spans="1:16" ht="15">
      <c r="A21" s="1"/>
      <c r="B21" s="263"/>
      <c r="C21" s="69"/>
      <c r="D21" s="69"/>
      <c r="E21" s="69"/>
      <c r="F21" s="69"/>
      <c r="G21" s="69"/>
      <c r="H21" s="272"/>
      <c r="I21" s="69"/>
      <c r="J21" s="69"/>
      <c r="K21" s="69"/>
      <c r="L21" s="69"/>
      <c r="M21" s="69"/>
      <c r="N21" s="69"/>
      <c r="O21" s="69"/>
      <c r="P21" s="267"/>
    </row>
    <row r="22" spans="1:16" ht="15">
      <c r="A22" s="1"/>
      <c r="B22" s="263"/>
      <c r="C22" s="69"/>
      <c r="D22" s="68" t="s">
        <v>95</v>
      </c>
      <c r="E22" s="69"/>
      <c r="F22" s="272" t="s">
        <v>19</v>
      </c>
      <c r="G22" s="69"/>
      <c r="H22" s="67"/>
      <c r="I22" s="397">
        <f>'TOT-1110'!I20</f>
        <v>0</v>
      </c>
      <c r="J22" s="69"/>
      <c r="K22" s="69"/>
      <c r="L22" s="398"/>
      <c r="M22" s="69"/>
      <c r="N22" s="69"/>
      <c r="O22" s="69"/>
      <c r="P22" s="267"/>
    </row>
    <row r="23" spans="1:16" ht="15">
      <c r="A23" s="1"/>
      <c r="B23" s="263"/>
      <c r="C23" s="69"/>
      <c r="D23" s="69"/>
      <c r="E23" s="69"/>
      <c r="F23" s="272" t="s">
        <v>96</v>
      </c>
      <c r="G23" s="69"/>
      <c r="H23" s="67"/>
      <c r="I23" s="397">
        <f>'TOT-1110'!I25</f>
        <v>0</v>
      </c>
      <c r="J23" s="69"/>
      <c r="K23" s="69"/>
      <c r="L23" s="398"/>
      <c r="M23" s="69"/>
      <c r="N23" s="69"/>
      <c r="O23" s="69"/>
      <c r="P23" s="267"/>
    </row>
    <row r="24" spans="1:16" ht="15">
      <c r="A24" s="1"/>
      <c r="B24" s="263"/>
      <c r="C24" s="69"/>
      <c r="D24" s="69"/>
      <c r="E24" s="69"/>
      <c r="F24" s="272" t="s">
        <v>3</v>
      </c>
      <c r="G24" s="69"/>
      <c r="H24" s="67"/>
      <c r="I24" s="397">
        <f>'TOT-1110'!I28</f>
        <v>3.0655799999999997</v>
      </c>
      <c r="J24" s="69"/>
      <c r="K24" s="69"/>
      <c r="L24" s="398" t="s">
        <v>97</v>
      </c>
      <c r="M24" s="69"/>
      <c r="N24" s="69"/>
      <c r="O24" s="69"/>
      <c r="P24" s="267"/>
    </row>
    <row r="25" spans="1:16" ht="15">
      <c r="A25" s="1"/>
      <c r="B25" s="263"/>
      <c r="C25" s="69"/>
      <c r="D25" s="69"/>
      <c r="E25" s="69"/>
      <c r="F25" s="272" t="s">
        <v>169</v>
      </c>
      <c r="G25" s="69"/>
      <c r="H25" s="67"/>
      <c r="I25" s="399">
        <f>'RE-EDERSA-11 (1)'!V25</f>
        <v>2.34</v>
      </c>
      <c r="J25" s="69"/>
      <c r="K25" s="69"/>
      <c r="L25" s="398" t="s">
        <v>170</v>
      </c>
      <c r="M25" s="69"/>
      <c r="N25" s="69"/>
      <c r="O25" s="69"/>
      <c r="P25" s="267"/>
    </row>
    <row r="26" spans="1:16" ht="15.75" thickBot="1">
      <c r="A26" s="1"/>
      <c r="B26" s="263"/>
      <c r="C26" s="69"/>
      <c r="D26" s="69"/>
      <c r="E26" s="69"/>
      <c r="F26" s="69"/>
      <c r="G26" s="69"/>
      <c r="H26" s="272"/>
      <c r="I26" s="69"/>
      <c r="J26" s="69"/>
      <c r="K26" s="69"/>
      <c r="L26" s="69"/>
      <c r="M26" s="69"/>
      <c r="N26" s="69"/>
      <c r="O26" s="69"/>
      <c r="P26" s="267"/>
    </row>
    <row r="27" spans="2:16" ht="20.25" thickBot="1" thickTop="1">
      <c r="B27" s="263"/>
      <c r="C27" s="75"/>
      <c r="H27" s="400" t="s">
        <v>98</v>
      </c>
      <c r="I27" s="160">
        <f>SUM(I22:I26)</f>
        <v>5.40558</v>
      </c>
      <c r="L27" s="72"/>
      <c r="M27" s="72"/>
      <c r="N27" s="73"/>
      <c r="O27" s="74"/>
      <c r="P27" s="273"/>
    </row>
    <row r="28" spans="2:16" ht="15.75" thickTop="1">
      <c r="B28" s="263"/>
      <c r="C28" s="75"/>
      <c r="D28" s="71"/>
      <c r="E28" s="71"/>
      <c r="F28" s="77"/>
      <c r="G28" s="72"/>
      <c r="H28" s="72"/>
      <c r="I28" s="72"/>
      <c r="J28" s="72"/>
      <c r="K28" s="72"/>
      <c r="L28" s="72"/>
      <c r="M28" s="72"/>
      <c r="N28" s="73"/>
      <c r="O28" s="74"/>
      <c r="P28" s="273"/>
    </row>
    <row r="29" spans="2:16" ht="15">
      <c r="B29" s="263"/>
      <c r="C29" s="64" t="s">
        <v>99</v>
      </c>
      <c r="D29" s="71"/>
      <c r="E29" s="71"/>
      <c r="F29" s="77"/>
      <c r="G29" s="72"/>
      <c r="H29" s="72"/>
      <c r="I29" s="72"/>
      <c r="J29" s="72"/>
      <c r="K29" s="72"/>
      <c r="L29" s="72"/>
      <c r="M29" s="72"/>
      <c r="N29" s="73"/>
      <c r="O29" s="74"/>
      <c r="P29" s="273"/>
    </row>
    <row r="30" spans="2:16" ht="15">
      <c r="B30" s="263"/>
      <c r="C30" s="75"/>
      <c r="D30" s="71"/>
      <c r="E30" s="71"/>
      <c r="F30" s="77"/>
      <c r="G30" s="72"/>
      <c r="H30" s="72"/>
      <c r="I30" s="72"/>
      <c r="J30" s="72"/>
      <c r="K30" s="72"/>
      <c r="L30" s="72"/>
      <c r="M30" s="72"/>
      <c r="N30" s="73"/>
      <c r="O30" s="74"/>
      <c r="P30" s="273"/>
    </row>
    <row r="31" spans="2:16" ht="15.75">
      <c r="B31" s="263"/>
      <c r="C31" s="75"/>
      <c r="D31" s="401" t="s">
        <v>100</v>
      </c>
      <c r="E31" s="402" t="s">
        <v>15</v>
      </c>
      <c r="F31" s="403" t="s">
        <v>101</v>
      </c>
      <c r="G31" s="404"/>
      <c r="H31" s="638" t="s">
        <v>125</v>
      </c>
      <c r="I31" s="637" t="s">
        <v>124</v>
      </c>
      <c r="J31" s="636"/>
      <c r="K31" s="427"/>
      <c r="L31" s="405" t="s">
        <v>2</v>
      </c>
      <c r="N31" s="73"/>
      <c r="O31" s="74"/>
      <c r="P31" s="273"/>
    </row>
    <row r="32" spans="2:16" ht="15.75">
      <c r="B32" s="263"/>
      <c r="C32" s="75"/>
      <c r="D32" s="406" t="s">
        <v>4</v>
      </c>
      <c r="E32" s="407">
        <v>132</v>
      </c>
      <c r="F32" s="408">
        <v>31</v>
      </c>
      <c r="G32" s="409"/>
      <c r="H32" s="410">
        <f>F32*$J$17*$E$17/100</f>
        <v>15561.950399999998</v>
      </c>
      <c r="I32" s="411">
        <v>5</v>
      </c>
      <c r="J32" s="765" t="s">
        <v>133</v>
      </c>
      <c r="K32" s="413"/>
      <c r="L32" s="414">
        <f>SUM(H32:K32)</f>
        <v>15566.950399999998</v>
      </c>
      <c r="M32" s="72"/>
      <c r="N32" s="73"/>
      <c r="O32" s="74"/>
      <c r="P32" s="273"/>
    </row>
    <row r="33" spans="2:16" ht="15.75">
      <c r="B33" s="263"/>
      <c r="C33" s="75"/>
      <c r="D33" s="434" t="s">
        <v>5</v>
      </c>
      <c r="E33" s="71">
        <v>132</v>
      </c>
      <c r="F33" s="77">
        <v>110.3</v>
      </c>
      <c r="G33" s="72"/>
      <c r="H33" s="278">
        <f>F33*$J$17*$E$17/100</f>
        <v>55370.42351999999</v>
      </c>
      <c r="I33" s="451">
        <v>1579</v>
      </c>
      <c r="J33" s="766" t="s">
        <v>133</v>
      </c>
      <c r="K33" s="270"/>
      <c r="L33" s="435">
        <f>SUM(H33:K33)</f>
        <v>56949.42351999999</v>
      </c>
      <c r="M33" s="72"/>
      <c r="N33" s="73"/>
      <c r="O33" s="74"/>
      <c r="P33" s="273"/>
    </row>
    <row r="34" spans="2:16" ht="15.75">
      <c r="B34" s="263"/>
      <c r="C34" s="75"/>
      <c r="D34" s="434" t="s">
        <v>6</v>
      </c>
      <c r="E34" s="71">
        <v>132</v>
      </c>
      <c r="F34" s="77">
        <v>185.6</v>
      </c>
      <c r="G34" s="72"/>
      <c r="H34" s="278">
        <f>F34*$J$17*$E$17/100</f>
        <v>93170.90303999999</v>
      </c>
      <c r="I34" s="451">
        <v>0</v>
      </c>
      <c r="J34" s="766" t="s">
        <v>133</v>
      </c>
      <c r="K34" s="270"/>
      <c r="L34" s="435">
        <f>SUM(H34:K34)</f>
        <v>93170.90303999999</v>
      </c>
      <c r="M34" s="72"/>
      <c r="N34" s="73"/>
      <c r="O34" s="74"/>
      <c r="P34" s="273"/>
    </row>
    <row r="35" spans="2:16" ht="15.75">
      <c r="B35" s="263"/>
      <c r="C35" s="75"/>
      <c r="D35" s="415" t="s">
        <v>7</v>
      </c>
      <c r="E35" s="416">
        <v>132</v>
      </c>
      <c r="F35" s="417">
        <v>7</v>
      </c>
      <c r="G35" s="418"/>
      <c r="H35" s="419">
        <f>F35*$J$17*$E$17/100</f>
        <v>3513.9888</v>
      </c>
      <c r="I35" s="420">
        <v>309</v>
      </c>
      <c r="J35" s="767" t="s">
        <v>133</v>
      </c>
      <c r="K35" s="422"/>
      <c r="L35" s="423">
        <f>SUM(H35:K35)</f>
        <v>3822.9888</v>
      </c>
      <c r="M35" s="72"/>
      <c r="N35" s="73"/>
      <c r="O35" s="74"/>
      <c r="P35" s="273"/>
    </row>
    <row r="36" spans="2:16" ht="15">
      <c r="B36" s="263"/>
      <c r="C36" s="75"/>
      <c r="D36" s="71"/>
      <c r="E36" s="71"/>
      <c r="F36" s="274"/>
      <c r="G36" s="72"/>
      <c r="I36" s="78"/>
      <c r="J36" s="270"/>
      <c r="K36" s="270"/>
      <c r="L36" s="424">
        <f>SUM(L32:L35)</f>
        <v>169510.26575999998</v>
      </c>
      <c r="M36" s="72"/>
      <c r="N36" s="73"/>
      <c r="O36" s="74"/>
      <c r="P36" s="273"/>
    </row>
    <row r="37" spans="2:16" ht="15">
      <c r="B37" s="263"/>
      <c r="C37" s="75"/>
      <c r="D37" s="71"/>
      <c r="E37" s="71"/>
      <c r="F37" s="274"/>
      <c r="G37" s="72"/>
      <c r="I37" s="78"/>
      <c r="J37" s="270"/>
      <c r="K37" s="270"/>
      <c r="L37" s="275"/>
      <c r="M37" s="72"/>
      <c r="N37" s="73"/>
      <c r="O37" s="74"/>
      <c r="P37" s="273"/>
    </row>
    <row r="38" spans="2:16" ht="15.75">
      <c r="B38" s="263"/>
      <c r="C38" s="75"/>
      <c r="D38" s="401" t="s">
        <v>102</v>
      </c>
      <c r="E38" s="402" t="s">
        <v>103</v>
      </c>
      <c r="F38" s="764" t="s">
        <v>163</v>
      </c>
      <c r="G38" s="452"/>
      <c r="H38" s="639" t="s">
        <v>126</v>
      </c>
      <c r="J38" s="425" t="s">
        <v>104</v>
      </c>
      <c r="K38" s="426"/>
      <c r="L38" s="427" t="s">
        <v>47</v>
      </c>
      <c r="M38" s="402" t="s">
        <v>15</v>
      </c>
      <c r="N38" s="428" t="s">
        <v>105</v>
      </c>
      <c r="O38" s="429"/>
      <c r="P38" s="273"/>
    </row>
    <row r="39" spans="2:16" ht="15">
      <c r="B39" s="263"/>
      <c r="C39" s="75"/>
      <c r="D39" s="406" t="s">
        <v>9</v>
      </c>
      <c r="E39" s="407" t="s">
        <v>113</v>
      </c>
      <c r="F39" s="453">
        <v>30</v>
      </c>
      <c r="G39" s="454"/>
      <c r="H39" s="414">
        <f>+F39*$J$18*$E$17</f>
        <v>5248.8</v>
      </c>
      <c r="J39" s="430" t="s">
        <v>114</v>
      </c>
      <c r="K39" s="412"/>
      <c r="L39" s="409" t="s">
        <v>115</v>
      </c>
      <c r="M39" s="431">
        <v>132</v>
      </c>
      <c r="N39" s="432">
        <f>M16*E17</f>
        <v>2334.96</v>
      </c>
      <c r="O39" s="433"/>
      <c r="P39" s="273"/>
    </row>
    <row r="40" spans="2:16" ht="15">
      <c r="B40" s="263"/>
      <c r="C40" s="75"/>
      <c r="D40" s="434" t="s">
        <v>12</v>
      </c>
      <c r="E40" s="71" t="s">
        <v>116</v>
      </c>
      <c r="F40" s="455">
        <v>88</v>
      </c>
      <c r="G40" s="456"/>
      <c r="H40" s="435">
        <f>+F40*$J$18*$E$17</f>
        <v>15396.48</v>
      </c>
      <c r="J40" s="436" t="s">
        <v>10</v>
      </c>
      <c r="K40" s="437"/>
      <c r="L40" s="72" t="s">
        <v>117</v>
      </c>
      <c r="M40" s="73">
        <v>33</v>
      </c>
      <c r="N40" s="438">
        <f>+M17*E17*2</f>
        <v>3503.5199999999995</v>
      </c>
      <c r="O40" s="439"/>
      <c r="P40" s="273"/>
    </row>
    <row r="41" spans="2:16" ht="15">
      <c r="B41" s="263"/>
      <c r="C41" s="75"/>
      <c r="D41" s="434" t="s">
        <v>10</v>
      </c>
      <c r="E41" s="71" t="s">
        <v>8</v>
      </c>
      <c r="F41" s="455">
        <v>7.5</v>
      </c>
      <c r="G41" s="456"/>
      <c r="H41" s="435">
        <f>+F41*$J$18*$E$17</f>
        <v>1312.2</v>
      </c>
      <c r="J41" s="436" t="s">
        <v>11</v>
      </c>
      <c r="K41" s="437"/>
      <c r="L41" s="72" t="s">
        <v>118</v>
      </c>
      <c r="M41" s="73">
        <v>33</v>
      </c>
      <c r="N41" s="438">
        <f>3*M17*E17</f>
        <v>5255.28</v>
      </c>
      <c r="O41" s="439"/>
      <c r="P41" s="273"/>
    </row>
    <row r="42" spans="2:16" ht="15">
      <c r="B42" s="263"/>
      <c r="C42" s="75"/>
      <c r="D42" s="434" t="s">
        <v>11</v>
      </c>
      <c r="E42" s="71" t="s">
        <v>8</v>
      </c>
      <c r="F42" s="455">
        <v>15</v>
      </c>
      <c r="G42" s="456"/>
      <c r="H42" s="435">
        <f>+F42*$J$18*$E$17</f>
        <v>2624.4</v>
      </c>
      <c r="J42" s="436" t="s">
        <v>13</v>
      </c>
      <c r="K42" s="437"/>
      <c r="L42" s="72" t="s">
        <v>119</v>
      </c>
      <c r="M42" s="73">
        <v>13.2</v>
      </c>
      <c r="N42" s="438">
        <f>+M18*E17*6</f>
        <v>10510.559999999998</v>
      </c>
      <c r="O42" s="439"/>
      <c r="P42" s="273"/>
    </row>
    <row r="43" spans="2:16" ht="15">
      <c r="B43" s="263"/>
      <c r="C43" s="75"/>
      <c r="D43" s="415" t="s">
        <v>13</v>
      </c>
      <c r="E43" s="416" t="s">
        <v>120</v>
      </c>
      <c r="F43" s="457">
        <v>30</v>
      </c>
      <c r="G43" s="458"/>
      <c r="H43" s="435">
        <f>+F43*$J$18*$E$17</f>
        <v>5248.8</v>
      </c>
      <c r="J43" s="436" t="s">
        <v>9</v>
      </c>
      <c r="K43" s="437"/>
      <c r="L43" s="72" t="s">
        <v>121</v>
      </c>
      <c r="M43" s="73"/>
      <c r="N43" s="438">
        <f>+M17*E17+M18*E17*2</f>
        <v>5255.279999999999</v>
      </c>
      <c r="O43" s="439"/>
      <c r="P43" s="273"/>
    </row>
    <row r="44" spans="2:16" ht="15">
      <c r="B44" s="263"/>
      <c r="C44" s="75"/>
      <c r="D44" s="71"/>
      <c r="E44" s="71"/>
      <c r="F44" s="274"/>
      <c r="G44" s="72"/>
      <c r="H44" s="424">
        <f>SUM(H39:H43)</f>
        <v>29830.68</v>
      </c>
      <c r="J44" s="440" t="s">
        <v>12</v>
      </c>
      <c r="K44" s="421"/>
      <c r="L44" s="418" t="s">
        <v>122</v>
      </c>
      <c r="M44" s="441"/>
      <c r="N44" s="442">
        <f>(M16+M17+M18*5)*E17</f>
        <v>12845.52</v>
      </c>
      <c r="O44" s="443"/>
      <c r="P44" s="273"/>
    </row>
    <row r="45" spans="2:16" ht="15">
      <c r="B45" s="263"/>
      <c r="C45" s="75"/>
      <c r="D45" s="71"/>
      <c r="E45" s="71"/>
      <c r="F45" s="274"/>
      <c r="G45" s="72"/>
      <c r="I45" s="78"/>
      <c r="J45" s="270"/>
      <c r="K45" s="270"/>
      <c r="L45" s="275"/>
      <c r="M45" s="72"/>
      <c r="N45" s="444">
        <f>SUM(N39:N44)</f>
        <v>39705.119999999995</v>
      </c>
      <c r="O45" s="429"/>
      <c r="P45" s="273"/>
    </row>
    <row r="46" spans="2:16" ht="12.75" customHeight="1" thickBot="1">
      <c r="B46" s="263"/>
      <c r="C46" s="75"/>
      <c r="D46" s="71"/>
      <c r="E46" s="71"/>
      <c r="F46" s="77"/>
      <c r="G46" s="72"/>
      <c r="H46" s="78"/>
      <c r="I46" s="71"/>
      <c r="J46" s="71"/>
      <c r="K46" s="71"/>
      <c r="L46" s="72"/>
      <c r="M46" s="72"/>
      <c r="N46" s="73"/>
      <c r="O46" s="74"/>
      <c r="P46" s="273"/>
    </row>
    <row r="47" spans="2:16" ht="20.25" thickBot="1" thickTop="1">
      <c r="B47" s="263"/>
      <c r="C47" s="75"/>
      <c r="D47" s="71"/>
      <c r="E47" s="71"/>
      <c r="F47" s="77"/>
      <c r="G47" s="72"/>
      <c r="H47" s="445" t="s">
        <v>106</v>
      </c>
      <c r="I47" s="446">
        <f>+H44+N45+L36</f>
        <v>239046.06575999997</v>
      </c>
      <c r="J47" s="71"/>
      <c r="K47" s="71"/>
      <c r="L47" s="72"/>
      <c r="M47" s="72"/>
      <c r="N47" s="73"/>
      <c r="O47" s="74"/>
      <c r="P47" s="273"/>
    </row>
    <row r="48" spans="2:16" ht="15.75" thickTop="1">
      <c r="B48" s="263"/>
      <c r="C48" s="75"/>
      <c r="D48" s="71"/>
      <c r="E48" s="71"/>
      <c r="F48" s="77"/>
      <c r="G48" s="72"/>
      <c r="H48" s="78"/>
      <c r="I48" s="71"/>
      <c r="J48" s="71"/>
      <c r="K48" s="71"/>
      <c r="L48" s="72"/>
      <c r="M48" s="72"/>
      <c r="N48" s="73"/>
      <c r="O48" s="74"/>
      <c r="P48" s="273"/>
    </row>
    <row r="49" spans="2:16" ht="15.75">
      <c r="B49" s="263"/>
      <c r="C49" s="447" t="s">
        <v>107</v>
      </c>
      <c r="D49" s="71"/>
      <c r="E49" s="71"/>
      <c r="F49" s="77"/>
      <c r="G49" s="72"/>
      <c r="H49" s="78"/>
      <c r="I49" s="71"/>
      <c r="J49" s="71"/>
      <c r="K49" s="71"/>
      <c r="L49" s="72"/>
      <c r="M49" s="72"/>
      <c r="N49" s="73"/>
      <c r="O49" s="74"/>
      <c r="P49" s="273"/>
    </row>
    <row r="50" spans="2:16" ht="15.75" thickBot="1">
      <c r="B50" s="263"/>
      <c r="C50" s="75"/>
      <c r="D50" s="71"/>
      <c r="E50" s="71"/>
      <c r="F50" s="77"/>
      <c r="G50" s="72"/>
      <c r="H50" s="78"/>
      <c r="I50" s="71"/>
      <c r="J50" s="71"/>
      <c r="K50" s="71"/>
      <c r="L50" s="72"/>
      <c r="M50" s="72"/>
      <c r="N50" s="73"/>
      <c r="O50" s="74"/>
      <c r="P50" s="273"/>
    </row>
    <row r="51" spans="2:16" ht="20.25" thickBot="1" thickTop="1">
      <c r="B51" s="263"/>
      <c r="C51" s="75"/>
      <c r="D51" s="227" t="s">
        <v>108</v>
      </c>
      <c r="F51" s="276"/>
      <c r="G51" s="69"/>
      <c r="H51" s="159" t="s">
        <v>109</v>
      </c>
      <c r="I51" s="448">
        <f>E18*I47</f>
        <v>5976.151644</v>
      </c>
      <c r="J51" s="65"/>
      <c r="K51" s="65"/>
      <c r="O51" s="65"/>
      <c r="P51" s="273"/>
    </row>
    <row r="52" spans="2:16" ht="21.75" thickTop="1">
      <c r="B52" s="263"/>
      <c r="C52" s="75"/>
      <c r="F52" s="277"/>
      <c r="G52" s="42"/>
      <c r="I52" s="65"/>
      <c r="J52" s="65"/>
      <c r="K52" s="65"/>
      <c r="O52" s="65"/>
      <c r="P52" s="273"/>
    </row>
    <row r="53" spans="2:16" ht="15">
      <c r="B53" s="263"/>
      <c r="C53" s="64" t="s">
        <v>110</v>
      </c>
      <c r="E53" s="65"/>
      <c r="F53" s="65"/>
      <c r="G53" s="65"/>
      <c r="H53" s="65"/>
      <c r="I53" s="72"/>
      <c r="J53" s="72"/>
      <c r="K53" s="72"/>
      <c r="L53" s="72"/>
      <c r="M53" s="72"/>
      <c r="N53" s="73"/>
      <c r="O53" s="74"/>
      <c r="P53" s="273"/>
    </row>
    <row r="54" spans="2:16" ht="15">
      <c r="B54" s="263"/>
      <c r="C54" s="75"/>
      <c r="D54" s="70" t="s">
        <v>111</v>
      </c>
      <c r="E54" s="278">
        <f>10*I27*I51/I47</f>
        <v>1.351395</v>
      </c>
      <c r="F54" s="449"/>
      <c r="H54" s="65"/>
      <c r="I54" s="72"/>
      <c r="J54" s="72"/>
      <c r="K54" s="72"/>
      <c r="L54" s="72"/>
      <c r="M54" s="72"/>
      <c r="N54" s="73"/>
      <c r="O54" s="74"/>
      <c r="P54" s="273"/>
    </row>
    <row r="55" spans="2:16" ht="15">
      <c r="B55" s="263"/>
      <c r="C55" s="75"/>
      <c r="D55" s="65"/>
      <c r="E55" s="65"/>
      <c r="J55" s="72"/>
      <c r="K55" s="72"/>
      <c r="L55" s="72"/>
      <c r="M55" s="72"/>
      <c r="N55" s="73"/>
      <c r="O55" s="74"/>
      <c r="P55" s="273"/>
    </row>
    <row r="56" spans="2:16" ht="15">
      <c r="B56" s="263"/>
      <c r="C56" s="75"/>
      <c r="D56" s="65" t="s">
        <v>123</v>
      </c>
      <c r="E56" s="65"/>
      <c r="F56" s="65"/>
      <c r="G56" s="65"/>
      <c r="H56" s="65"/>
      <c r="M56" s="72"/>
      <c r="N56" s="73"/>
      <c r="O56" s="74"/>
      <c r="P56" s="273"/>
    </row>
    <row r="57" spans="2:16" ht="15.75" thickBot="1">
      <c r="B57" s="263"/>
      <c r="C57" s="75"/>
      <c r="D57" s="65"/>
      <c r="E57" s="65"/>
      <c r="F57" s="65"/>
      <c r="G57" s="65"/>
      <c r="H57" s="65"/>
      <c r="M57" s="72"/>
      <c r="N57" s="73"/>
      <c r="O57" s="74"/>
      <c r="P57" s="273"/>
    </row>
    <row r="58" spans="2:16" ht="20.25" thickBot="1" thickTop="1">
      <c r="B58" s="263"/>
      <c r="C58" s="75"/>
      <c r="D58" s="71"/>
      <c r="E58" s="71"/>
      <c r="F58" s="77"/>
      <c r="G58" s="72"/>
      <c r="H58" s="228" t="s">
        <v>112</v>
      </c>
      <c r="I58" s="450">
        <f>IF($E$54&gt;3*I51,3*I51,$E$54)</f>
        <v>1.351395</v>
      </c>
      <c r="J58" s="72"/>
      <c r="K58" s="72"/>
      <c r="L58" s="72"/>
      <c r="M58" s="72"/>
      <c r="N58" s="73"/>
      <c r="O58" s="74"/>
      <c r="P58" s="273"/>
    </row>
    <row r="59" spans="2:16" ht="16.5" thickBot="1" thickTop="1">
      <c r="B59" s="279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1"/>
    </row>
    <row r="60" spans="2:16" ht="13.5" thickTop="1">
      <c r="B60" s="1"/>
      <c r="P60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9" ht="12" customHeight="1"/>
    <row r="105" ht="12.75">
      <c r="B105" s="1"/>
    </row>
    <row r="111" ht="12.75">
      <c r="A111" s="1"/>
    </row>
  </sheetData>
  <printOptions/>
  <pageMargins left="0.28" right="0.1968503937007874" top="0.7874015748031497" bottom="0.5" header="0.5118110236220472" footer="0.25"/>
  <pageSetup fitToHeight="1" fitToWidth="1" orientation="landscape" paperSize="9" scale="53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57"/>
  <sheetViews>
    <sheetView zoomScale="50" zoomScaleNormal="50" workbookViewId="0" topLeftCell="A1">
      <selection activeCell="J57" sqref="J5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369"/>
    </row>
    <row r="2" spans="2:20" s="684" customFormat="1" ht="30.75">
      <c r="B2" s="116" t="str">
        <f>'TOT-1110'!B2</f>
        <v>ANEXO V al Memorandum D.T.E.E.  N°    271 / 2012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</row>
    <row r="3" spans="1:2" ht="12.75" customHeight="1">
      <c r="A3" s="686" t="s">
        <v>16</v>
      </c>
      <c r="B3" s="687"/>
    </row>
    <row r="4" spans="1:4" ht="12.75" customHeight="1">
      <c r="A4" s="686" t="s">
        <v>17</v>
      </c>
      <c r="B4" s="687"/>
      <c r="D4" s="688"/>
    </row>
    <row r="5" spans="1:4" ht="21.75" customHeight="1">
      <c r="A5" s="689"/>
      <c r="D5" s="688"/>
    </row>
    <row r="6" spans="1:20" ht="26.25">
      <c r="A6" s="689"/>
      <c r="B6" s="690" t="s">
        <v>149</v>
      </c>
      <c r="C6" s="81"/>
      <c r="D6" s="688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4" ht="18.75" customHeight="1">
      <c r="A7" s="689"/>
      <c r="D7" s="688"/>
    </row>
    <row r="8" spans="1:20" ht="26.25">
      <c r="A8" s="689"/>
      <c r="B8" s="691" t="s">
        <v>1</v>
      </c>
      <c r="C8" s="81"/>
      <c r="D8" s="688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4" ht="18.75" customHeight="1">
      <c r="A9" s="689"/>
      <c r="D9" s="688"/>
    </row>
    <row r="10" spans="1:20" ht="26.25">
      <c r="A10" s="689"/>
      <c r="B10" s="691" t="s">
        <v>150</v>
      </c>
      <c r="C10" s="81"/>
      <c r="D10" s="688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ht="18.75" customHeight="1" thickBot="1"/>
    <row r="12" spans="2:20" ht="18.75" customHeight="1" thickTop="1">
      <c r="B12" s="692"/>
      <c r="C12" s="693"/>
      <c r="D12" s="694"/>
      <c r="E12" s="694"/>
      <c r="F12" s="694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5"/>
    </row>
    <row r="13" spans="2:20" ht="19.5">
      <c r="B13" s="229" t="s">
        <v>159</v>
      </c>
      <c r="C13" s="81"/>
      <c r="D13" s="696"/>
      <c r="E13" s="696"/>
      <c r="F13" s="696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8"/>
    </row>
    <row r="14" spans="2:20" ht="18.75" customHeight="1" thickBot="1">
      <c r="B14" s="2"/>
      <c r="C14" s="699"/>
      <c r="D14" s="700"/>
      <c r="E14" s="700"/>
      <c r="F14" s="70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09" customFormat="1" ht="34.5" customHeight="1" thickBot="1" thickTop="1">
      <c r="A15" s="687"/>
      <c r="B15" s="702"/>
      <c r="C15" s="703"/>
      <c r="D15" s="704" t="s">
        <v>19</v>
      </c>
      <c r="E15" s="705" t="s">
        <v>44</v>
      </c>
      <c r="F15" s="706" t="s">
        <v>45</v>
      </c>
      <c r="G15" s="707">
        <v>40118</v>
      </c>
      <c r="H15" s="707">
        <v>40148</v>
      </c>
      <c r="I15" s="707">
        <v>40179</v>
      </c>
      <c r="J15" s="707">
        <v>40210</v>
      </c>
      <c r="K15" s="707">
        <v>40238</v>
      </c>
      <c r="L15" s="707">
        <v>40269</v>
      </c>
      <c r="M15" s="707">
        <v>40299</v>
      </c>
      <c r="N15" s="707">
        <v>40330</v>
      </c>
      <c r="O15" s="707">
        <v>40360</v>
      </c>
      <c r="P15" s="707">
        <v>40391</v>
      </c>
      <c r="Q15" s="707">
        <v>40422</v>
      </c>
      <c r="R15" s="707">
        <v>40452</v>
      </c>
      <c r="S15" s="707">
        <v>40483</v>
      </c>
      <c r="T15" s="708"/>
    </row>
    <row r="16" spans="2:20" ht="15" customHeight="1" thickTop="1">
      <c r="B16" s="2"/>
      <c r="C16" s="710"/>
      <c r="D16" s="711"/>
      <c r="E16" s="711"/>
      <c r="F16" s="712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4"/>
      <c r="T16" s="3"/>
    </row>
    <row r="17" spans="2:20" ht="15" customHeight="1" hidden="1">
      <c r="B17" s="2"/>
      <c r="C17" s="715">
        <f>IF('[1]Tasa de Falla'!C17=0,"",'[1]Tasa de Falla'!C17)</f>
        <v>1</v>
      </c>
      <c r="D17" s="716" t="str">
        <f>IF('[1]Tasa de Falla'!D17=0,"",'[1]Tasa de Falla'!D17)</f>
        <v>AMEGHINO - COMODORO RIVADAVIA</v>
      </c>
      <c r="E17" s="716">
        <f>IF('[1]Tasa de Falla'!E17=0,"",'[1]Tasa de Falla'!E17)</f>
        <v>132</v>
      </c>
      <c r="F17" s="717">
        <f>IF('[1]Tasa de Falla'!F17=0,"",'[1]Tasa de Falla'!F17)</f>
        <v>305</v>
      </c>
      <c r="G17" s="718" t="str">
        <f>IF('[1]Tasa de Falla'!DB17=0,"",'[1]Tasa de Falla'!DB17)</f>
        <v>XXXX</v>
      </c>
      <c r="H17" s="718" t="str">
        <f>IF('[1]Tasa de Falla'!DC17=0,"",'[1]Tasa de Falla'!DC17)</f>
        <v>XXXX</v>
      </c>
      <c r="I17" s="718" t="str">
        <f>IF('[1]Tasa de Falla'!DD17=0,"",'[1]Tasa de Falla'!DD17)</f>
        <v>XXXX</v>
      </c>
      <c r="J17" s="718" t="str">
        <f>IF('[1]Tasa de Falla'!DE17=0,"",'[1]Tasa de Falla'!DE17)</f>
        <v>XXXX</v>
      </c>
      <c r="K17" s="718" t="str">
        <f>IF('[1]Tasa de Falla'!DF17=0,"",'[1]Tasa de Falla'!DF17)</f>
        <v>XXXX</v>
      </c>
      <c r="L17" s="718" t="str">
        <f>IF('[1]Tasa de Falla'!DG17=0,"",'[1]Tasa de Falla'!DG17)</f>
        <v>XXXX</v>
      </c>
      <c r="M17" s="718" t="str">
        <f>IF('[1]Tasa de Falla'!DH17=0,"",'[1]Tasa de Falla'!DH17)</f>
        <v>XXXX</v>
      </c>
      <c r="N17" s="718" t="str">
        <f>IF('[1]Tasa de Falla'!DI17=0,"",'[1]Tasa de Falla'!DI17)</f>
        <v>XXXX</v>
      </c>
      <c r="O17" s="718" t="str">
        <f>IF('[1]Tasa de Falla'!DJ17=0,"",'[1]Tasa de Falla'!DJ17)</f>
        <v>XXXX</v>
      </c>
      <c r="P17" s="718" t="str">
        <f>IF('[1]Tasa de Falla'!DK17=0,"",'[1]Tasa de Falla'!DK17)</f>
        <v>XXXX</v>
      </c>
      <c r="Q17" s="718" t="str">
        <f>IF('[1]Tasa de Falla'!DL17=0,"",'[1]Tasa de Falla'!DL17)</f>
        <v>XXXX</v>
      </c>
      <c r="R17" s="718" t="str">
        <f>IF('[1]Tasa de Falla'!DM17=0,"",'[1]Tasa de Falla'!DM17)</f>
        <v>XXXX</v>
      </c>
      <c r="S17" s="719"/>
      <c r="T17" s="3"/>
    </row>
    <row r="18" spans="2:20" ht="18" customHeight="1">
      <c r="B18" s="2"/>
      <c r="C18" s="751">
        <f>IF('[1]Tasa de Falla'!C18=0,"",'[1]Tasa de Falla'!C18)</f>
        <v>2</v>
      </c>
      <c r="D18" s="752" t="str">
        <f>IF('[1]Tasa de Falla'!D18=0,"",'[1]Tasa de Falla'!D18)</f>
        <v>AMEGHINO - ESTACION PATAGONIA</v>
      </c>
      <c r="E18" s="752">
        <f>IF('[1]Tasa de Falla'!E18=0,"",'[1]Tasa de Falla'!E18)</f>
        <v>132</v>
      </c>
      <c r="F18" s="753">
        <f>IF('[1]Tasa de Falla'!F18=0,"",'[1]Tasa de Falla'!F18)</f>
        <v>299.6</v>
      </c>
      <c r="G18" s="718">
        <f>IF('[1]Tasa de Falla'!GE18=0,"",'[1]Tasa de Falla'!GE18)</f>
      </c>
      <c r="H18" s="718">
        <f>IF('[1]Tasa de Falla'!GF18=0,"",'[1]Tasa de Falla'!GF18)</f>
      </c>
      <c r="I18" s="718">
        <f>IF('[1]Tasa de Falla'!GG18=0,"",'[1]Tasa de Falla'!GG18)</f>
      </c>
      <c r="J18" s="718">
        <f>IF('[1]Tasa de Falla'!GH18=0,"",'[1]Tasa de Falla'!GH18)</f>
      </c>
      <c r="K18" s="718">
        <f>IF('[1]Tasa de Falla'!GI18=0,"",'[1]Tasa de Falla'!GI18)</f>
      </c>
      <c r="L18" s="718">
        <f>IF('[1]Tasa de Falla'!GJ18=0,"",'[1]Tasa de Falla'!GJ18)</f>
      </c>
      <c r="M18" s="718">
        <f>IF('[1]Tasa de Falla'!GK18=0,"",'[1]Tasa de Falla'!GK18)</f>
      </c>
      <c r="N18" s="718">
        <f>IF('[1]Tasa de Falla'!GL18=0,"",'[1]Tasa de Falla'!GL18)</f>
        <v>3</v>
      </c>
      <c r="O18" s="718">
        <f>IF('[1]Tasa de Falla'!GM18=0,"",'[1]Tasa de Falla'!GM18)</f>
      </c>
      <c r="P18" s="718">
        <f>IF('[1]Tasa de Falla'!GN18=0,"",'[1]Tasa de Falla'!GN18)</f>
      </c>
      <c r="Q18" s="718">
        <f>IF('[1]Tasa de Falla'!GO18=0,"",'[1]Tasa de Falla'!GO18)</f>
      </c>
      <c r="R18" s="718">
        <f>IF('[1]Tasa de Falla'!GP18=0,"",'[1]Tasa de Falla'!GP18)</f>
      </c>
      <c r="S18" s="719"/>
      <c r="T18" s="3"/>
    </row>
    <row r="19" spans="2:20" ht="15" customHeight="1">
      <c r="B19" s="2"/>
      <c r="C19" s="754">
        <f>IF('[1]Tasa de Falla'!C19=0,"",'[1]Tasa de Falla'!C19)</f>
        <v>3</v>
      </c>
      <c r="D19" s="755" t="str">
        <f>IF('[1]Tasa de Falla'!D19=0,"",'[1]Tasa de Falla'!D19)</f>
        <v>AMEGHINO - TRELEW</v>
      </c>
      <c r="E19" s="755">
        <f>IF('[1]Tasa de Falla'!E19=0,"",'[1]Tasa de Falla'!E19)</f>
        <v>132</v>
      </c>
      <c r="F19" s="756">
        <f>IF('[1]Tasa de Falla'!F19=0,"",'[1]Tasa de Falla'!F19)</f>
        <v>112</v>
      </c>
      <c r="G19" s="718">
        <f>IF('[1]Tasa de Falla'!GE19=0,"",'[1]Tasa de Falla'!GE19)</f>
      </c>
      <c r="H19" s="718">
        <f>IF('[1]Tasa de Falla'!GF19=0,"",'[1]Tasa de Falla'!GF19)</f>
      </c>
      <c r="I19" s="718">
        <f>IF('[1]Tasa de Falla'!GG19=0,"",'[1]Tasa de Falla'!GG19)</f>
      </c>
      <c r="J19" s="718">
        <f>IF('[1]Tasa de Falla'!GH19=0,"",'[1]Tasa de Falla'!GH19)</f>
      </c>
      <c r="K19" s="718">
        <f>IF('[1]Tasa de Falla'!GI19=0,"",'[1]Tasa de Falla'!GI19)</f>
      </c>
      <c r="L19" s="718">
        <f>IF('[1]Tasa de Falla'!GJ19=0,"",'[1]Tasa de Falla'!GJ19)</f>
      </c>
      <c r="M19" s="718">
        <f>IF('[1]Tasa de Falla'!GK19=0,"",'[1]Tasa de Falla'!GK19)</f>
      </c>
      <c r="N19" s="718">
        <f>IF('[1]Tasa de Falla'!GL19=0,"",'[1]Tasa de Falla'!GL19)</f>
      </c>
      <c r="O19" s="718">
        <f>IF('[1]Tasa de Falla'!GM19=0,"",'[1]Tasa de Falla'!GM19)</f>
      </c>
      <c r="P19" s="718">
        <f>IF('[1]Tasa de Falla'!GN19=0,"",'[1]Tasa de Falla'!GN19)</f>
      </c>
      <c r="Q19" s="718">
        <f>IF('[1]Tasa de Falla'!GO19=0,"",'[1]Tasa de Falla'!GO19)</f>
      </c>
      <c r="R19" s="718">
        <f>IF('[1]Tasa de Falla'!GP19=0,"",'[1]Tasa de Falla'!GP19)</f>
      </c>
      <c r="S19" s="719"/>
      <c r="T19" s="3"/>
    </row>
    <row r="20" spans="2:20" ht="15" customHeight="1">
      <c r="B20" s="2"/>
      <c r="C20" s="751">
        <f>IF('[1]Tasa de Falla'!C20=0,"",'[1]Tasa de Falla'!C20)</f>
        <v>4</v>
      </c>
      <c r="D20" s="752" t="str">
        <f>IF('[1]Tasa de Falla'!D20=0,"",'[1]Tasa de Falla'!D20)</f>
        <v>FUTALEUFU - ESQUEL</v>
      </c>
      <c r="E20" s="752">
        <f>IF('[1]Tasa de Falla'!E20=0,"",'[1]Tasa de Falla'!E20)</f>
        <v>132</v>
      </c>
      <c r="F20" s="753">
        <f>IF('[1]Tasa de Falla'!F20=0,"",'[1]Tasa de Falla'!F20)</f>
        <v>28.41</v>
      </c>
      <c r="G20" s="718">
        <f>IF('[1]Tasa de Falla'!GE20=0,"",'[1]Tasa de Falla'!GE20)</f>
      </c>
      <c r="H20" s="718">
        <f>IF('[1]Tasa de Falla'!GF20=0,"",'[1]Tasa de Falla'!GF20)</f>
      </c>
      <c r="I20" s="718">
        <f>IF('[1]Tasa de Falla'!GG20=0,"",'[1]Tasa de Falla'!GG20)</f>
      </c>
      <c r="J20" s="718">
        <f>IF('[1]Tasa de Falla'!GH20=0,"",'[1]Tasa de Falla'!GH20)</f>
      </c>
      <c r="K20" s="718">
        <f>IF('[1]Tasa de Falla'!GI20=0,"",'[1]Tasa de Falla'!GI20)</f>
      </c>
      <c r="L20" s="718">
        <f>IF('[1]Tasa de Falla'!GJ20=0,"",'[1]Tasa de Falla'!GJ20)</f>
      </c>
      <c r="M20" s="718">
        <f>IF('[1]Tasa de Falla'!GK20=0,"",'[1]Tasa de Falla'!GK20)</f>
      </c>
      <c r="N20" s="718">
        <f>IF('[1]Tasa de Falla'!GL20=0,"",'[1]Tasa de Falla'!GL20)</f>
      </c>
      <c r="O20" s="718">
        <f>IF('[1]Tasa de Falla'!GM20=0,"",'[1]Tasa de Falla'!GM20)</f>
      </c>
      <c r="P20" s="718">
        <f>IF('[1]Tasa de Falla'!GN20=0,"",'[1]Tasa de Falla'!GN20)</f>
      </c>
      <c r="Q20" s="718">
        <f>IF('[1]Tasa de Falla'!GO20=0,"",'[1]Tasa de Falla'!GO20)</f>
      </c>
      <c r="R20" s="718">
        <f>IF('[1]Tasa de Falla'!GP20=0,"",'[1]Tasa de Falla'!GP20)</f>
      </c>
      <c r="S20" s="719"/>
      <c r="T20" s="3"/>
    </row>
    <row r="21" spans="2:20" ht="15" customHeight="1">
      <c r="B21" s="2"/>
      <c r="C21" s="754">
        <f>IF('[1]Tasa de Falla'!C21=0,"",'[1]Tasa de Falla'!C21)</f>
        <v>5</v>
      </c>
      <c r="D21" s="755" t="str">
        <f>IF('[1]Tasa de Falla'!D21=0,"",'[1]Tasa de Falla'!D21)</f>
        <v>BARRIO SAN MARTIN - ESTACION PATAGONIA</v>
      </c>
      <c r="E21" s="755">
        <f>IF('[1]Tasa de Falla'!E21=0,"",'[1]Tasa de Falla'!E21)</f>
        <v>132</v>
      </c>
      <c r="F21" s="756">
        <f>IF('[1]Tasa de Falla'!F21=0,"",'[1]Tasa de Falla'!F21)</f>
        <v>9.43</v>
      </c>
      <c r="G21" s="718">
        <f>IF('[1]Tasa de Falla'!GE21=0,"",'[1]Tasa de Falla'!GE21)</f>
      </c>
      <c r="H21" s="718">
        <f>IF('[1]Tasa de Falla'!GF21=0,"",'[1]Tasa de Falla'!GF21)</f>
      </c>
      <c r="I21" s="718">
        <f>IF('[1]Tasa de Falla'!GG21=0,"",'[1]Tasa de Falla'!GG21)</f>
      </c>
      <c r="J21" s="718">
        <f>IF('[1]Tasa de Falla'!GH21=0,"",'[1]Tasa de Falla'!GH21)</f>
      </c>
      <c r="K21" s="718">
        <f>IF('[1]Tasa de Falla'!GI21=0,"",'[1]Tasa de Falla'!GI21)</f>
      </c>
      <c r="L21" s="718">
        <f>IF('[1]Tasa de Falla'!GJ21=0,"",'[1]Tasa de Falla'!GJ21)</f>
      </c>
      <c r="M21" s="718">
        <f>IF('[1]Tasa de Falla'!GK21=0,"",'[1]Tasa de Falla'!GK21)</f>
      </c>
      <c r="N21" s="718">
        <f>IF('[1]Tasa de Falla'!GL21=0,"",'[1]Tasa de Falla'!GL21)</f>
      </c>
      <c r="O21" s="718">
        <f>IF('[1]Tasa de Falla'!GM21=0,"",'[1]Tasa de Falla'!GM21)</f>
      </c>
      <c r="P21" s="718">
        <f>IF('[1]Tasa de Falla'!GN21=0,"",'[1]Tasa de Falla'!GN21)</f>
      </c>
      <c r="Q21" s="718">
        <f>IF('[1]Tasa de Falla'!GO21=0,"",'[1]Tasa de Falla'!GO21)</f>
      </c>
      <c r="R21" s="718">
        <f>IF('[1]Tasa de Falla'!GP21=0,"",'[1]Tasa de Falla'!GP21)</f>
      </c>
      <c r="S21" s="719"/>
      <c r="T21" s="3"/>
    </row>
    <row r="22" spans="2:20" ht="15" customHeight="1">
      <c r="B22" s="2"/>
      <c r="C22" s="751">
        <f>IF('[1]Tasa de Falla'!C22=0,"",'[1]Tasa de Falla'!C22)</f>
        <v>6</v>
      </c>
      <c r="D22" s="752" t="str">
        <f>IF('[1]Tasa de Falla'!D22=0,"",'[1]Tasa de Falla'!D22)</f>
        <v>COMODORO RIVADAVIA - E.T. A1</v>
      </c>
      <c r="E22" s="752">
        <f>IF('[1]Tasa de Falla'!E22=0,"",'[1]Tasa de Falla'!E22)</f>
        <v>132</v>
      </c>
      <c r="F22" s="753">
        <f>IF('[1]Tasa de Falla'!F22=0,"",'[1]Tasa de Falla'!F22)</f>
        <v>0.5</v>
      </c>
      <c r="G22" s="718">
        <f>IF('[1]Tasa de Falla'!GE22=0,"",'[1]Tasa de Falla'!GE22)</f>
      </c>
      <c r="H22" s="718">
        <f>IF('[1]Tasa de Falla'!GF22=0,"",'[1]Tasa de Falla'!GF22)</f>
      </c>
      <c r="I22" s="718">
        <f>IF('[1]Tasa de Falla'!GG22=0,"",'[1]Tasa de Falla'!GG22)</f>
      </c>
      <c r="J22" s="718">
        <f>IF('[1]Tasa de Falla'!GH22=0,"",'[1]Tasa de Falla'!GH22)</f>
      </c>
      <c r="K22" s="718">
        <f>IF('[1]Tasa de Falla'!GI22=0,"",'[1]Tasa de Falla'!GI22)</f>
      </c>
      <c r="L22" s="718">
        <f>IF('[1]Tasa de Falla'!GJ22=0,"",'[1]Tasa de Falla'!GJ22)</f>
      </c>
      <c r="M22" s="718">
        <f>IF('[1]Tasa de Falla'!GK22=0,"",'[1]Tasa de Falla'!GK22)</f>
      </c>
      <c r="N22" s="718">
        <f>IF('[1]Tasa de Falla'!GL22=0,"",'[1]Tasa de Falla'!GL22)</f>
      </c>
      <c r="O22" s="718">
        <f>IF('[1]Tasa de Falla'!GM22=0,"",'[1]Tasa de Falla'!GM22)</f>
      </c>
      <c r="P22" s="718">
        <f>IF('[1]Tasa de Falla'!GN22=0,"",'[1]Tasa de Falla'!GN22)</f>
      </c>
      <c r="Q22" s="718">
        <f>IF('[1]Tasa de Falla'!GO22=0,"",'[1]Tasa de Falla'!GO22)</f>
      </c>
      <c r="R22" s="718">
        <f>IF('[1]Tasa de Falla'!GP22=0,"",'[1]Tasa de Falla'!GP22)</f>
      </c>
      <c r="S22" s="719"/>
      <c r="T22" s="3"/>
    </row>
    <row r="23" spans="2:20" ht="15" customHeight="1">
      <c r="B23" s="2"/>
      <c r="C23" s="754">
        <f>IF('[1]Tasa de Falla'!C23=0,"",'[1]Tasa de Falla'!C23)</f>
        <v>7</v>
      </c>
      <c r="D23" s="755" t="str">
        <f>IF('[1]Tasa de Falla'!D23=0,"",'[1]Tasa de Falla'!D23)</f>
        <v>COMODORO RIVADAVIA (A1) - ESTACION PATAGONIA</v>
      </c>
      <c r="E23" s="755">
        <f>IF('[1]Tasa de Falla'!E23=0,"",'[1]Tasa de Falla'!E23)</f>
        <v>132</v>
      </c>
      <c r="F23" s="756">
        <f>IF('[1]Tasa de Falla'!F23=0,"",'[1]Tasa de Falla'!F23)</f>
        <v>6.9</v>
      </c>
      <c r="G23" s="718">
        <f>IF('[1]Tasa de Falla'!GE23=0,"",'[1]Tasa de Falla'!GE23)</f>
      </c>
      <c r="H23" s="718">
        <f>IF('[1]Tasa de Falla'!GF23=0,"",'[1]Tasa de Falla'!GF23)</f>
      </c>
      <c r="I23" s="718">
        <f>IF('[1]Tasa de Falla'!GG23=0,"",'[1]Tasa de Falla'!GG23)</f>
      </c>
      <c r="J23" s="718">
        <f>IF('[1]Tasa de Falla'!GH23=0,"",'[1]Tasa de Falla'!GH23)</f>
      </c>
      <c r="K23" s="718">
        <f>IF('[1]Tasa de Falla'!GI23=0,"",'[1]Tasa de Falla'!GI23)</f>
      </c>
      <c r="L23" s="718">
        <f>IF('[1]Tasa de Falla'!GJ23=0,"",'[1]Tasa de Falla'!GJ23)</f>
      </c>
      <c r="M23" s="718">
        <f>IF('[1]Tasa de Falla'!GK23=0,"",'[1]Tasa de Falla'!GK23)</f>
      </c>
      <c r="N23" s="718">
        <f>IF('[1]Tasa de Falla'!GL23=0,"",'[1]Tasa de Falla'!GL23)</f>
      </c>
      <c r="O23" s="718">
        <f>IF('[1]Tasa de Falla'!GM23=0,"",'[1]Tasa de Falla'!GM23)</f>
      </c>
      <c r="P23" s="718">
        <f>IF('[1]Tasa de Falla'!GN23=0,"",'[1]Tasa de Falla'!GN23)</f>
      </c>
      <c r="Q23" s="718">
        <f>IF('[1]Tasa de Falla'!GO23=0,"",'[1]Tasa de Falla'!GO23)</f>
      </c>
      <c r="R23" s="718">
        <f>IF('[1]Tasa de Falla'!GP23=0,"",'[1]Tasa de Falla'!GP23)</f>
      </c>
      <c r="S23" s="719"/>
      <c r="T23" s="3"/>
    </row>
    <row r="24" spans="2:20" ht="15" customHeight="1">
      <c r="B24" s="2"/>
      <c r="C24" s="751">
        <f>IF('[1]Tasa de Falla'!C24=0,"",'[1]Tasa de Falla'!C24)</f>
        <v>8</v>
      </c>
      <c r="D24" s="752" t="str">
        <f>IF('[1]Tasa de Falla'!D24=0,"",'[1]Tasa de Falla'!D24)</f>
        <v>COMODORO RIVADAVIA - PICO TRUNCADO</v>
      </c>
      <c r="E24" s="752">
        <f>IF('[1]Tasa de Falla'!E24=0,"",'[1]Tasa de Falla'!E24)</f>
        <v>132</v>
      </c>
      <c r="F24" s="753">
        <f>IF('[1]Tasa de Falla'!F24=0,"",'[1]Tasa de Falla'!F24)</f>
        <v>138</v>
      </c>
      <c r="G24" s="718">
        <f>IF('[1]Tasa de Falla'!GE24=0,"",'[1]Tasa de Falla'!GE24)</f>
      </c>
      <c r="H24" s="718">
        <f>IF('[1]Tasa de Falla'!GF24=0,"",'[1]Tasa de Falla'!GF24)</f>
        <v>1</v>
      </c>
      <c r="I24" s="718">
        <f>IF('[1]Tasa de Falla'!GG24=0,"",'[1]Tasa de Falla'!GG24)</f>
      </c>
      <c r="J24" s="718">
        <f>IF('[1]Tasa de Falla'!GH24=0,"",'[1]Tasa de Falla'!GH24)</f>
      </c>
      <c r="K24" s="718">
        <f>IF('[1]Tasa de Falla'!GI24=0,"",'[1]Tasa de Falla'!GI24)</f>
      </c>
      <c r="L24" s="718">
        <f>IF('[1]Tasa de Falla'!GJ24=0,"",'[1]Tasa de Falla'!GJ24)</f>
      </c>
      <c r="M24" s="718">
        <f>IF('[1]Tasa de Falla'!GK24=0,"",'[1]Tasa de Falla'!GK24)</f>
      </c>
      <c r="N24" s="718">
        <f>IF('[1]Tasa de Falla'!GL24=0,"",'[1]Tasa de Falla'!GL24)</f>
      </c>
      <c r="O24" s="718">
        <f>IF('[1]Tasa de Falla'!GM24=0,"",'[1]Tasa de Falla'!GM24)</f>
      </c>
      <c r="P24" s="718">
        <f>IF('[1]Tasa de Falla'!GN24=0,"",'[1]Tasa de Falla'!GN24)</f>
      </c>
      <c r="Q24" s="718">
        <f>IF('[1]Tasa de Falla'!GO24=0,"",'[1]Tasa de Falla'!GO24)</f>
      </c>
      <c r="R24" s="718">
        <f>IF('[1]Tasa de Falla'!GP24=0,"",'[1]Tasa de Falla'!GP24)</f>
      </c>
      <c r="S24" s="719"/>
      <c r="T24" s="3"/>
    </row>
    <row r="25" spans="2:20" ht="15" customHeight="1">
      <c r="B25" s="2"/>
      <c r="C25" s="754">
        <f>IF('[1]Tasa de Falla'!C25=0,"",'[1]Tasa de Falla'!C25)</f>
        <v>9</v>
      </c>
      <c r="D25" s="755" t="str">
        <f>IF('[1]Tasa de Falla'!D25=0,"",'[1]Tasa de Falla'!D25)</f>
        <v>FUTALEUFÚ - PUERTO MADRYN 1</v>
      </c>
      <c r="E25" s="755">
        <f>IF('[1]Tasa de Falla'!E25=0,"",'[1]Tasa de Falla'!E25)</f>
        <v>330</v>
      </c>
      <c r="F25" s="756">
        <f>IF('[1]Tasa de Falla'!F25=0,"",'[1]Tasa de Falla'!F25)</f>
        <v>550</v>
      </c>
      <c r="G25" s="718">
        <f>IF('[1]Tasa de Falla'!GE25=0,"",'[1]Tasa de Falla'!GE25)</f>
      </c>
      <c r="H25" s="718">
        <f>IF('[1]Tasa de Falla'!GF25=0,"",'[1]Tasa de Falla'!GF25)</f>
      </c>
      <c r="I25" s="718">
        <f>IF('[1]Tasa de Falla'!GG25=0,"",'[1]Tasa de Falla'!GG25)</f>
      </c>
      <c r="J25" s="718">
        <f>IF('[1]Tasa de Falla'!GH25=0,"",'[1]Tasa de Falla'!GH25)</f>
      </c>
      <c r="K25" s="718">
        <f>IF('[1]Tasa de Falla'!GI25=0,"",'[1]Tasa de Falla'!GI25)</f>
        <v>1</v>
      </c>
      <c r="L25" s="718">
        <f>IF('[1]Tasa de Falla'!GJ25=0,"",'[1]Tasa de Falla'!GJ25)</f>
      </c>
      <c r="M25" s="718">
        <f>IF('[1]Tasa de Falla'!GK25=0,"",'[1]Tasa de Falla'!GK25)</f>
      </c>
      <c r="N25" s="718">
        <f>IF('[1]Tasa de Falla'!GL25=0,"",'[1]Tasa de Falla'!GL25)</f>
      </c>
      <c r="O25" s="718">
        <f>IF('[1]Tasa de Falla'!GM25=0,"",'[1]Tasa de Falla'!GM25)</f>
      </c>
      <c r="P25" s="718">
        <f>IF('[1]Tasa de Falla'!GN25=0,"",'[1]Tasa de Falla'!GN25)</f>
      </c>
      <c r="Q25" s="718">
        <f>IF('[1]Tasa de Falla'!GO25=0,"",'[1]Tasa de Falla'!GO25)</f>
        <v>2</v>
      </c>
      <c r="R25" s="718">
        <f>IF('[1]Tasa de Falla'!GP25=0,"",'[1]Tasa de Falla'!GP25)</f>
      </c>
      <c r="S25" s="719"/>
      <c r="T25" s="3"/>
    </row>
    <row r="26" spans="2:20" ht="15" customHeight="1">
      <c r="B26" s="2"/>
      <c r="C26" s="751">
        <f>IF('[1]Tasa de Falla'!C26=0,"",'[1]Tasa de Falla'!C26)</f>
        <v>10</v>
      </c>
      <c r="D26" s="752" t="str">
        <f>IF('[1]Tasa de Falla'!D26=0,"",'[1]Tasa de Falla'!D26)</f>
        <v>FUTALEUFÚ - PUERTO MADRYN 2</v>
      </c>
      <c r="E26" s="752">
        <f>IF('[1]Tasa de Falla'!E26=0,"",'[1]Tasa de Falla'!E26)</f>
        <v>330</v>
      </c>
      <c r="F26" s="753">
        <f>IF('[1]Tasa de Falla'!F26=0,"",'[1]Tasa de Falla'!F26)</f>
        <v>550</v>
      </c>
      <c r="G26" s="718">
        <f>IF('[1]Tasa de Falla'!GE26=0,"",'[1]Tasa de Falla'!GE26)</f>
        <v>1</v>
      </c>
      <c r="H26" s="718">
        <f>IF('[1]Tasa de Falla'!GF26=0,"",'[1]Tasa de Falla'!GF26)</f>
      </c>
      <c r="I26" s="718">
        <f>IF('[1]Tasa de Falla'!GG26=0,"",'[1]Tasa de Falla'!GG26)</f>
      </c>
      <c r="J26" s="718">
        <f>IF('[1]Tasa de Falla'!GH26=0,"",'[1]Tasa de Falla'!GH26)</f>
      </c>
      <c r="K26" s="718">
        <f>IF('[1]Tasa de Falla'!GI26=0,"",'[1]Tasa de Falla'!GI26)</f>
      </c>
      <c r="L26" s="718">
        <f>IF('[1]Tasa de Falla'!GJ26=0,"",'[1]Tasa de Falla'!GJ26)</f>
      </c>
      <c r="M26" s="718">
        <f>IF('[1]Tasa de Falla'!GK26=0,"",'[1]Tasa de Falla'!GK26)</f>
      </c>
      <c r="N26" s="718">
        <f>IF('[1]Tasa de Falla'!GL26=0,"",'[1]Tasa de Falla'!GL26)</f>
        <v>1</v>
      </c>
      <c r="O26" s="718">
        <f>IF('[1]Tasa de Falla'!GM26=0,"",'[1]Tasa de Falla'!GM26)</f>
      </c>
      <c r="P26" s="718">
        <f>IF('[1]Tasa de Falla'!GN26=0,"",'[1]Tasa de Falla'!GN26)</f>
      </c>
      <c r="Q26" s="718">
        <f>IF('[1]Tasa de Falla'!GO26=0,"",'[1]Tasa de Falla'!GO26)</f>
      </c>
      <c r="R26" s="718">
        <f>IF('[1]Tasa de Falla'!GP26=0,"",'[1]Tasa de Falla'!GP26)</f>
      </c>
      <c r="S26" s="719"/>
      <c r="T26" s="3"/>
    </row>
    <row r="27" spans="2:20" ht="15" customHeight="1">
      <c r="B27" s="2"/>
      <c r="C27" s="754">
        <f>IF('[1]Tasa de Falla'!C27=0,"",'[1]Tasa de Falla'!C27)</f>
        <v>11</v>
      </c>
      <c r="D27" s="755" t="str">
        <f>IF('[1]Tasa de Falla'!D27=0,"",'[1]Tasa de Falla'!D27)</f>
        <v>PLANTA ALUMINIO APPA - PUERTO MADRYN 1</v>
      </c>
      <c r="E27" s="755">
        <f>IF('[1]Tasa de Falla'!E27=0,"",'[1]Tasa de Falla'!E27)</f>
        <v>330</v>
      </c>
      <c r="F27" s="756">
        <f>IF('[1]Tasa de Falla'!F27=0,"",'[1]Tasa de Falla'!F27)</f>
        <v>5.5</v>
      </c>
      <c r="G27" s="718">
        <f>IF('[1]Tasa de Falla'!GE27=0,"",'[1]Tasa de Falla'!GE27)</f>
      </c>
      <c r="H27" s="718">
        <f>IF('[1]Tasa de Falla'!GF27=0,"",'[1]Tasa de Falla'!GF27)</f>
      </c>
      <c r="I27" s="718">
        <f>IF('[1]Tasa de Falla'!GG27=0,"",'[1]Tasa de Falla'!GG27)</f>
      </c>
      <c r="J27" s="718">
        <f>IF('[1]Tasa de Falla'!GH27=0,"",'[1]Tasa de Falla'!GH27)</f>
      </c>
      <c r="K27" s="718">
        <f>IF('[1]Tasa de Falla'!GI27=0,"",'[1]Tasa de Falla'!GI27)</f>
      </c>
      <c r="L27" s="718">
        <f>IF('[1]Tasa de Falla'!GJ27=0,"",'[1]Tasa de Falla'!GJ27)</f>
      </c>
      <c r="M27" s="718">
        <f>IF('[1]Tasa de Falla'!GK27=0,"",'[1]Tasa de Falla'!GK27)</f>
      </c>
      <c r="N27" s="718">
        <f>IF('[1]Tasa de Falla'!GL27=0,"",'[1]Tasa de Falla'!GL27)</f>
      </c>
      <c r="O27" s="718">
        <f>IF('[1]Tasa de Falla'!GM27=0,"",'[1]Tasa de Falla'!GM27)</f>
      </c>
      <c r="P27" s="718">
        <f>IF('[1]Tasa de Falla'!GN27=0,"",'[1]Tasa de Falla'!GN27)</f>
      </c>
      <c r="Q27" s="718">
        <f>IF('[1]Tasa de Falla'!GO27=0,"",'[1]Tasa de Falla'!GO27)</f>
      </c>
      <c r="R27" s="718">
        <f>IF('[1]Tasa de Falla'!GP27=0,"",'[1]Tasa de Falla'!GP27)</f>
      </c>
      <c r="S27" s="719"/>
      <c r="T27" s="3"/>
    </row>
    <row r="28" spans="2:20" ht="15" customHeight="1">
      <c r="B28" s="2"/>
      <c r="C28" s="751">
        <f>IF('[1]Tasa de Falla'!C28=0,"",'[1]Tasa de Falla'!C28)</f>
        <v>12</v>
      </c>
      <c r="D28" s="752" t="str">
        <f>IF('[1]Tasa de Falla'!D28=0,"",'[1]Tasa de Falla'!D28)</f>
        <v>PLANTA ALUMINIO APPA - PUERTO MADRYN 2</v>
      </c>
      <c r="E28" s="752">
        <f>IF('[1]Tasa de Falla'!E28=0,"",'[1]Tasa de Falla'!E28)</f>
        <v>330</v>
      </c>
      <c r="F28" s="753">
        <f>IF('[1]Tasa de Falla'!F28=0,"",'[1]Tasa de Falla'!F28)</f>
        <v>5.5</v>
      </c>
      <c r="G28" s="718">
        <f>IF('[1]Tasa de Falla'!GE28=0,"",'[1]Tasa de Falla'!GE28)</f>
      </c>
      <c r="H28" s="718">
        <f>IF('[1]Tasa de Falla'!GF28=0,"",'[1]Tasa de Falla'!GF28)</f>
      </c>
      <c r="I28" s="718">
        <f>IF('[1]Tasa de Falla'!GG28=0,"",'[1]Tasa de Falla'!GG28)</f>
      </c>
      <c r="J28" s="718">
        <f>IF('[1]Tasa de Falla'!GH28=0,"",'[1]Tasa de Falla'!GH28)</f>
      </c>
      <c r="K28" s="718">
        <f>IF('[1]Tasa de Falla'!GI28=0,"",'[1]Tasa de Falla'!GI28)</f>
      </c>
      <c r="L28" s="718">
        <f>IF('[1]Tasa de Falla'!GJ28=0,"",'[1]Tasa de Falla'!GJ28)</f>
      </c>
      <c r="M28" s="718">
        <f>IF('[1]Tasa de Falla'!GK28=0,"",'[1]Tasa de Falla'!GK28)</f>
      </c>
      <c r="N28" s="718">
        <f>IF('[1]Tasa de Falla'!GL28=0,"",'[1]Tasa de Falla'!GL28)</f>
      </c>
      <c r="O28" s="718">
        <f>IF('[1]Tasa de Falla'!GM28=0,"",'[1]Tasa de Falla'!GM28)</f>
      </c>
      <c r="P28" s="718">
        <f>IF('[1]Tasa de Falla'!GN28=0,"",'[1]Tasa de Falla'!GN28)</f>
      </c>
      <c r="Q28" s="718">
        <f>IF('[1]Tasa de Falla'!GO28=0,"",'[1]Tasa de Falla'!GO28)</f>
      </c>
      <c r="R28" s="718">
        <f>IF('[1]Tasa de Falla'!GP28=0,"",'[1]Tasa de Falla'!GP28)</f>
      </c>
      <c r="S28" s="719"/>
      <c r="T28" s="3"/>
    </row>
    <row r="29" spans="2:20" ht="15" customHeight="1">
      <c r="B29" s="2"/>
      <c r="C29" s="754">
        <f>IF('[1]Tasa de Falla'!C29=0,"",'[1]Tasa de Falla'!C29)</f>
        <v>13</v>
      </c>
      <c r="D29" s="755" t="str">
        <f>IF('[1]Tasa de Falla'!D29=0,"",'[1]Tasa de Falla'!D29)</f>
        <v>PICO TRUNCADO I - PICO TRUNCADO II</v>
      </c>
      <c r="E29" s="755">
        <f>IF('[1]Tasa de Falla'!E29=0,"",'[1]Tasa de Falla'!E29)</f>
        <v>132</v>
      </c>
      <c r="F29" s="756">
        <f>IF('[1]Tasa de Falla'!F29=0,"",'[1]Tasa de Falla'!F29)</f>
        <v>13.4</v>
      </c>
      <c r="G29" s="718">
        <f>IF('[1]Tasa de Falla'!GE29=0,"",'[1]Tasa de Falla'!GE29)</f>
      </c>
      <c r="H29" s="718">
        <f>IF('[1]Tasa de Falla'!GF29=0,"",'[1]Tasa de Falla'!GF29)</f>
      </c>
      <c r="I29" s="718">
        <f>IF('[1]Tasa de Falla'!GG29=0,"",'[1]Tasa de Falla'!GG29)</f>
      </c>
      <c r="J29" s="718">
        <f>IF('[1]Tasa de Falla'!GH29=0,"",'[1]Tasa de Falla'!GH29)</f>
        <v>1</v>
      </c>
      <c r="K29" s="718">
        <f>IF('[1]Tasa de Falla'!GI29=0,"",'[1]Tasa de Falla'!GI29)</f>
      </c>
      <c r="L29" s="718">
        <f>IF('[1]Tasa de Falla'!GJ29=0,"",'[1]Tasa de Falla'!GJ29)</f>
      </c>
      <c r="M29" s="718">
        <f>IF('[1]Tasa de Falla'!GK29=0,"",'[1]Tasa de Falla'!GK29)</f>
      </c>
      <c r="N29" s="718">
        <f>IF('[1]Tasa de Falla'!GL29=0,"",'[1]Tasa de Falla'!GL29)</f>
      </c>
      <c r="O29" s="718">
        <f>IF('[1]Tasa de Falla'!GM29=0,"",'[1]Tasa de Falla'!GM29)</f>
      </c>
      <c r="P29" s="718">
        <f>IF('[1]Tasa de Falla'!GN29=0,"",'[1]Tasa de Falla'!GN29)</f>
      </c>
      <c r="Q29" s="718">
        <f>IF('[1]Tasa de Falla'!GO29=0,"",'[1]Tasa de Falla'!GO29)</f>
      </c>
      <c r="R29" s="718">
        <f>IF('[1]Tasa de Falla'!GP29=0,"",'[1]Tasa de Falla'!GP29)</f>
      </c>
      <c r="S29" s="719"/>
      <c r="T29" s="3"/>
    </row>
    <row r="30" spans="2:20" ht="15" customHeight="1">
      <c r="B30" s="2"/>
      <c r="C30" s="751">
        <f>IF('[1]Tasa de Falla'!C30=0,"",'[1]Tasa de Falla'!C30)</f>
        <v>14</v>
      </c>
      <c r="D30" s="752" t="str">
        <f>IF('[1]Tasa de Falla'!D30=0,"",'[1]Tasa de Falla'!D30)</f>
        <v>PLANTA ALUMINIO DGPA - PTO MADRYN</v>
      </c>
      <c r="E30" s="752">
        <f>IF('[1]Tasa de Falla'!E30=0,"",'[1]Tasa de Falla'!E30)</f>
        <v>132</v>
      </c>
      <c r="F30" s="753">
        <f>IF('[1]Tasa de Falla'!F30=0,"",'[1]Tasa de Falla'!F30)</f>
        <v>5.7</v>
      </c>
      <c r="G30" s="718">
        <f>IF('[1]Tasa de Falla'!GE30=0,"",'[1]Tasa de Falla'!GE30)</f>
      </c>
      <c r="H30" s="718">
        <f>IF('[1]Tasa de Falla'!GF30=0,"",'[1]Tasa de Falla'!GF30)</f>
      </c>
      <c r="I30" s="718">
        <f>IF('[1]Tasa de Falla'!GG30=0,"",'[1]Tasa de Falla'!GG30)</f>
      </c>
      <c r="J30" s="718">
        <f>IF('[1]Tasa de Falla'!GH30=0,"",'[1]Tasa de Falla'!GH30)</f>
      </c>
      <c r="K30" s="718">
        <f>IF('[1]Tasa de Falla'!GI30=0,"",'[1]Tasa de Falla'!GI30)</f>
        <v>1</v>
      </c>
      <c r="L30" s="718">
        <f>IF('[1]Tasa de Falla'!GJ30=0,"",'[1]Tasa de Falla'!GJ30)</f>
      </c>
      <c r="M30" s="718">
        <f>IF('[1]Tasa de Falla'!GK30=0,"",'[1]Tasa de Falla'!GK30)</f>
      </c>
      <c r="N30" s="718">
        <f>IF('[1]Tasa de Falla'!GL30=0,"",'[1]Tasa de Falla'!GL30)</f>
      </c>
      <c r="O30" s="718">
        <f>IF('[1]Tasa de Falla'!GM30=0,"",'[1]Tasa de Falla'!GM30)</f>
      </c>
      <c r="P30" s="718">
        <f>IF('[1]Tasa de Falla'!GN30=0,"",'[1]Tasa de Falla'!GN30)</f>
      </c>
      <c r="Q30" s="718">
        <f>IF('[1]Tasa de Falla'!GO30=0,"",'[1]Tasa de Falla'!GO30)</f>
      </c>
      <c r="R30" s="718">
        <f>IF('[1]Tasa de Falla'!GP30=0,"",'[1]Tasa de Falla'!GP30)</f>
      </c>
      <c r="S30" s="719"/>
      <c r="T30" s="3"/>
    </row>
    <row r="31" spans="2:20" ht="15" customHeight="1">
      <c r="B31" s="2"/>
      <c r="C31" s="754">
        <f>IF('[1]Tasa de Falla'!C31=0,"",'[1]Tasa de Falla'!C31)</f>
        <v>15</v>
      </c>
      <c r="D31" s="755" t="str">
        <f>IF('[1]Tasa de Falla'!D31=0,"",'[1]Tasa de Falla'!D31)</f>
        <v>PLANTA ALUMINIO DGPA - SS.AA. PTO MADRYN</v>
      </c>
      <c r="E31" s="755">
        <f>IF('[1]Tasa de Falla'!E31=0,"",'[1]Tasa de Falla'!E31)</f>
        <v>33</v>
      </c>
      <c r="F31" s="756">
        <f>IF('[1]Tasa de Falla'!F31=0,"",'[1]Tasa de Falla'!F31)</f>
        <v>6</v>
      </c>
      <c r="G31" s="718">
        <f>IF('[1]Tasa de Falla'!GE31=0,"",'[1]Tasa de Falla'!GE31)</f>
      </c>
      <c r="H31" s="718">
        <f>IF('[1]Tasa de Falla'!GF31=0,"",'[1]Tasa de Falla'!GF31)</f>
      </c>
      <c r="I31" s="718">
        <f>IF('[1]Tasa de Falla'!GG31=0,"",'[1]Tasa de Falla'!GG31)</f>
      </c>
      <c r="J31" s="718">
        <f>IF('[1]Tasa de Falla'!GH31=0,"",'[1]Tasa de Falla'!GH31)</f>
      </c>
      <c r="K31" s="718">
        <f>IF('[1]Tasa de Falla'!GI31=0,"",'[1]Tasa de Falla'!GI31)</f>
      </c>
      <c r="L31" s="718">
        <f>IF('[1]Tasa de Falla'!GJ31=0,"",'[1]Tasa de Falla'!GJ31)</f>
      </c>
      <c r="M31" s="718">
        <f>IF('[1]Tasa de Falla'!GK31=0,"",'[1]Tasa de Falla'!GK31)</f>
      </c>
      <c r="N31" s="718">
        <f>IF('[1]Tasa de Falla'!GL31=0,"",'[1]Tasa de Falla'!GL31)</f>
      </c>
      <c r="O31" s="718">
        <f>IF('[1]Tasa de Falla'!GM31=0,"",'[1]Tasa de Falla'!GM31)</f>
      </c>
      <c r="P31" s="718">
        <f>IF('[1]Tasa de Falla'!GN31=0,"",'[1]Tasa de Falla'!GN31)</f>
      </c>
      <c r="Q31" s="718">
        <f>IF('[1]Tasa de Falla'!GO31=0,"",'[1]Tasa de Falla'!GO31)</f>
      </c>
      <c r="R31" s="718">
        <f>IF('[1]Tasa de Falla'!GP31=0,"",'[1]Tasa de Falla'!GP31)</f>
      </c>
      <c r="S31" s="719"/>
      <c r="T31" s="3"/>
    </row>
    <row r="32" spans="2:20" ht="15" customHeight="1">
      <c r="B32" s="2"/>
      <c r="C32" s="751">
        <f>IF('[1]Tasa de Falla'!C32=0,"",'[1]Tasa de Falla'!C32)</f>
        <v>16</v>
      </c>
      <c r="D32" s="752" t="str">
        <f>IF('[1]Tasa de Falla'!D32=0,"",'[1]Tasa de Falla'!D32)</f>
        <v>PLANTA ALUMINIO DGPA - TRELEW</v>
      </c>
      <c r="E32" s="752">
        <f>IF('[1]Tasa de Falla'!E32=0,"",'[1]Tasa de Falla'!E32)</f>
        <v>132</v>
      </c>
      <c r="F32" s="753">
        <f>IF('[1]Tasa de Falla'!F32=0,"",'[1]Tasa de Falla'!F32)</f>
        <v>62</v>
      </c>
      <c r="G32" s="718">
        <f>IF('[1]Tasa de Falla'!GE32=0,"",'[1]Tasa de Falla'!GE32)</f>
        <v>1</v>
      </c>
      <c r="H32" s="718">
        <f>IF('[1]Tasa de Falla'!GF32=0,"",'[1]Tasa de Falla'!GF32)</f>
      </c>
      <c r="I32" s="718">
        <f>IF('[1]Tasa de Falla'!GG32=0,"",'[1]Tasa de Falla'!GG32)</f>
      </c>
      <c r="J32" s="718">
        <f>IF('[1]Tasa de Falla'!GH32=0,"",'[1]Tasa de Falla'!GH32)</f>
      </c>
      <c r="K32" s="718">
        <f>IF('[1]Tasa de Falla'!GI32=0,"",'[1]Tasa de Falla'!GI32)</f>
      </c>
      <c r="L32" s="718">
        <f>IF('[1]Tasa de Falla'!GJ32=0,"",'[1]Tasa de Falla'!GJ32)</f>
      </c>
      <c r="M32" s="718">
        <f>IF('[1]Tasa de Falla'!GK32=0,"",'[1]Tasa de Falla'!GK32)</f>
      </c>
      <c r="N32" s="718">
        <f>IF('[1]Tasa de Falla'!GL32=0,"",'[1]Tasa de Falla'!GL32)</f>
      </c>
      <c r="O32" s="718">
        <f>IF('[1]Tasa de Falla'!GM32=0,"",'[1]Tasa de Falla'!GM32)</f>
      </c>
      <c r="P32" s="718">
        <f>IF('[1]Tasa de Falla'!GN32=0,"",'[1]Tasa de Falla'!GN32)</f>
      </c>
      <c r="Q32" s="718">
        <f>IF('[1]Tasa de Falla'!GO32=0,"",'[1]Tasa de Falla'!GO32)</f>
      </c>
      <c r="R32" s="718">
        <f>IF('[1]Tasa de Falla'!GP32=0,"",'[1]Tasa de Falla'!GP32)</f>
      </c>
      <c r="S32" s="719"/>
      <c r="T32" s="3"/>
    </row>
    <row r="33" spans="2:20" ht="18" customHeight="1">
      <c r="B33" s="2"/>
      <c r="C33" s="754">
        <f>IF('[1]Tasa de Falla'!C33=0,"",'[1]Tasa de Falla'!C33)</f>
        <v>17</v>
      </c>
      <c r="D33" s="755" t="str">
        <f>IF('[1]Tasa de Falla'!D33=0,"",'[1]Tasa de Falla'!D33)</f>
        <v>PUERTO MADRYN - SIERRA GRANDE</v>
      </c>
      <c r="E33" s="755">
        <f>IF('[1]Tasa de Falla'!E33=0,"",'[1]Tasa de Falla'!E33)</f>
        <v>132</v>
      </c>
      <c r="F33" s="756">
        <f>IF('[1]Tasa de Falla'!F33=0,"",'[1]Tasa de Falla'!F33)</f>
        <v>121.5</v>
      </c>
      <c r="G33" s="718">
        <f>IF('[1]Tasa de Falla'!GE33=0,"",'[1]Tasa de Falla'!GE33)</f>
      </c>
      <c r="H33" s="718">
        <f>IF('[1]Tasa de Falla'!GF33=0,"",'[1]Tasa de Falla'!GF33)</f>
      </c>
      <c r="I33" s="718">
        <f>IF('[1]Tasa de Falla'!GG33=0,"",'[1]Tasa de Falla'!GG33)</f>
      </c>
      <c r="J33" s="718">
        <f>IF('[1]Tasa de Falla'!GH33=0,"",'[1]Tasa de Falla'!GH33)</f>
      </c>
      <c r="K33" s="718">
        <f>IF('[1]Tasa de Falla'!GI33=0,"",'[1]Tasa de Falla'!GI33)</f>
      </c>
      <c r="L33" s="718">
        <f>IF('[1]Tasa de Falla'!GJ33=0,"",'[1]Tasa de Falla'!GJ33)</f>
      </c>
      <c r="M33" s="718">
        <f>IF('[1]Tasa de Falla'!GK33=0,"",'[1]Tasa de Falla'!GK33)</f>
        <v>1</v>
      </c>
      <c r="N33" s="718">
        <f>IF('[1]Tasa de Falla'!GL33=0,"",'[1]Tasa de Falla'!GL33)</f>
      </c>
      <c r="O33" s="718">
        <f>IF('[1]Tasa de Falla'!GM33=0,"",'[1]Tasa de Falla'!GM33)</f>
      </c>
      <c r="P33" s="718">
        <f>IF('[1]Tasa de Falla'!GN33=0,"",'[1]Tasa de Falla'!GN33)</f>
        <v>3</v>
      </c>
      <c r="Q33" s="718">
        <f>IF('[1]Tasa de Falla'!GO33=0,"",'[1]Tasa de Falla'!GO33)</f>
      </c>
      <c r="R33" s="718">
        <f>IF('[1]Tasa de Falla'!GP33=0,"",'[1]Tasa de Falla'!GP33)</f>
      </c>
      <c r="S33" s="719"/>
      <c r="T33" s="3"/>
    </row>
    <row r="34" spans="2:20" ht="16.5" customHeight="1">
      <c r="B34" s="2"/>
      <c r="C34" s="751">
        <f>IF('[1]Tasa de Falla'!C34=0,"",'[1]Tasa de Falla'!C34)</f>
        <v>18</v>
      </c>
      <c r="D34" s="752" t="str">
        <f>IF('[1]Tasa de Falla'!D34=0,"",'[1]Tasa de Falla'!D34)</f>
        <v>BARRIO SAN MARTIN - A CONEXION "T"</v>
      </c>
      <c r="E34" s="752">
        <f>IF('[1]Tasa de Falla'!E34=0,"",'[1]Tasa de Falla'!E34)</f>
        <v>132</v>
      </c>
      <c r="F34" s="753">
        <f>IF('[1]Tasa de Falla'!F34=0,"",'[1]Tasa de Falla'!F34)</f>
        <v>7.5</v>
      </c>
      <c r="G34" s="718" t="str">
        <f>IF('[1]Tasa de Falla'!GE34=0,"",'[1]Tasa de Falla'!GE34)</f>
        <v>XXXX</v>
      </c>
      <c r="H34" s="718" t="str">
        <f>IF('[1]Tasa de Falla'!GF34=0,"",'[1]Tasa de Falla'!GF34)</f>
        <v>XXXX</v>
      </c>
      <c r="I34" s="718" t="str">
        <f>IF('[1]Tasa de Falla'!GG34=0,"",'[1]Tasa de Falla'!GG34)</f>
        <v>XXXX</v>
      </c>
      <c r="J34" s="718" t="str">
        <f>IF('[1]Tasa de Falla'!GH34=0,"",'[1]Tasa de Falla'!GH34)</f>
        <v>XXXX</v>
      </c>
      <c r="K34" s="718" t="str">
        <f>IF('[1]Tasa de Falla'!GI34=0,"",'[1]Tasa de Falla'!GI34)</f>
        <v>XXXX</v>
      </c>
      <c r="L34" s="718" t="str">
        <f>IF('[1]Tasa de Falla'!GJ34=0,"",'[1]Tasa de Falla'!GJ34)</f>
        <v>XXXX</v>
      </c>
      <c r="M34" s="718" t="str">
        <f>IF('[1]Tasa de Falla'!GK34=0,"",'[1]Tasa de Falla'!GK34)</f>
        <v>XXXX</v>
      </c>
      <c r="N34" s="718" t="str">
        <f>IF('[1]Tasa de Falla'!GL34=0,"",'[1]Tasa de Falla'!GL34)</f>
        <v>XXXX</v>
      </c>
      <c r="O34" s="718" t="str">
        <f>IF('[1]Tasa de Falla'!GM34=0,"",'[1]Tasa de Falla'!GM34)</f>
        <v>XXXX</v>
      </c>
      <c r="P34" s="718" t="str">
        <f>IF('[1]Tasa de Falla'!GN34=0,"",'[1]Tasa de Falla'!GN34)</f>
        <v>XXXX</v>
      </c>
      <c r="Q34" s="718" t="str">
        <f>IF('[1]Tasa de Falla'!GO34=0,"",'[1]Tasa de Falla'!GO34)</f>
        <v>XXXX</v>
      </c>
      <c r="R34" s="718" t="str">
        <f>IF('[1]Tasa de Falla'!GP34=0,"",'[1]Tasa de Falla'!GP34)</f>
        <v>XXXX</v>
      </c>
      <c r="S34" s="719"/>
      <c r="T34" s="3"/>
    </row>
    <row r="35" spans="2:20" ht="15" customHeight="1">
      <c r="B35" s="2"/>
      <c r="C35" s="754">
        <f>IF('[1]Tasa de Falla'!C35=0,"",'[1]Tasa de Falla'!C35)</f>
        <v>19</v>
      </c>
      <c r="D35" s="755" t="str">
        <f>IF('[1]Tasa de Falla'!D35=0,"",'[1]Tasa de Falla'!D35)</f>
        <v>PICO TRUNCADO I - LAS HERAS</v>
      </c>
      <c r="E35" s="755">
        <f>IF('[1]Tasa de Falla'!E35=0,"",'[1]Tasa de Falla'!E35)</f>
        <v>132</v>
      </c>
      <c r="F35" s="756">
        <f>IF('[1]Tasa de Falla'!F35=0,"",'[1]Tasa de Falla'!F35)</f>
        <v>82.5</v>
      </c>
      <c r="G35" s="718">
        <f>IF('[1]Tasa de Falla'!GE35=0,"",'[1]Tasa de Falla'!GE35)</f>
      </c>
      <c r="H35" s="718">
        <f>IF('[1]Tasa de Falla'!GF35=0,"",'[1]Tasa de Falla'!GF35)</f>
      </c>
      <c r="I35" s="718">
        <f>IF('[1]Tasa de Falla'!GG35=0,"",'[1]Tasa de Falla'!GG35)</f>
      </c>
      <c r="J35" s="718">
        <f>IF('[1]Tasa de Falla'!GH35=0,"",'[1]Tasa de Falla'!GH35)</f>
      </c>
      <c r="K35" s="718">
        <f>IF('[1]Tasa de Falla'!GI35=0,"",'[1]Tasa de Falla'!GI35)</f>
      </c>
      <c r="L35" s="718">
        <f>IF('[1]Tasa de Falla'!GJ35=0,"",'[1]Tasa de Falla'!GJ35)</f>
      </c>
      <c r="M35" s="718">
        <f>IF('[1]Tasa de Falla'!GK35=0,"",'[1]Tasa de Falla'!GK35)</f>
      </c>
      <c r="N35" s="718">
        <f>IF('[1]Tasa de Falla'!GL35=0,"",'[1]Tasa de Falla'!GL35)</f>
      </c>
      <c r="O35" s="718" t="str">
        <f>IF('[1]Tasa de Falla'!GM35=0,"",'[1]Tasa de Falla'!GM35)</f>
        <v>XXXX</v>
      </c>
      <c r="P35" s="718" t="str">
        <f>IF('[1]Tasa de Falla'!GN35=0,"",'[1]Tasa de Falla'!GN35)</f>
        <v>XXXX</v>
      </c>
      <c r="Q35" s="718" t="str">
        <f>IF('[1]Tasa de Falla'!GO35=0,"",'[1]Tasa de Falla'!GO35)</f>
        <v>XXXX</v>
      </c>
      <c r="R35" s="718" t="str">
        <f>IF('[1]Tasa de Falla'!GP35=0,"",'[1]Tasa de Falla'!GP35)</f>
        <v>XXXX</v>
      </c>
      <c r="S35" s="719"/>
      <c r="T35" s="3"/>
    </row>
    <row r="36" spans="2:20" ht="15" customHeight="1">
      <c r="B36" s="2"/>
      <c r="C36" s="751">
        <f>IF('[1]Tasa de Falla'!C36=0,"",'[1]Tasa de Falla'!C36)</f>
        <v>20</v>
      </c>
      <c r="D36" s="752" t="str">
        <f>IF('[1]Tasa de Falla'!D36=0,"",'[1]Tasa de Falla'!D36)</f>
        <v>LAS HERAS - LOS PERALES</v>
      </c>
      <c r="E36" s="752">
        <f>IF('[1]Tasa de Falla'!E36=0,"",'[1]Tasa de Falla'!E36)</f>
        <v>132</v>
      </c>
      <c r="F36" s="753">
        <f>IF('[1]Tasa de Falla'!F36=0,"",'[1]Tasa de Falla'!F36)</f>
        <v>47</v>
      </c>
      <c r="G36" s="718">
        <f>IF('[1]Tasa de Falla'!GE36=0,"",'[1]Tasa de Falla'!GE36)</f>
      </c>
      <c r="H36" s="718">
        <f>IF('[1]Tasa de Falla'!GF36=0,"",'[1]Tasa de Falla'!GF36)</f>
      </c>
      <c r="I36" s="718">
        <f>IF('[1]Tasa de Falla'!GG36=0,"",'[1]Tasa de Falla'!GG36)</f>
      </c>
      <c r="J36" s="718">
        <f>IF('[1]Tasa de Falla'!GH36=0,"",'[1]Tasa de Falla'!GH36)</f>
      </c>
      <c r="K36" s="718">
        <f>IF('[1]Tasa de Falla'!GI36=0,"",'[1]Tasa de Falla'!GI36)</f>
      </c>
      <c r="L36" s="718">
        <f>IF('[1]Tasa de Falla'!GJ36=0,"",'[1]Tasa de Falla'!GJ36)</f>
      </c>
      <c r="M36" s="718">
        <f>IF('[1]Tasa de Falla'!GK36=0,"",'[1]Tasa de Falla'!GK36)</f>
      </c>
      <c r="N36" s="718">
        <f>IF('[1]Tasa de Falla'!GL36=0,"",'[1]Tasa de Falla'!GL36)</f>
      </c>
      <c r="O36" s="718">
        <f>IF('[1]Tasa de Falla'!GM36=0,"",'[1]Tasa de Falla'!GM36)</f>
      </c>
      <c r="P36" s="718">
        <f>IF('[1]Tasa de Falla'!GN36=0,"",'[1]Tasa de Falla'!GN36)</f>
      </c>
      <c r="Q36" s="718">
        <f>IF('[1]Tasa de Falla'!GO36=0,"",'[1]Tasa de Falla'!GO36)</f>
      </c>
      <c r="R36" s="718">
        <f>IF('[1]Tasa de Falla'!GP36=0,"",'[1]Tasa de Falla'!GP36)</f>
        <v>1</v>
      </c>
      <c r="S36" s="719"/>
      <c r="T36" s="3"/>
    </row>
    <row r="37" spans="2:20" ht="15" customHeight="1">
      <c r="B37" s="2"/>
      <c r="C37" s="754">
        <f>IF('[1]Tasa de Falla'!C37=0,"",'[1]Tasa de Falla'!C37)</f>
        <v>21</v>
      </c>
      <c r="D37" s="755" t="str">
        <f>IF('[1]Tasa de Falla'!D37=0,"",'[1]Tasa de Falla'!D37)</f>
        <v>N. P. MADRYN - P. MADRYN 330 kV</v>
      </c>
      <c r="E37" s="755">
        <f>IF('[1]Tasa de Falla'!E37=0,"",'[1]Tasa de Falla'!E37)</f>
        <v>330</v>
      </c>
      <c r="F37" s="756">
        <f>IF('[1]Tasa de Falla'!F37=0,"",'[1]Tasa de Falla'!F37)</f>
        <v>0.47</v>
      </c>
      <c r="G37" s="718">
        <f>IF('[1]Tasa de Falla'!GE37=0,"",'[1]Tasa de Falla'!GE37)</f>
      </c>
      <c r="H37" s="718">
        <f>IF('[1]Tasa de Falla'!GF37=0,"",'[1]Tasa de Falla'!GF37)</f>
      </c>
      <c r="I37" s="718">
        <f>IF('[1]Tasa de Falla'!GG37=0,"",'[1]Tasa de Falla'!GG37)</f>
      </c>
      <c r="J37" s="718">
        <f>IF('[1]Tasa de Falla'!GH37=0,"",'[1]Tasa de Falla'!GH37)</f>
      </c>
      <c r="K37" s="718">
        <f>IF('[1]Tasa de Falla'!GI37=0,"",'[1]Tasa de Falla'!GI37)</f>
      </c>
      <c r="L37" s="718">
        <f>IF('[1]Tasa de Falla'!GJ37=0,"",'[1]Tasa de Falla'!GJ37)</f>
      </c>
      <c r="M37" s="718">
        <f>IF('[1]Tasa de Falla'!GK37=0,"",'[1]Tasa de Falla'!GK37)</f>
      </c>
      <c r="N37" s="718">
        <f>IF('[1]Tasa de Falla'!GL37=0,"",'[1]Tasa de Falla'!GL37)</f>
      </c>
      <c r="O37" s="718">
        <f>IF('[1]Tasa de Falla'!GM37=0,"",'[1]Tasa de Falla'!GM37)</f>
      </c>
      <c r="P37" s="718">
        <f>IF('[1]Tasa de Falla'!GN37=0,"",'[1]Tasa de Falla'!GN37)</f>
      </c>
      <c r="Q37" s="718">
        <f>IF('[1]Tasa de Falla'!GO37=0,"",'[1]Tasa de Falla'!GO37)</f>
      </c>
      <c r="R37" s="718">
        <f>IF('[1]Tasa de Falla'!GP37=0,"",'[1]Tasa de Falla'!GP37)</f>
      </c>
      <c r="S37" s="719"/>
      <c r="T37" s="3"/>
    </row>
    <row r="38" spans="2:20" ht="18" customHeight="1">
      <c r="B38" s="2"/>
      <c r="C38" s="751">
        <f>IF('[1]Tasa de Falla'!C38=0,"",'[1]Tasa de Falla'!C38)</f>
        <v>31</v>
      </c>
      <c r="D38" s="752" t="str">
        <f>IF('[1]Tasa de Falla'!D38=0,"",'[1]Tasa de Falla'!D38)</f>
        <v>LAS HERAS - MINA SAN JOSE</v>
      </c>
      <c r="E38" s="752">
        <f>IF('[1]Tasa de Falla'!E38=0,"",'[1]Tasa de Falla'!E38)</f>
        <v>132</v>
      </c>
      <c r="F38" s="753">
        <f>IF('[1]Tasa de Falla'!F38=0,"",'[1]Tasa de Falla'!F38)</f>
        <v>128</v>
      </c>
      <c r="G38" s="718" t="str">
        <f>IF('[1]Tasa de Falla'!GE38=0,"",'[1]Tasa de Falla'!GE38)</f>
        <v>XXXX</v>
      </c>
      <c r="H38" s="718" t="str">
        <f>IF('[1]Tasa de Falla'!GF38=0,"",'[1]Tasa de Falla'!GF38)</f>
        <v>XXXX</v>
      </c>
      <c r="I38" s="718" t="str">
        <f>IF('[1]Tasa de Falla'!GG38=0,"",'[1]Tasa de Falla'!GG38)</f>
        <v>XXXX</v>
      </c>
      <c r="J38" s="718" t="str">
        <f>IF('[1]Tasa de Falla'!GH38=0,"",'[1]Tasa de Falla'!GH38)</f>
        <v>XXXX</v>
      </c>
      <c r="K38" s="718" t="str">
        <f>IF('[1]Tasa de Falla'!GI38=0,"",'[1]Tasa de Falla'!GI38)</f>
        <v>XXXX</v>
      </c>
      <c r="L38" s="718" t="str">
        <f>IF('[1]Tasa de Falla'!GJ38=0,"",'[1]Tasa de Falla'!GJ38)</f>
        <v>XXXX</v>
      </c>
      <c r="M38" s="718" t="str">
        <f>IF('[1]Tasa de Falla'!GK38=0,"",'[1]Tasa de Falla'!GK38)</f>
        <v>XXXX</v>
      </c>
      <c r="N38" s="718" t="str">
        <f>IF('[1]Tasa de Falla'!GL38=0,"",'[1]Tasa de Falla'!GL38)</f>
        <v>XXXX</v>
      </c>
      <c r="O38" s="718">
        <f>IF('[1]Tasa de Falla'!GM38=0,"",'[1]Tasa de Falla'!GM38)</f>
        <v>1</v>
      </c>
      <c r="P38" s="718">
        <f>IF('[1]Tasa de Falla'!GN38=0,"",'[1]Tasa de Falla'!GN38)</f>
      </c>
      <c r="Q38" s="718">
        <f>IF('[1]Tasa de Falla'!GO38=0,"",'[1]Tasa de Falla'!GO38)</f>
      </c>
      <c r="R38" s="718">
        <f>IF('[1]Tasa de Falla'!GP38=0,"",'[1]Tasa de Falla'!GP38)</f>
        <v>1</v>
      </c>
      <c r="S38" s="719"/>
      <c r="T38" s="3"/>
    </row>
    <row r="39" spans="2:20" ht="19.5" customHeight="1">
      <c r="B39" s="2"/>
      <c r="C39" s="754">
        <f>IF('[1]Tasa de Falla'!C39=0,"",'[1]Tasa de Falla'!C39)</f>
        <v>27</v>
      </c>
      <c r="D39" s="755" t="str">
        <f>IF('[1]Tasa de Falla'!D39=0,"",'[1]Tasa de Falla'!D39)</f>
        <v>PAMPA DEL CASTILLO - EL TORDILLO</v>
      </c>
      <c r="E39" s="755">
        <f>IF('[1]Tasa de Falla'!E39=0,"",'[1]Tasa de Falla'!E39)</f>
        <v>132</v>
      </c>
      <c r="F39" s="756">
        <f>IF('[1]Tasa de Falla'!F39=0,"",'[1]Tasa de Falla'!F39)</f>
        <v>8.9</v>
      </c>
      <c r="G39" s="718">
        <f>IF('[1]Tasa de Falla'!GE39=0,"",'[1]Tasa de Falla'!GE39)</f>
      </c>
      <c r="H39" s="718">
        <f>IF('[1]Tasa de Falla'!GF39=0,"",'[1]Tasa de Falla'!GF39)</f>
      </c>
      <c r="I39" s="718">
        <f>IF('[1]Tasa de Falla'!GG39=0,"",'[1]Tasa de Falla'!GG39)</f>
      </c>
      <c r="J39" s="718">
        <f>IF('[1]Tasa de Falla'!GH39=0,"",'[1]Tasa de Falla'!GH39)</f>
        <v>2</v>
      </c>
      <c r="K39" s="718">
        <f>IF('[1]Tasa de Falla'!GI39=0,"",'[1]Tasa de Falla'!GI39)</f>
      </c>
      <c r="L39" s="718">
        <f>IF('[1]Tasa de Falla'!GJ39=0,"",'[1]Tasa de Falla'!GJ39)</f>
      </c>
      <c r="M39" s="718">
        <f>IF('[1]Tasa de Falla'!GK39=0,"",'[1]Tasa de Falla'!GK39)</f>
      </c>
      <c r="N39" s="718">
        <f>IF('[1]Tasa de Falla'!GL39=0,"",'[1]Tasa de Falla'!GL39)</f>
      </c>
      <c r="O39" s="718">
        <f>IF('[1]Tasa de Falla'!GM39=0,"",'[1]Tasa de Falla'!GM39)</f>
      </c>
      <c r="P39" s="718">
        <f>IF('[1]Tasa de Falla'!GN39=0,"",'[1]Tasa de Falla'!GN39)</f>
      </c>
      <c r="Q39" s="718">
        <f>IF('[1]Tasa de Falla'!GO39=0,"",'[1]Tasa de Falla'!GO39)</f>
      </c>
      <c r="R39" s="718">
        <f>IF('[1]Tasa de Falla'!GP39=0,"",'[1]Tasa de Falla'!GP39)</f>
      </c>
      <c r="S39" s="719"/>
      <c r="T39" s="3"/>
    </row>
    <row r="40" spans="2:20" ht="16.5" customHeight="1">
      <c r="B40" s="2"/>
      <c r="C40" s="751">
        <f>IF('[1]Tasa de Falla'!C40=0,"",'[1]Tasa de Falla'!C40)</f>
        <v>28</v>
      </c>
      <c r="D40" s="752" t="str">
        <f>IF('[1]Tasa de Falla'!D40=0,"",'[1]Tasa de Falla'!D40)</f>
        <v>PLANTA ALUMINIO APPA - PUERTO MADRYN 3</v>
      </c>
      <c r="E40" s="752">
        <f>IF('[1]Tasa de Falla'!E40=0,"",'[1]Tasa de Falla'!E40)</f>
        <v>330</v>
      </c>
      <c r="F40" s="753">
        <f>IF('[1]Tasa de Falla'!F40=0,"",'[1]Tasa de Falla'!F40)</f>
        <v>4.85</v>
      </c>
      <c r="G40" s="718">
        <f>IF('[1]Tasa de Falla'!GE40=0,"",'[1]Tasa de Falla'!GE40)</f>
      </c>
      <c r="H40" s="718">
        <f>IF('[1]Tasa de Falla'!GF40=0,"",'[1]Tasa de Falla'!GF40)</f>
      </c>
      <c r="I40" s="718">
        <f>IF('[1]Tasa de Falla'!GG40=0,"",'[1]Tasa de Falla'!GG40)</f>
      </c>
      <c r="J40" s="718">
        <f>IF('[1]Tasa de Falla'!GH40=0,"",'[1]Tasa de Falla'!GH40)</f>
      </c>
      <c r="K40" s="718">
        <f>IF('[1]Tasa de Falla'!GI40=0,"",'[1]Tasa de Falla'!GI40)</f>
      </c>
      <c r="L40" s="718">
        <f>IF('[1]Tasa de Falla'!GJ40=0,"",'[1]Tasa de Falla'!GJ40)</f>
      </c>
      <c r="M40" s="718">
        <f>IF('[1]Tasa de Falla'!GK40=0,"",'[1]Tasa de Falla'!GK40)</f>
      </c>
      <c r="N40" s="718">
        <f>IF('[1]Tasa de Falla'!GL40=0,"",'[1]Tasa de Falla'!GL40)</f>
      </c>
      <c r="O40" s="718">
        <f>IF('[1]Tasa de Falla'!GM40=0,"",'[1]Tasa de Falla'!GM40)</f>
      </c>
      <c r="P40" s="718">
        <f>IF('[1]Tasa de Falla'!GN40=0,"",'[1]Tasa de Falla'!GN40)</f>
      </c>
      <c r="Q40" s="718">
        <f>IF('[1]Tasa de Falla'!GO40=0,"",'[1]Tasa de Falla'!GO40)</f>
      </c>
      <c r="R40" s="718">
        <f>IF('[1]Tasa de Falla'!GP40=0,"",'[1]Tasa de Falla'!GP40)</f>
      </c>
      <c r="S40" s="719"/>
      <c r="T40" s="3"/>
    </row>
    <row r="41" spans="2:20" ht="16.5" customHeight="1">
      <c r="B41" s="2"/>
      <c r="C41" s="754">
        <f>IF('[1]Tasa de Falla'!C41=0,"",'[1]Tasa de Falla'!C41)</f>
        <v>30</v>
      </c>
      <c r="D41" s="755" t="str">
        <f>IF('[1]Tasa de Falla'!D41=0,"",'[1]Tasa de Falla'!D41)</f>
        <v>TRELEW - RAWSON</v>
      </c>
      <c r="E41" s="755">
        <f>IF('[1]Tasa de Falla'!E41=0,"",'[1]Tasa de Falla'!E41)</f>
        <v>132</v>
      </c>
      <c r="F41" s="756">
        <f>IF('[1]Tasa de Falla'!F41=0,"",'[1]Tasa de Falla'!F41)</f>
        <v>21.8</v>
      </c>
      <c r="G41" s="718">
        <f>IF('[1]Tasa de Falla'!GE41=0,"",'[1]Tasa de Falla'!GE41)</f>
      </c>
      <c r="H41" s="718">
        <f>IF('[1]Tasa de Falla'!GF41=0,"",'[1]Tasa de Falla'!GF41)</f>
      </c>
      <c r="I41" s="718">
        <f>IF('[1]Tasa de Falla'!GG41=0,"",'[1]Tasa de Falla'!GG41)</f>
      </c>
      <c r="J41" s="718">
        <f>IF('[1]Tasa de Falla'!GH41=0,"",'[1]Tasa de Falla'!GH41)</f>
        <v>1</v>
      </c>
      <c r="K41" s="718">
        <f>IF('[1]Tasa de Falla'!GI41=0,"",'[1]Tasa de Falla'!GI41)</f>
        <v>2</v>
      </c>
      <c r="L41" s="718">
        <f>IF('[1]Tasa de Falla'!GJ41=0,"",'[1]Tasa de Falla'!GJ41)</f>
      </c>
      <c r="M41" s="718">
        <f>IF('[1]Tasa de Falla'!GK41=0,"",'[1]Tasa de Falla'!GK41)</f>
      </c>
      <c r="N41" s="718">
        <f>IF('[1]Tasa de Falla'!GL41=0,"",'[1]Tasa de Falla'!GL41)</f>
      </c>
      <c r="O41" s="718">
        <f>IF('[1]Tasa de Falla'!GM41=0,"",'[1]Tasa de Falla'!GM41)</f>
      </c>
      <c r="P41" s="718">
        <f>IF('[1]Tasa de Falla'!GN41=0,"",'[1]Tasa de Falla'!GN41)</f>
        <v>1</v>
      </c>
      <c r="Q41" s="718">
        <f>IF('[1]Tasa de Falla'!GO41=0,"",'[1]Tasa de Falla'!GO41)</f>
      </c>
      <c r="R41" s="718">
        <f>IF('[1]Tasa de Falla'!GP41=0,"",'[1]Tasa de Falla'!GP41)</f>
      </c>
      <c r="S41" s="719"/>
      <c r="T41" s="3"/>
    </row>
    <row r="42" spans="2:20" ht="16.5" customHeight="1">
      <c r="B42" s="2"/>
      <c r="C42" s="751">
        <f>IF('[1]Tasa de Falla'!C42=0,"",'[1]Tasa de Falla'!C42)</f>
        <v>37</v>
      </c>
      <c r="D42" s="752" t="str">
        <f>IF('[1]Tasa de Falla'!D42=0,"",'[1]Tasa de Falla'!D42)</f>
        <v>PICO TRUNCADO 1 - SANTA CRUZ NORTE     1</v>
      </c>
      <c r="E42" s="752">
        <f>IF('[1]Tasa de Falla'!E42=0,"",'[1]Tasa de Falla'!E42)</f>
        <v>132</v>
      </c>
      <c r="F42" s="753">
        <f>IF('[1]Tasa de Falla'!F42=0,"",'[1]Tasa de Falla'!F42)</f>
        <v>2.5</v>
      </c>
      <c r="G42" s="718">
        <f>IF('[1]Tasa de Falla'!GE42=0,"",'[1]Tasa de Falla'!GE42)</f>
      </c>
      <c r="H42" s="718">
        <f>IF('[1]Tasa de Falla'!GF42=0,"",'[1]Tasa de Falla'!GF42)</f>
      </c>
      <c r="I42" s="718">
        <f>IF('[1]Tasa de Falla'!GG42=0,"",'[1]Tasa de Falla'!GG42)</f>
      </c>
      <c r="J42" s="718">
        <f>IF('[1]Tasa de Falla'!GH42=0,"",'[1]Tasa de Falla'!GH42)</f>
      </c>
      <c r="K42" s="718">
        <f>IF('[1]Tasa de Falla'!GI42=0,"",'[1]Tasa de Falla'!GI42)</f>
      </c>
      <c r="L42" s="718">
        <f>IF('[1]Tasa de Falla'!GJ42=0,"",'[1]Tasa de Falla'!GJ42)</f>
      </c>
      <c r="M42" s="718">
        <f>IF('[1]Tasa de Falla'!GK42=0,"",'[1]Tasa de Falla'!GK42)</f>
      </c>
      <c r="N42" s="718">
        <f>IF('[1]Tasa de Falla'!GL42=0,"",'[1]Tasa de Falla'!GL42)</f>
      </c>
      <c r="O42" s="718">
        <f>IF('[1]Tasa de Falla'!GM42=0,"",'[1]Tasa de Falla'!GM42)</f>
      </c>
      <c r="P42" s="718">
        <f>IF('[1]Tasa de Falla'!GN42=0,"",'[1]Tasa de Falla'!GN42)</f>
      </c>
      <c r="Q42" s="718">
        <f>IF('[1]Tasa de Falla'!GO42=0,"",'[1]Tasa de Falla'!GO42)</f>
      </c>
      <c r="R42" s="718">
        <f>IF('[1]Tasa de Falla'!GP42=0,"",'[1]Tasa de Falla'!GP42)</f>
      </c>
      <c r="S42" s="719"/>
      <c r="T42" s="3"/>
    </row>
    <row r="43" spans="2:20" ht="15" customHeight="1">
      <c r="B43" s="2"/>
      <c r="C43" s="754">
        <f>IF('[1]Tasa de Falla'!C43=0,"",'[1]Tasa de Falla'!C43)</f>
        <v>38</v>
      </c>
      <c r="D43" s="755" t="str">
        <f>IF('[1]Tasa de Falla'!D43=0,"",'[1]Tasa de Falla'!D43)</f>
        <v>PICO TRUNCADO 1 - SANTA CRUZ NORTE     2</v>
      </c>
      <c r="E43" s="755">
        <f>IF('[1]Tasa de Falla'!E43=0,"",'[1]Tasa de Falla'!E43)</f>
        <v>132</v>
      </c>
      <c r="F43" s="756">
        <f>IF('[1]Tasa de Falla'!F43=0,"",'[1]Tasa de Falla'!F43)</f>
        <v>2.5</v>
      </c>
      <c r="G43" s="718">
        <f>IF('[1]Tasa de Falla'!GE43=0,"",'[1]Tasa de Falla'!GE43)</f>
      </c>
      <c r="H43" s="718">
        <f>IF('[1]Tasa de Falla'!GF43=0,"",'[1]Tasa de Falla'!GF43)</f>
      </c>
      <c r="I43" s="718">
        <f>IF('[1]Tasa de Falla'!GG43=0,"",'[1]Tasa de Falla'!GG43)</f>
      </c>
      <c r="J43" s="718">
        <f>IF('[1]Tasa de Falla'!GH43=0,"",'[1]Tasa de Falla'!GH43)</f>
      </c>
      <c r="K43" s="718">
        <f>IF('[1]Tasa de Falla'!GI43=0,"",'[1]Tasa de Falla'!GI43)</f>
      </c>
      <c r="L43" s="718">
        <f>IF('[1]Tasa de Falla'!GJ43=0,"",'[1]Tasa de Falla'!GJ43)</f>
      </c>
      <c r="M43" s="718">
        <f>IF('[1]Tasa de Falla'!GK43=0,"",'[1]Tasa de Falla'!GK43)</f>
      </c>
      <c r="N43" s="718">
        <f>IF('[1]Tasa de Falla'!GL43=0,"",'[1]Tasa de Falla'!GL43)</f>
      </c>
      <c r="O43" s="718">
        <f>IF('[1]Tasa de Falla'!GM43=0,"",'[1]Tasa de Falla'!GM43)</f>
      </c>
      <c r="P43" s="718">
        <f>IF('[1]Tasa de Falla'!GN43=0,"",'[1]Tasa de Falla'!GN43)</f>
      </c>
      <c r="Q43" s="718">
        <f>IF('[1]Tasa de Falla'!GO43=0,"",'[1]Tasa de Falla'!GO43)</f>
      </c>
      <c r="R43" s="718">
        <f>IF('[1]Tasa de Falla'!GP43=0,"",'[1]Tasa de Falla'!GP43)</f>
      </c>
      <c r="S43" s="719"/>
      <c r="T43" s="3"/>
    </row>
    <row r="44" spans="2:20" ht="15" customHeight="1">
      <c r="B44" s="2"/>
      <c r="C44" s="751">
        <f>IF('[1]Tasa de Falla'!C44=0,"",'[1]Tasa de Falla'!C44)</f>
        <v>39</v>
      </c>
      <c r="D44" s="752" t="str">
        <f>IF('[1]Tasa de Falla'!D44=0,"",'[1]Tasa de Falla'!D44)</f>
        <v>LAS HERAS - SANTA CRUZ NORTE</v>
      </c>
      <c r="E44" s="752">
        <f>IF('[1]Tasa de Falla'!E44=0,"",'[1]Tasa de Falla'!E44)</f>
        <v>132</v>
      </c>
      <c r="F44" s="753">
        <f>IF('[1]Tasa de Falla'!F44=0,"",'[1]Tasa de Falla'!F44)</f>
        <v>80</v>
      </c>
      <c r="G44" s="718" t="str">
        <f>IF('[1]Tasa de Falla'!GE44=0,"",'[1]Tasa de Falla'!GE44)</f>
        <v>XXXX</v>
      </c>
      <c r="H44" s="718" t="str">
        <f>IF('[1]Tasa de Falla'!GF44=0,"",'[1]Tasa de Falla'!GF44)</f>
        <v>XXXX</v>
      </c>
      <c r="I44" s="718" t="str">
        <f>IF('[1]Tasa de Falla'!GG44=0,"",'[1]Tasa de Falla'!GG44)</f>
        <v>XXXX</v>
      </c>
      <c r="J44" s="718" t="str">
        <f>IF('[1]Tasa de Falla'!GH44=0,"",'[1]Tasa de Falla'!GH44)</f>
        <v>XXXX</v>
      </c>
      <c r="K44" s="718" t="str">
        <f>IF('[1]Tasa de Falla'!GI44=0,"",'[1]Tasa de Falla'!GI44)</f>
        <v>XXXX</v>
      </c>
      <c r="L44" s="718" t="str">
        <f>IF('[1]Tasa de Falla'!GJ44=0,"",'[1]Tasa de Falla'!GJ44)</f>
        <v>XXXX</v>
      </c>
      <c r="M44" s="718" t="str">
        <f>IF('[1]Tasa de Falla'!GK44=0,"",'[1]Tasa de Falla'!GK44)</f>
        <v>XXXX</v>
      </c>
      <c r="N44" s="718" t="str">
        <f>IF('[1]Tasa de Falla'!GL44=0,"",'[1]Tasa de Falla'!GL44)</f>
        <v>XXXX</v>
      </c>
      <c r="O44" s="718">
        <f>IF('[1]Tasa de Falla'!GM44=0,"",'[1]Tasa de Falla'!GM44)</f>
      </c>
      <c r="P44" s="718">
        <f>IF('[1]Tasa de Falla'!GN44=0,"",'[1]Tasa de Falla'!GN44)</f>
      </c>
      <c r="Q44" s="718">
        <f>IF('[1]Tasa de Falla'!GO44=0,"",'[1]Tasa de Falla'!GO44)</f>
      </c>
      <c r="R44" s="718">
        <f>IF('[1]Tasa de Falla'!GP44=0,"",'[1]Tasa de Falla'!GP44)</f>
      </c>
      <c r="S44" s="719"/>
      <c r="T44" s="3"/>
    </row>
    <row r="45" spans="2:20" ht="15" customHeight="1">
      <c r="B45" s="2"/>
      <c r="C45" s="754">
        <f>IF('[1]Tasa de Falla'!C45=0,"",'[1]Tasa de Falla'!C45)</f>
      </c>
      <c r="D45" s="755">
        <f>IF('[1]Tasa de Falla'!D45=0,"",'[1]Tasa de Falla'!D45)</f>
      </c>
      <c r="E45" s="755">
        <f>IF('[1]Tasa de Falla'!E45=0,"",'[1]Tasa de Falla'!E45)</f>
      </c>
      <c r="F45" s="756">
        <f>IF('[1]Tasa de Falla'!F45=0,"",'[1]Tasa de Falla'!F45)</f>
      </c>
      <c r="G45" s="718">
        <f>IF('[1]Tasa de Falla'!GE45=0,"",'[1]Tasa de Falla'!GE45)</f>
      </c>
      <c r="H45" s="718">
        <f>IF('[1]Tasa de Falla'!GF45=0,"",'[1]Tasa de Falla'!GF45)</f>
      </c>
      <c r="I45" s="718">
        <f>IF('[1]Tasa de Falla'!GG45=0,"",'[1]Tasa de Falla'!GG45)</f>
      </c>
      <c r="J45" s="718">
        <f>IF('[1]Tasa de Falla'!GH45=0,"",'[1]Tasa de Falla'!GH45)</f>
      </c>
      <c r="K45" s="718">
        <f>IF('[1]Tasa de Falla'!GI45=0,"",'[1]Tasa de Falla'!GI45)</f>
      </c>
      <c r="L45" s="718">
        <f>IF('[1]Tasa de Falla'!GJ45=0,"",'[1]Tasa de Falla'!GJ45)</f>
      </c>
      <c r="M45" s="718">
        <f>IF('[1]Tasa de Falla'!GK45=0,"",'[1]Tasa de Falla'!GK45)</f>
      </c>
      <c r="N45" s="718">
        <f>IF('[1]Tasa de Falla'!GL45=0,"",'[1]Tasa de Falla'!GL45)</f>
      </c>
      <c r="O45" s="718">
        <f>IF('[1]Tasa de Falla'!GM45=0,"",'[1]Tasa de Falla'!GM45)</f>
      </c>
      <c r="P45" s="718">
        <f>IF('[1]Tasa de Falla'!GN45=0,"",'[1]Tasa de Falla'!GN45)</f>
      </c>
      <c r="Q45" s="718">
        <f>IF('[1]Tasa de Falla'!GO45=0,"",'[1]Tasa de Falla'!GO45)</f>
      </c>
      <c r="R45" s="718">
        <f>IF('[1]Tasa de Falla'!GP45=0,"",'[1]Tasa de Falla'!GP45)</f>
      </c>
      <c r="S45" s="719"/>
      <c r="T45" s="3"/>
    </row>
    <row r="46" spans="2:20" ht="15" customHeight="1">
      <c r="B46" s="2"/>
      <c r="C46" s="751">
        <f>IF('[1]Tasa de Falla'!C46=0,"",'[1]Tasa de Falla'!C46)</f>
        <v>19</v>
      </c>
      <c r="D46" s="752" t="str">
        <f>IF('[1]Tasa de Falla'!D46=0,"",'[1]Tasa de Falla'!D46)</f>
        <v>PUNTA COLORADA - SIERRA GRANDE</v>
      </c>
      <c r="E46" s="752">
        <f>IF('[1]Tasa de Falla'!E46=0,"",'[1]Tasa de Falla'!E46)</f>
        <v>132</v>
      </c>
      <c r="F46" s="753">
        <f>IF('[1]Tasa de Falla'!F46=0,"",'[1]Tasa de Falla'!F46)</f>
        <v>31</v>
      </c>
      <c r="G46" s="718">
        <f>IF('[1]Tasa de Falla'!GE46=0,"",'[1]Tasa de Falla'!GE46)</f>
      </c>
      <c r="H46" s="718">
        <f>IF('[1]Tasa de Falla'!GF46=0,"",'[1]Tasa de Falla'!GF46)</f>
      </c>
      <c r="I46" s="718">
        <f>IF('[1]Tasa de Falla'!GG46=0,"",'[1]Tasa de Falla'!GG46)</f>
      </c>
      <c r="J46" s="718">
        <f>IF('[1]Tasa de Falla'!GH46=0,"",'[1]Tasa de Falla'!GH46)</f>
      </c>
      <c r="K46" s="718">
        <f>IF('[1]Tasa de Falla'!GI46=0,"",'[1]Tasa de Falla'!GI46)</f>
      </c>
      <c r="L46" s="718">
        <f>IF('[1]Tasa de Falla'!GJ46=0,"",'[1]Tasa de Falla'!GJ46)</f>
      </c>
      <c r="M46" s="718">
        <f>IF('[1]Tasa de Falla'!GK46=0,"",'[1]Tasa de Falla'!GK46)</f>
      </c>
      <c r="N46" s="718">
        <f>IF('[1]Tasa de Falla'!GL46=0,"",'[1]Tasa de Falla'!GL46)</f>
      </c>
      <c r="O46" s="718">
        <f>IF('[1]Tasa de Falla'!GM46=0,"",'[1]Tasa de Falla'!GM46)</f>
      </c>
      <c r="P46" s="718">
        <f>IF('[1]Tasa de Falla'!GN46=0,"",'[1]Tasa de Falla'!GN46)</f>
      </c>
      <c r="Q46" s="718">
        <f>IF('[1]Tasa de Falla'!GO46=0,"",'[1]Tasa de Falla'!GO46)</f>
      </c>
      <c r="R46" s="718">
        <f>IF('[1]Tasa de Falla'!GP46=0,"",'[1]Tasa de Falla'!GP46)</f>
      </c>
      <c r="S46" s="719"/>
      <c r="T46" s="3"/>
    </row>
    <row r="47" spans="2:20" ht="15" customHeight="1">
      <c r="B47" s="2"/>
      <c r="C47" s="754">
        <f>IF('[1]Tasa de Falla'!C47=0,"",'[1]Tasa de Falla'!C47)</f>
        <v>20</v>
      </c>
      <c r="D47" s="755" t="str">
        <f>IF('[1]Tasa de Falla'!D47=0,"",'[1]Tasa de Falla'!D47)</f>
        <v>CARMEN DE PATAGONES - VIEDMA</v>
      </c>
      <c r="E47" s="755">
        <f>IF('[1]Tasa de Falla'!E47=0,"",'[1]Tasa de Falla'!E47)</f>
        <v>132</v>
      </c>
      <c r="F47" s="756">
        <f>IF('[1]Tasa de Falla'!F47=0,"",'[1]Tasa de Falla'!F47)</f>
        <v>7</v>
      </c>
      <c r="G47" s="718" t="str">
        <f>IF('[1]Tasa de Falla'!GE47=0,"",'[1]Tasa de Falla'!GE47)</f>
        <v>XXXX</v>
      </c>
      <c r="H47" s="718" t="str">
        <f>IF('[1]Tasa de Falla'!GF47=0,"",'[1]Tasa de Falla'!GF47)</f>
        <v>XXXX</v>
      </c>
      <c r="I47" s="718" t="str">
        <f>IF('[1]Tasa de Falla'!GG47=0,"",'[1]Tasa de Falla'!GG47)</f>
        <v>XXXX</v>
      </c>
      <c r="J47" s="718" t="str">
        <f>IF('[1]Tasa de Falla'!GH47=0,"",'[1]Tasa de Falla'!GH47)</f>
        <v>XXXX</v>
      </c>
      <c r="K47" s="718" t="str">
        <f>IF('[1]Tasa de Falla'!GI47=0,"",'[1]Tasa de Falla'!GI47)</f>
        <v>XXXX</v>
      </c>
      <c r="L47" s="718" t="str">
        <f>IF('[1]Tasa de Falla'!GJ47=0,"",'[1]Tasa de Falla'!GJ47)</f>
        <v>XXXX</v>
      </c>
      <c r="M47" s="718" t="str">
        <f>IF('[1]Tasa de Falla'!GK47=0,"",'[1]Tasa de Falla'!GK47)</f>
        <v>XXXX</v>
      </c>
      <c r="N47" s="718" t="str">
        <f>IF('[1]Tasa de Falla'!GL47=0,"",'[1]Tasa de Falla'!GL47)</f>
        <v>XXXX</v>
      </c>
      <c r="O47" s="718" t="str">
        <f>IF('[1]Tasa de Falla'!GM47=0,"",'[1]Tasa de Falla'!GM47)</f>
        <v>XXXX</v>
      </c>
      <c r="P47" s="718" t="str">
        <f>IF('[1]Tasa de Falla'!GN47=0,"",'[1]Tasa de Falla'!GN47)</f>
        <v>XXXX</v>
      </c>
      <c r="Q47" s="718" t="str">
        <f>IF('[1]Tasa de Falla'!GO47=0,"",'[1]Tasa de Falla'!GO47)</f>
        <v>XXXX</v>
      </c>
      <c r="R47" s="718" t="str">
        <f>IF('[1]Tasa de Falla'!GP47=0,"",'[1]Tasa de Falla'!GP47)</f>
        <v>XXXX</v>
      </c>
      <c r="S47" s="719"/>
      <c r="T47" s="3"/>
    </row>
    <row r="48" spans="2:20" ht="15" customHeight="1">
      <c r="B48" s="2"/>
      <c r="C48" s="751">
        <f>IF('[1]Tasa de Falla'!C48=0,"",'[1]Tasa de Falla'!C48)</f>
      </c>
      <c r="D48" s="752" t="str">
        <f>IF('[1]Tasa de Falla'!D48=0,"",'[1]Tasa de Falla'!D48)</f>
        <v>CARMEN DE PATAGONES - VIEDMA</v>
      </c>
      <c r="E48" s="752">
        <f>IF('[1]Tasa de Falla'!E48=0,"",'[1]Tasa de Falla'!E48)</f>
        <v>132</v>
      </c>
      <c r="F48" s="753">
        <f>IF('[1]Tasa de Falla'!F48=0,"",'[1]Tasa de Falla'!F48)</f>
        <v>4.4</v>
      </c>
      <c r="G48" s="718">
        <f>IF('[1]Tasa de Falla'!GE48=0,"",'[1]Tasa de Falla'!GE48)</f>
      </c>
      <c r="H48" s="718">
        <f>IF('[1]Tasa de Falla'!GF48=0,"",'[1]Tasa de Falla'!GF48)</f>
      </c>
      <c r="I48" s="718">
        <f>IF('[1]Tasa de Falla'!GG48=0,"",'[1]Tasa de Falla'!GG48)</f>
      </c>
      <c r="J48" s="718">
        <f>IF('[1]Tasa de Falla'!GH48=0,"",'[1]Tasa de Falla'!GH48)</f>
      </c>
      <c r="K48" s="718">
        <f>IF('[1]Tasa de Falla'!GI48=0,"",'[1]Tasa de Falla'!GI48)</f>
      </c>
      <c r="L48" s="718">
        <f>IF('[1]Tasa de Falla'!GJ48=0,"",'[1]Tasa de Falla'!GJ48)</f>
      </c>
      <c r="M48" s="718">
        <f>IF('[1]Tasa de Falla'!GK48=0,"",'[1]Tasa de Falla'!GK48)</f>
      </c>
      <c r="N48" s="718">
        <f>IF('[1]Tasa de Falla'!GL48=0,"",'[1]Tasa de Falla'!GL48)</f>
      </c>
      <c r="O48" s="718">
        <f>IF('[1]Tasa de Falla'!GM48=0,"",'[1]Tasa de Falla'!GM48)</f>
      </c>
      <c r="P48" s="718">
        <f>IF('[1]Tasa de Falla'!GN48=0,"",'[1]Tasa de Falla'!GN48)</f>
      </c>
      <c r="Q48" s="718">
        <f>IF('[1]Tasa de Falla'!GO48=0,"",'[1]Tasa de Falla'!GO48)</f>
      </c>
      <c r="R48" s="718">
        <f>IF('[1]Tasa de Falla'!GP48=0,"",'[1]Tasa de Falla'!GP48)</f>
      </c>
      <c r="S48" s="719"/>
      <c r="T48" s="3"/>
    </row>
    <row r="49" spans="2:20" ht="15" customHeight="1">
      <c r="B49" s="2"/>
      <c r="C49" s="754">
        <f>IF('[1]Tasa de Falla'!C49=0,"",'[1]Tasa de Falla'!C49)</f>
        <v>21</v>
      </c>
      <c r="D49" s="755" t="str">
        <f>IF('[1]Tasa de Falla'!D49=0,"",'[1]Tasa de Falla'!D49)</f>
        <v>SAN ANTONIO OESTE - SIERRA GRANDE</v>
      </c>
      <c r="E49" s="755">
        <f>IF('[1]Tasa de Falla'!E49=0,"",'[1]Tasa de Falla'!E49)</f>
        <v>132</v>
      </c>
      <c r="F49" s="756">
        <f>IF('[1]Tasa de Falla'!F49=0,"",'[1]Tasa de Falla'!F49)</f>
        <v>110.3</v>
      </c>
      <c r="G49" s="718">
        <f>IF('[1]Tasa de Falla'!GE49=0,"",'[1]Tasa de Falla'!GE49)</f>
      </c>
      <c r="H49" s="718">
        <f>IF('[1]Tasa de Falla'!GF49=0,"",'[1]Tasa de Falla'!GF49)</f>
      </c>
      <c r="I49" s="718">
        <f>IF('[1]Tasa de Falla'!GG49=0,"",'[1]Tasa de Falla'!GG49)</f>
      </c>
      <c r="J49" s="718">
        <f>IF('[1]Tasa de Falla'!GH49=0,"",'[1]Tasa de Falla'!GH49)</f>
      </c>
      <c r="K49" s="718">
        <f>IF('[1]Tasa de Falla'!GI49=0,"",'[1]Tasa de Falla'!GI49)</f>
      </c>
      <c r="L49" s="718">
        <f>IF('[1]Tasa de Falla'!GJ49=0,"",'[1]Tasa de Falla'!GJ49)</f>
      </c>
      <c r="M49" s="718">
        <f>IF('[1]Tasa de Falla'!GK49=0,"",'[1]Tasa de Falla'!GK49)</f>
      </c>
      <c r="N49" s="718">
        <f>IF('[1]Tasa de Falla'!GL49=0,"",'[1]Tasa de Falla'!GL49)</f>
      </c>
      <c r="O49" s="718">
        <f>IF('[1]Tasa de Falla'!GM49=0,"",'[1]Tasa de Falla'!GM49)</f>
      </c>
      <c r="P49" s="718">
        <f>IF('[1]Tasa de Falla'!GN49=0,"",'[1]Tasa de Falla'!GN49)</f>
      </c>
      <c r="Q49" s="718">
        <f>IF('[1]Tasa de Falla'!GO49=0,"",'[1]Tasa de Falla'!GO49)</f>
        <v>1</v>
      </c>
      <c r="R49" s="718">
        <f>IF('[1]Tasa de Falla'!GP49=0,"",'[1]Tasa de Falla'!GP49)</f>
      </c>
      <c r="S49" s="719"/>
      <c r="T49" s="3"/>
    </row>
    <row r="50" spans="2:20" ht="15" customHeight="1">
      <c r="B50" s="2"/>
      <c r="C50" s="751">
        <f>IF('[1]Tasa de Falla'!C50=0,"",'[1]Tasa de Falla'!C50)</f>
        <v>22</v>
      </c>
      <c r="D50" s="752" t="str">
        <f>IF('[1]Tasa de Falla'!D50=0,"",'[1]Tasa de Falla'!D50)</f>
        <v>SAN ANTONIO OESTE -VIEDMA</v>
      </c>
      <c r="E50" s="752">
        <f>IF('[1]Tasa de Falla'!E50=0,"",'[1]Tasa de Falla'!E50)</f>
        <v>132</v>
      </c>
      <c r="F50" s="753">
        <f>IF('[1]Tasa de Falla'!F50=0,"",'[1]Tasa de Falla'!F50)</f>
        <v>185.6</v>
      </c>
      <c r="G50" s="718">
        <f>IF('[1]Tasa de Falla'!GE50=0,"",'[1]Tasa de Falla'!GE50)</f>
      </c>
      <c r="H50" s="718">
        <f>IF('[1]Tasa de Falla'!GF50=0,"",'[1]Tasa de Falla'!GF50)</f>
      </c>
      <c r="I50" s="718">
        <f>IF('[1]Tasa de Falla'!GG50=0,"",'[1]Tasa de Falla'!GG50)</f>
      </c>
      <c r="J50" s="718">
        <f>IF('[1]Tasa de Falla'!GH50=0,"",'[1]Tasa de Falla'!GH50)</f>
      </c>
      <c r="K50" s="718">
        <f>IF('[1]Tasa de Falla'!GI50=0,"",'[1]Tasa de Falla'!GI50)</f>
      </c>
      <c r="L50" s="718">
        <f>IF('[1]Tasa de Falla'!GJ50=0,"",'[1]Tasa de Falla'!GJ50)</f>
      </c>
      <c r="M50" s="718">
        <f>IF('[1]Tasa de Falla'!GK50=0,"",'[1]Tasa de Falla'!GK50)</f>
      </c>
      <c r="N50" s="718">
        <f>IF('[1]Tasa de Falla'!GL50=0,"",'[1]Tasa de Falla'!GL50)</f>
      </c>
      <c r="O50" s="718">
        <f>IF('[1]Tasa de Falla'!GM50=0,"",'[1]Tasa de Falla'!GM50)</f>
      </c>
      <c r="P50" s="718">
        <f>IF('[1]Tasa de Falla'!GN50=0,"",'[1]Tasa de Falla'!GN50)</f>
      </c>
      <c r="Q50" s="718">
        <f>IF('[1]Tasa de Falla'!GO50=0,"",'[1]Tasa de Falla'!GO50)</f>
        <v>3</v>
      </c>
      <c r="R50" s="718">
        <f>IF('[1]Tasa de Falla'!GP50=0,"",'[1]Tasa de Falla'!GP50)</f>
      </c>
      <c r="S50" s="719"/>
      <c r="T50" s="3"/>
    </row>
    <row r="51" spans="2:20" ht="15" customHeight="1" thickBot="1">
      <c r="B51" s="2"/>
      <c r="C51" s="720"/>
      <c r="D51" s="721"/>
      <c r="E51" s="722"/>
      <c r="F51" s="723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8"/>
      <c r="R51" s="718"/>
      <c r="S51" s="719"/>
      <c r="T51" s="3"/>
    </row>
    <row r="52" spans="2:20" ht="15" customHeight="1" thickBot="1" thickTop="1">
      <c r="B52" s="2"/>
      <c r="C52" s="724"/>
      <c r="D52" s="176"/>
      <c r="E52" s="725" t="s">
        <v>151</v>
      </c>
      <c r="F52" s="726">
        <f>SUM(F18:F51)-F34</f>
        <v>2631.2600000000007</v>
      </c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19"/>
      <c r="R52" s="719"/>
      <c r="S52" s="719"/>
      <c r="T52" s="3"/>
    </row>
    <row r="53" spans="2:20" ht="15" customHeight="1" thickBot="1" thickTop="1">
      <c r="B53" s="2"/>
      <c r="C53" s="28"/>
      <c r="D53" s="34"/>
      <c r="E53" s="728"/>
      <c r="F53" s="729" t="s">
        <v>152</v>
      </c>
      <c r="G53" s="730">
        <f aca="true" t="shared" si="0" ref="G53:R53">SUM(G17:G51)</f>
        <v>2</v>
      </c>
      <c r="H53" s="730">
        <f t="shared" si="0"/>
        <v>1</v>
      </c>
      <c r="I53" s="730">
        <f t="shared" si="0"/>
        <v>0</v>
      </c>
      <c r="J53" s="730">
        <f t="shared" si="0"/>
        <v>4</v>
      </c>
      <c r="K53" s="730">
        <f t="shared" si="0"/>
        <v>4</v>
      </c>
      <c r="L53" s="730">
        <f t="shared" si="0"/>
        <v>0</v>
      </c>
      <c r="M53" s="730">
        <f t="shared" si="0"/>
        <v>1</v>
      </c>
      <c r="N53" s="730">
        <f t="shared" si="0"/>
        <v>4</v>
      </c>
      <c r="O53" s="730">
        <f t="shared" si="0"/>
        <v>1</v>
      </c>
      <c r="P53" s="730">
        <f t="shared" si="0"/>
        <v>4</v>
      </c>
      <c r="Q53" s="730">
        <f t="shared" si="0"/>
        <v>6</v>
      </c>
      <c r="R53" s="730">
        <f t="shared" si="0"/>
        <v>2</v>
      </c>
      <c r="S53" s="731"/>
      <c r="T53" s="3"/>
    </row>
    <row r="54" spans="2:20" ht="17.25" thickBot="1" thickTop="1">
      <c r="B54" s="2"/>
      <c r="C54" s="728"/>
      <c r="D54" s="728"/>
      <c r="E54" s="28"/>
      <c r="F54" s="732" t="s">
        <v>153</v>
      </c>
      <c r="G54" s="733">
        <f>+'[1]Tasa de Falla'!GE72</f>
        <v>0.94</v>
      </c>
      <c r="H54" s="733">
        <f>+'[1]Tasa de Falla'!GF72</f>
        <v>0.84</v>
      </c>
      <c r="I54" s="733">
        <f>+'[1]Tasa de Falla'!GG72</f>
        <v>0.56</v>
      </c>
      <c r="J54" s="733">
        <f>+'[1]Tasa de Falla'!GH72</f>
        <v>0.49</v>
      </c>
      <c r="K54" s="733">
        <f>+'[1]Tasa de Falla'!GI72</f>
        <v>0.63</v>
      </c>
      <c r="L54" s="733">
        <f>+'[1]Tasa de Falla'!GJ72</f>
        <v>0.7</v>
      </c>
      <c r="M54" s="733">
        <f>+'[1]Tasa de Falla'!GK72</f>
        <v>0.7</v>
      </c>
      <c r="N54" s="733">
        <f>+'[1]Tasa de Falla'!GL72</f>
        <v>0.66</v>
      </c>
      <c r="O54" s="733">
        <f>+'[1]Tasa de Falla'!GM72</f>
        <v>0.7</v>
      </c>
      <c r="P54" s="733">
        <f>+'[1]Tasa de Falla'!GN72</f>
        <v>0.63</v>
      </c>
      <c r="Q54" s="733">
        <f>+'[1]Tasa de Falla'!GO72</f>
        <v>0.73</v>
      </c>
      <c r="R54" s="733">
        <f>+'[1]Tasa de Falla'!GP72</f>
        <v>0.93</v>
      </c>
      <c r="S54" s="733">
        <f>+'[1]Tasa de Falla'!GQ72</f>
        <v>0.97</v>
      </c>
      <c r="T54" s="3"/>
    </row>
    <row r="55" spans="2:20" ht="18.75" customHeight="1" thickBot="1" thickTop="1">
      <c r="B55" s="2"/>
      <c r="C55" s="734" t="s">
        <v>154</v>
      </c>
      <c r="D55" s="28" t="s">
        <v>155</v>
      </c>
      <c r="E55" s="735"/>
      <c r="F55" s="736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737"/>
      <c r="R55" s="737"/>
      <c r="S55" s="737"/>
      <c r="T55" s="58"/>
    </row>
    <row r="56" spans="2:20" ht="17.25" thickBot="1" thickTop="1">
      <c r="B56" s="738"/>
      <c r="C56" s="739"/>
      <c r="D56" s="740" t="s">
        <v>156</v>
      </c>
      <c r="H56" s="741" t="s">
        <v>157</v>
      </c>
      <c r="I56" s="742"/>
      <c r="J56" s="743">
        <f>S54</f>
        <v>0.97</v>
      </c>
      <c r="K56" s="744" t="s">
        <v>158</v>
      </c>
      <c r="L56" s="744"/>
      <c r="M56" s="745"/>
      <c r="N56" s="740"/>
      <c r="O56" s="740"/>
      <c r="P56" s="740"/>
      <c r="Q56" s="740"/>
      <c r="R56" s="740"/>
      <c r="S56" s="740"/>
      <c r="T56" s="3"/>
    </row>
    <row r="57" spans="2:20" ht="18.75" customHeight="1" thickBot="1">
      <c r="B57" s="746"/>
      <c r="C57" s="747"/>
      <c r="D57" s="46"/>
      <c r="E57" s="46"/>
      <c r="F57" s="748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50"/>
    </row>
    <row r="58" ht="13.5" thickTop="1"/>
  </sheetData>
  <printOptions horizontalCentered="1" verticalCentered="1"/>
  <pageMargins left="0.26" right="0.1968503937007874" top="0.7874015748031497" bottom="0.52" header="0.5118110236220472" footer="0.2"/>
  <pageSetup fitToHeight="1" fitToWidth="1" horizontalDpi="300" verticalDpi="300" orientation="landscape" paperSize="9" scale="52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2012-01-27T13:12:40Z</cp:lastPrinted>
  <dcterms:created xsi:type="dcterms:W3CDTF">2000-10-04T20:14:32Z</dcterms:created>
  <dcterms:modified xsi:type="dcterms:W3CDTF">2012-06-06T19:02:07Z</dcterms:modified>
  <cp:category/>
  <cp:version/>
  <cp:contentType/>
  <cp:contentStatus/>
</cp:coreProperties>
</file>