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77" activeTab="0"/>
  </bookViews>
  <sheets>
    <sheet name="TOT-0412" sheetId="1" r:id="rId1"/>
    <sheet name="LI-04 (1)" sheetId="2" r:id="rId2"/>
    <sheet name="LI-YACY-04 (1)" sheetId="3" r:id="rId3"/>
    <sheet name="LI-IV-04 (1)" sheetId="4" r:id="rId4"/>
    <sheet name="TR-04 (1)" sheetId="5" r:id="rId5"/>
    <sheet name="SA-04 (1)" sheetId="6" r:id="rId6"/>
    <sheet name="SA-04 (2)" sheetId="7" r:id="rId7"/>
    <sheet name="SA-TIBA-04 (1)" sheetId="8" r:id="rId8"/>
    <sheet name="SA-LINSA-04 (1)" sheetId="9" r:id="rId9"/>
    <sheet name="SA-LICCSA-04 (1)" sheetId="10" r:id="rId10"/>
    <sheet name="RE-04 (1)" sheetId="11" r:id="rId11"/>
    <sheet name="RE Res. 1_03" sheetId="12" r:id="rId12"/>
    <sheet name="RE IV-04 (1)" sheetId="13" r:id="rId13"/>
    <sheet name="SUP-YACYLEC" sheetId="14" r:id="rId14"/>
    <sheet name="SUP-TIBA" sheetId="15" r:id="rId15"/>
    <sheet name="SUP-LINSA" sheetId="16" r:id="rId16"/>
    <sheet name="SUP-LICCSA" sheetId="17" r:id="rId17"/>
    <sheet name="Tasa de Falla" sheetId="18" r:id="rId18"/>
    <sheet name="DATO" sheetId="19" r:id="rId19"/>
  </sheets>
  <externalReferences>
    <externalReference r:id="rId22"/>
    <externalReference r:id="rId23"/>
    <externalReference r:id="rId24"/>
  </externalReferences>
  <definedNames>
    <definedName name="_xlnm.Print_Area" localSheetId="7">'SA-TIBA-04 (1)'!$A$1:$W$44</definedName>
    <definedName name="_xlnm.Print_Area" localSheetId="14">'SUP-TIBA'!$A$1:$W$81</definedName>
    <definedName name="_xlnm.Print_Area" localSheetId="13">'SUP-YACYLEC'!$A$1:$AD$79</definedName>
    <definedName name="_xlnm.Print_Area" localSheetId="17">'Tasa de Falla'!$A$1:$V$105</definedName>
    <definedName name="_xlnm.Print_Area" localSheetId="0">'TOT-0412'!$A$1:$J$47</definedName>
    <definedName name="DD" localSheetId="9">'SA-LICCSA-04 (1)'!DD</definedName>
    <definedName name="DD" localSheetId="8">'SA-LINSA-04 (1)'!DD</definedName>
    <definedName name="DD" localSheetId="16">'SUP-LICCSA'!DD</definedName>
    <definedName name="DD" localSheetId="15">'SUP-LINSA'!DD</definedName>
    <definedName name="DD" localSheetId="14">'SUP-TIBA'!DD</definedName>
    <definedName name="DD" localSheetId="13">'SUP-YACYLEC'!DD</definedName>
    <definedName name="DD">[0]!DD</definedName>
    <definedName name="DDD" localSheetId="9">'SA-LICCSA-04 (1)'!DDD</definedName>
    <definedName name="DDD" localSheetId="8">'SA-LINSA-04 (1)'!DDD</definedName>
    <definedName name="DDD" localSheetId="16">'SUP-LICCSA'!DDD</definedName>
    <definedName name="DDD" localSheetId="15">'SUP-LINSA'!DDD</definedName>
    <definedName name="DDD" localSheetId="14">'SUP-TIBA'!DDD</definedName>
    <definedName name="DDD" localSheetId="13">'SUP-YACYLEC'!DDD</definedName>
    <definedName name="DDD">[0]!DDD</definedName>
    <definedName name="DISTROCUYO" localSheetId="9">'SA-LICCSA-04 (1)'!DISTROCUYO</definedName>
    <definedName name="DISTROCUYO" localSheetId="8">'SA-LINSA-04 (1)'!DISTROCUYO</definedName>
    <definedName name="DISTROCUYO" localSheetId="16">'SUP-LICCSA'!DISTROCUYO</definedName>
    <definedName name="DISTROCUYO" localSheetId="15">'SUP-LINSA'!DISTROCUYO</definedName>
    <definedName name="DISTROCUYO" localSheetId="14">'SUP-TIBA'!DISTROCUYO</definedName>
    <definedName name="DISTROCUYO" localSheetId="13">'SUP-YACYLEC'!DISTROCUYO</definedName>
    <definedName name="DISTROCUYO">[0]!DISTROCUYO</definedName>
    <definedName name="FER" localSheetId="9">'SA-LICCSA-04 (1)'!FER</definedName>
    <definedName name="FER" localSheetId="8">'SA-LINSA-04 (1)'!FER</definedName>
    <definedName name="FER" localSheetId="16">'SUP-LICCSA'!FER</definedName>
    <definedName name="FER" localSheetId="15">'SUP-LINSA'!FER</definedName>
    <definedName name="FER" localSheetId="14">'SUP-TIBA'!FER</definedName>
    <definedName name="FER" localSheetId="13">'SUP-YACYLEC'!FER</definedName>
    <definedName name="FER">[0]!FER</definedName>
    <definedName name="INICIO" localSheetId="9">'SA-LICCSA-04 (1)'!INICIO</definedName>
    <definedName name="INICIO" localSheetId="8">'SA-LINSA-04 (1)'!INICIO</definedName>
    <definedName name="INICIO" localSheetId="16">'SUP-LICCSA'!INICIO</definedName>
    <definedName name="INICIO" localSheetId="15">'SUP-LINSA'!INICIO</definedName>
    <definedName name="INICIO" localSheetId="14">'SUP-TIBA'!INICIO</definedName>
    <definedName name="INICIO" localSheetId="13">'SUP-YACYLEC'!INICIO</definedName>
    <definedName name="INICIO">[0]!INICIO</definedName>
    <definedName name="INICIOTI" localSheetId="9">'SA-LICCSA-04 (1)'!INICIOTI</definedName>
    <definedName name="INICIOTI" localSheetId="8">'SA-LINSA-04 (1)'!INICIOTI</definedName>
    <definedName name="INICIOTI" localSheetId="16">'SUP-LICCSA'!INICIOTI</definedName>
    <definedName name="INICIOTI" localSheetId="15">'SUP-LINSA'!INICIOTI</definedName>
    <definedName name="INICIOTI" localSheetId="14">'SUP-TIBA'!INICIOTI</definedName>
    <definedName name="INICIOTI" localSheetId="13">'SUP-YACYLEC'!INICIOTI</definedName>
    <definedName name="INICIOTI">[0]!INICIOTI</definedName>
    <definedName name="LINEAS" localSheetId="9">'SA-LICCSA-04 (1)'!LINEAS</definedName>
    <definedName name="LINEAS" localSheetId="8">'SA-LINSA-04 (1)'!LINEAS</definedName>
    <definedName name="LINEAS" localSheetId="16">'SUP-LICCSA'!LINEAS</definedName>
    <definedName name="LINEAS" localSheetId="15">'SUP-LINSA'!LINEAS</definedName>
    <definedName name="LINEAS" localSheetId="14">'SUP-TIBA'!LINEAS</definedName>
    <definedName name="LINEAS" localSheetId="13">'SUP-YACYLEC'!LINEAS</definedName>
    <definedName name="LINEAS">[0]!LINEAS</definedName>
    <definedName name="LINEASTI" localSheetId="9">'SA-LICCSA-04 (1)'!LINEASTI</definedName>
    <definedName name="LINEASTI" localSheetId="8">'SA-LINSA-04 (1)'!LINEASTI</definedName>
    <definedName name="LINEASTI" localSheetId="16">'SUP-LICCSA'!LINEASTI</definedName>
    <definedName name="LINEASTI" localSheetId="15">'SUP-LINSA'!LINEASTI</definedName>
    <definedName name="LINEASTI" localSheetId="14">'SUP-TIBA'!LINEASTI</definedName>
    <definedName name="LINEASTI" localSheetId="13">'SUP-YACYLEC'!LINEASTI</definedName>
    <definedName name="LINEASTI">[0]!LINEASTI</definedName>
    <definedName name="NAME_L" localSheetId="9">'SA-LICCSA-04 (1)'!NAME_L</definedName>
    <definedName name="NAME_L" localSheetId="8">'SA-LINSA-04 (1)'!NAME_L</definedName>
    <definedName name="NAME_L" localSheetId="16">'SUP-LICCSA'!NAME_L</definedName>
    <definedName name="NAME_L" localSheetId="15">'SUP-LINSA'!NAME_L</definedName>
    <definedName name="NAME_L" localSheetId="14">'SUP-TIBA'!NAME_L</definedName>
    <definedName name="NAME_L" localSheetId="13">'SUP-YACYLEC'!NAME_L</definedName>
    <definedName name="NAME_L">[0]!NAME_L</definedName>
    <definedName name="NAME_L_TI" localSheetId="9">'SA-LICCSA-04 (1)'!NAME_L_TI</definedName>
    <definedName name="NAME_L_TI" localSheetId="8">'SA-LINSA-04 (1)'!NAME_L_TI</definedName>
    <definedName name="NAME_L_TI" localSheetId="16">'SUP-LICCSA'!NAME_L_TI</definedName>
    <definedName name="NAME_L_TI" localSheetId="15">'SUP-LINSA'!NAME_L_TI</definedName>
    <definedName name="NAME_L_TI" localSheetId="14">'SUP-TIBA'!NAME_L_TI</definedName>
    <definedName name="NAME_L_TI" localSheetId="13">'SUP-YACYLEC'!NAME_L_TI</definedName>
    <definedName name="NAME_L_TI">[0]!NAME_L_TI</definedName>
    <definedName name="TRAN" localSheetId="9">'SA-LICCSA-04 (1)'!TRAN</definedName>
    <definedName name="TRAN" localSheetId="8">'SA-LINSA-04 (1)'!TRAN</definedName>
    <definedName name="TRAN" localSheetId="16">'SUP-LICCSA'!TRAN</definedName>
    <definedName name="TRAN" localSheetId="15">'SUP-LINSA'!TRAN</definedName>
    <definedName name="TRAN" localSheetId="14">'SUP-TIBA'!TRAN</definedName>
    <definedName name="TRAN" localSheetId="13">'SUP-YACYLEC'!TRAN</definedName>
    <definedName name="TRAN">[0]!TRAN</definedName>
    <definedName name="TRANSNOA" localSheetId="9">'SA-LICCSA-04 (1)'!TRANSNOA</definedName>
    <definedName name="TRANSNOA" localSheetId="8">'SA-LINSA-04 (1)'!TRANSNOA</definedName>
    <definedName name="TRANSNOA" localSheetId="16">'SUP-LICCSA'!TRANSNOA</definedName>
    <definedName name="TRANSNOA" localSheetId="15">'SUP-LINSA'!TRANSNOA</definedName>
    <definedName name="TRANSNOA" localSheetId="14">'SUP-TIBA'!TRANSNOA</definedName>
    <definedName name="TRANSNOA" localSheetId="13">'SUP-YACYLEC'!TRANSNOA</definedName>
    <definedName name="TRANSNOA">[0]!TRANSNOA</definedName>
    <definedName name="TRANSPA" localSheetId="9">'SA-LICCSA-04 (1)'!TRANSPA</definedName>
    <definedName name="TRANSPA" localSheetId="8">'SA-LINSA-04 (1)'!TRANSPA</definedName>
    <definedName name="TRANSPA" localSheetId="16">'SUP-LICCSA'!TRANSPA</definedName>
    <definedName name="TRANSPA" localSheetId="15">'SUP-LINSA'!TRANSPA</definedName>
    <definedName name="TRANSPA" localSheetId="14">'SUP-TIBA'!TRANSPA</definedName>
    <definedName name="TRANSPA" localSheetId="13">'SUP-YACYLEC'!TRANSPA</definedName>
    <definedName name="TRANSPA">[0]!TRANSPA</definedName>
    <definedName name="x" localSheetId="9">'SA-LICCSA-04 (1)'!x</definedName>
    <definedName name="x" localSheetId="8">'SA-LINSA-04 (1)'!x</definedName>
    <definedName name="x" localSheetId="16">'SUP-LICCSA'!x</definedName>
    <definedName name="x" localSheetId="15">'SUP-LINSA'!x</definedName>
    <definedName name="x" localSheetId="14">'SUP-TIBA'!x</definedName>
    <definedName name="x" localSheetId="13">'SUP-YACYLEC'!x</definedName>
    <definedName name="x">[0]!x</definedName>
    <definedName name="XX" localSheetId="9">'SA-LICCSA-04 (1)'!XX</definedName>
    <definedName name="XX" localSheetId="8">'SA-LINSA-04 (1)'!XX</definedName>
    <definedName name="XX" localSheetId="16">'SUP-LICCSA'!XX</definedName>
    <definedName name="XX" localSheetId="15">'SUP-LINSA'!XX</definedName>
    <definedName name="XX" localSheetId="14">'SUP-TIBA'!XX</definedName>
    <definedName name="XX" localSheetId="13">'SUP-YACYLEC'!XX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7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75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77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<sst xmlns="http://schemas.openxmlformats.org/spreadsheetml/2006/main" count="1613" uniqueCount="513">
  <si>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</si>
  <si>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</si>
  <si>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</si>
  <si>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</si>
  <si>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</si>
  <si>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</si>
  <si>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</si>
  <si>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</si>
  <si>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IV LINEA</t>
  </si>
  <si>
    <t>2.-</t>
  </si>
  <si>
    <t>CONEXIÓN</t>
  </si>
  <si>
    <t>Transformación</t>
  </si>
  <si>
    <t>Transportista Independiente TIBA S.A.</t>
  </si>
  <si>
    <t>Salidas</t>
  </si>
  <si>
    <t>Transportista Independiene L.I.N.S.A.</t>
  </si>
  <si>
    <t>3.-</t>
  </si>
  <si>
    <t>POTENCIA REACTIVA</t>
  </si>
  <si>
    <t>4.-</t>
  </si>
  <si>
    <t>SUPERVISIÓN</t>
  </si>
  <si>
    <t>Transportista Independiente LINSA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</si>
  <si>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</si>
  <si>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</si>
  <si>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</si>
  <si>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</si>
  <si>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</si>
  <si>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</si>
  <si>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</si>
  <si>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</si>
  <si>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</si>
  <si>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</si>
  <si>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</si>
  <si>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</si>
  <si>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</si>
  <si>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</si>
  <si>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</si>
  <si>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</si>
  <si>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</si>
  <si>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</si>
  <si>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</si>
  <si>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</si>
  <si>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</si>
  <si>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</si>
  <si>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</si>
  <si>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</si>
  <si>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</si>
  <si>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</si>
  <si>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</si>
  <si>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</si>
  <si>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</si>
  <si>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</si>
  <si>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PENALIZACION FORZADA
Por Salida      1ras 5 hs.     hs. Restantes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</si>
  <si>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</si>
  <si>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</si>
  <si>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</si>
  <si>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</si>
  <si>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</si>
  <si>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</si>
  <si>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</si>
  <si>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</si>
  <si>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</si>
  <si>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</si>
  <si>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</si>
  <si>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</si>
  <si>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</si>
  <si>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</si>
  <si>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</si>
  <si>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</si>
  <si>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</si>
  <si>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</si>
  <si>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</si>
  <si>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</si>
  <si>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</si>
  <si>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</si>
  <si>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</si>
  <si>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</si>
  <si>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</si>
  <si>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</si>
  <si>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</si>
  <si>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</si>
  <si>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PENALIZACIÓN FORZADA
Por Salida     hs. Restantes</t>
  </si>
  <si>
    <t>SI</t>
  </si>
  <si>
    <t>3.9.- IV LINEA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</si>
  <si>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</si>
  <si>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</si>
  <si>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</si>
  <si>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</si>
  <si>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</si>
  <si>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</si>
  <si>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</si>
  <si>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</si>
  <si>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</si>
  <si>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</si>
  <si>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</si>
  <si>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</si>
  <si>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</si>
  <si>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</si>
  <si>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</si>
  <si>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</si>
  <si>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</si>
  <si>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</si>
  <si>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</si>
  <si>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</si>
  <si>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</si>
  <si>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</si>
  <si>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</si>
  <si>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Tipo 
Sal.</t>
  </si>
  <si>
    <t>K (P;ENS)</t>
  </si>
  <si>
    <t>PENALIZAC. FORZADA
Por Salida    hs. Restantes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</si>
  <si>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</si>
  <si>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</si>
  <si>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</si>
  <si>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</si>
  <si>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</si>
  <si>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</si>
  <si>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</si>
  <si>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</si>
  <si>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</si>
  <si>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</si>
  <si>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</si>
  <si>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POT. [MVA]</t>
  </si>
  <si>
    <t>E.T.</t>
  </si>
  <si>
    <t>SALIDA</t>
  </si>
  <si>
    <t>500/132/33</t>
  </si>
  <si>
    <t>RM =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</si>
  <si>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</si>
  <si>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</si>
  <si>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</si>
  <si>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</si>
  <si>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</si>
  <si>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</si>
  <si>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</si>
  <si>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</si>
  <si>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</si>
  <si>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</si>
  <si>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</si>
  <si>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</si>
  <si>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</si>
  <si>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</si>
  <si>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</si>
  <si>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</si>
  <si>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</si>
  <si>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</si>
  <si>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</si>
  <si>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</si>
  <si>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</si>
  <si>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</si>
  <si>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</si>
  <si>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</si>
  <si>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</si>
  <si>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</si>
  <si>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</si>
  <si>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</si>
  <si>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</si>
  <si>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</si>
  <si>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</si>
  <si>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</si>
  <si>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</si>
  <si>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</si>
  <si>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</si>
  <si>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</si>
  <si>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</si>
  <si>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</si>
  <si>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</si>
  <si>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</si>
  <si>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</si>
  <si>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</si>
  <si>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</si>
  <si>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</si>
  <si>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</si>
  <si>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</si>
  <si>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</si>
  <si>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</si>
  <si>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</si>
  <si>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</si>
  <si>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</si>
  <si>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</si>
  <si>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</si>
  <si>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</si>
  <si>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</si>
  <si>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</si>
  <si>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</si>
  <si>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</si>
  <si>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</si>
  <si>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</si>
  <si>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</si>
  <si>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</si>
  <si>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</si>
  <si>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</si>
  <si>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</si>
  <si>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</si>
  <si>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</si>
  <si>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</si>
  <si>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</si>
  <si>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</si>
  <si>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</si>
  <si>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</si>
  <si>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</si>
  <si>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</si>
  <si>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</si>
  <si>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</si>
  <si>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</si>
  <si>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</si>
  <si>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</si>
  <si>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</si>
  <si>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</si>
  <si>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</si>
  <si>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</si>
  <si>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</si>
  <si>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</si>
  <si>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</si>
  <si>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</si>
  <si>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</si>
  <si>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</si>
  <si>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</si>
  <si>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</si>
  <si>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</si>
  <si>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</si>
  <si>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</si>
  <si>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</si>
  <si>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</si>
  <si>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</si>
  <si>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</si>
  <si>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</si>
  <si>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</si>
  <si>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</si>
  <si>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</si>
  <si>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</si>
  <si>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</si>
  <si>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</si>
  <si>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</si>
  <si>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</si>
  <si>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</si>
  <si>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</si>
  <si>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</si>
  <si>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</si>
  <si>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</si>
  <si>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</si>
  <si>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</si>
  <si>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</si>
  <si>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</si>
  <si>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</si>
  <si>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</si>
  <si>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</si>
  <si>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</si>
  <si>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</si>
  <si>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</si>
  <si>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</si>
  <si>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</si>
  <si>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</si>
  <si>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</si>
  <si>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</si>
  <si>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</si>
  <si>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</si>
  <si>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</si>
  <si>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</si>
  <si>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</si>
  <si>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</si>
  <si>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</si>
  <si>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</si>
  <si>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</si>
  <si>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</si>
  <si>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</si>
  <si>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</si>
  <si>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</si>
  <si>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</si>
  <si>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</si>
  <si>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</si>
  <si>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</si>
  <si>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</si>
  <si>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</si>
  <si>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</si>
  <si>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</si>
  <si>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</si>
  <si>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</si>
  <si>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</si>
  <si>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</si>
  <si>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</si>
  <si>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</si>
  <si>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</si>
  <si>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</si>
  <si>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</si>
  <si>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</si>
  <si>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</si>
  <si>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</si>
  <si>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</si>
  <si>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</si>
  <si>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</si>
  <si>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</si>
  <si>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</si>
  <si>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</si>
  <si>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</si>
  <si>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</si>
  <si>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</si>
  <si>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</si>
  <si>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</si>
  <si>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</si>
  <si>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</si>
  <si>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</si>
  <si>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</si>
  <si>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</si>
  <si>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</si>
  <si>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</si>
  <si>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</si>
  <si>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</si>
  <si>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</si>
  <si>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</si>
  <si>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</si>
  <si>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t>RAMALLO - SAN NICOLAS 2</t>
  </si>
  <si>
    <t>C</t>
  </si>
  <si>
    <t>P</t>
  </si>
  <si>
    <t>F</t>
  </si>
  <si>
    <t>RAMALLO - VILLA LIA  2</t>
  </si>
  <si>
    <t>VILLA LIA - ATUCHA 2</t>
  </si>
  <si>
    <t>GRAL. RODRIGUEZ - VILLA  LIA 1</t>
  </si>
  <si>
    <t>CHOCON OESTE - CHOCON 2</t>
  </si>
  <si>
    <t>RIO GRANDE - LUJAN</t>
  </si>
  <si>
    <t>A</t>
  </si>
  <si>
    <t>RECREO - MALVINAS ARG.</t>
  </si>
  <si>
    <t>B</t>
  </si>
  <si>
    <t>RINCON - YACYRETA II</t>
  </si>
  <si>
    <t>P. DEL AGUILA - CHOELE CHOEL 1</t>
  </si>
  <si>
    <t>SANTO TOME</t>
  </si>
  <si>
    <t>TRAFO 1</t>
  </si>
  <si>
    <t>RESISTENCIA</t>
  </si>
  <si>
    <t>TRAFO 2</t>
  </si>
  <si>
    <t>RECREO</t>
  </si>
  <si>
    <t>ATUCHA I</t>
  </si>
  <si>
    <t>TRAFO</t>
  </si>
  <si>
    <t>MALVINAS ARGENTINAS</t>
  </si>
  <si>
    <t>SALIDA LINEA ESTE 1</t>
  </si>
  <si>
    <t>EL BRACHO</t>
  </si>
  <si>
    <t>SALIDA LINEA TUCUMAN NORTE 1</t>
  </si>
  <si>
    <t>GRAN MENDOZA</t>
  </si>
  <si>
    <t>SALIDA LINEA A CRUZ DE PIEDRA 2</t>
  </si>
  <si>
    <t>P. BANDERITA</t>
  </si>
  <si>
    <t>SALIDA TRAFO MAQ. 1 Y 2</t>
  </si>
  <si>
    <t>ABASTO</t>
  </si>
  <si>
    <t>SALIDA TRAFO 2</t>
  </si>
  <si>
    <t>ROSARIO OESTE</t>
  </si>
  <si>
    <t>SALIDA LINEA A GODOY</t>
  </si>
  <si>
    <t>ALMAFUERTE</t>
  </si>
  <si>
    <t>SALIDA REOLIN 3</t>
  </si>
  <si>
    <t>SALIDA LINEA CASILDA 1</t>
  </si>
  <si>
    <t>EZEIZA</t>
  </si>
  <si>
    <t>SALIDA A MAQ. GENELBA 1</t>
  </si>
  <si>
    <t>SALIDA A MAQ. GENELBA 2</t>
  </si>
  <si>
    <t>SALIDA A MAQ. GENELBA 3</t>
  </si>
  <si>
    <t>SALIDA LÍNEA A M. ALUMBRERA</t>
  </si>
  <si>
    <t>SALIDA LINEA REOLIN 1</t>
  </si>
  <si>
    <t>VILLA LIA</t>
  </si>
  <si>
    <t>SALIDA TRAFO 220/132/13,2</t>
  </si>
  <si>
    <t>ATUCHA</t>
  </si>
  <si>
    <t>TRAFO MAQ. 2</t>
  </si>
  <si>
    <t>OLAVARRIA</t>
  </si>
  <si>
    <t>SALIDA ACOPLAMIENTO B-D</t>
  </si>
  <si>
    <t>RAMALLO</t>
  </si>
  <si>
    <t>SALIDA LINEA URBANA SAN NICOLAS</t>
  </si>
  <si>
    <t>SALIDA LINEA ROSARIO SUR 2</t>
  </si>
  <si>
    <t>SALIDA LINEA A BARRANQUERAS 1</t>
  </si>
  <si>
    <t>SALIDA LÍNEA A C.T. TUCUMÁN maq 1</t>
  </si>
  <si>
    <t>SALIDA LÍNEA A C.T. TUCUMÁN maq 2</t>
  </si>
  <si>
    <t>SALIDA A OLAVARRIA</t>
  </si>
  <si>
    <t xml:space="preserve">BAHIA BLANCA </t>
  </si>
  <si>
    <t>SALIDA LINEA PBUENA 2</t>
  </si>
  <si>
    <t>SALIDA A AZUL</t>
  </si>
  <si>
    <t xml:space="preserve">CAMPANA </t>
  </si>
  <si>
    <t>SALIDA PRAXAIR</t>
  </si>
  <si>
    <t>SALIDA A TANDIL</t>
  </si>
  <si>
    <t>BAHIA BLANCA</t>
  </si>
  <si>
    <t>SALIDA a Norte II</t>
  </si>
  <si>
    <t>4.4.- Transportista Independiente LICCSA</t>
  </si>
  <si>
    <t>Remuneración CONEXIÓN de 220 kV      =</t>
  </si>
  <si>
    <t>Coef.penalización por salida forzada   =</t>
  </si>
  <si>
    <t>500/220/33</t>
  </si>
  <si>
    <t>Río Diamante-T1RDI</t>
  </si>
  <si>
    <t>Río Diamante</t>
  </si>
  <si>
    <t>Los Reyunos</t>
  </si>
  <si>
    <t>RM * =</t>
  </si>
  <si>
    <r>
      <t xml:space="preserve">  RM *</t>
    </r>
    <r>
      <rPr>
        <sz val="12"/>
        <rFont val="Times New Roman"/>
        <family val="1"/>
      </rPr>
      <t xml:space="preserve"> = valor empleado para calcular </t>
    </r>
    <r>
      <rPr>
        <b/>
        <sz val="12"/>
        <rFont val="Times New Roman"/>
        <family val="1"/>
      </rPr>
      <t>CS</t>
    </r>
  </si>
  <si>
    <t>K3OL (Cap. Serie)</t>
  </si>
  <si>
    <t>CHOELE CHOEL</t>
  </si>
  <si>
    <t>R3L5CL</t>
  </si>
  <si>
    <t>CS3</t>
  </si>
  <si>
    <t>CS4</t>
  </si>
  <si>
    <t>CS6</t>
  </si>
  <si>
    <t>PUELCHES</t>
  </si>
  <si>
    <t>ROMANG</t>
  </si>
  <si>
    <t>R4L5PU</t>
  </si>
  <si>
    <t>R. OESTE</t>
  </si>
  <si>
    <t>CAP K2RO</t>
  </si>
  <si>
    <t>CS1</t>
  </si>
  <si>
    <t>OLAVARRIA 500 (ABAS.)</t>
  </si>
  <si>
    <t>CS2</t>
  </si>
  <si>
    <t>R3L5PU</t>
  </si>
  <si>
    <t>K2OL</t>
  </si>
  <si>
    <t>K4OL</t>
  </si>
  <si>
    <t>R1L5RM</t>
  </si>
  <si>
    <t>R4L5RM</t>
  </si>
  <si>
    <t>P - PROGRAMADA</t>
  </si>
  <si>
    <t>NOTA: los capacitores serie no se penalizan en este caso</t>
  </si>
  <si>
    <t>P - PROGRAMADA  ; F - FORZADA</t>
  </si>
  <si>
    <t>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</si>
  <si>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</si>
  <si>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Transportista Independiene L.I.C.C.S.A.</t>
  </si>
  <si>
    <t>ALMAFUERTE - ARROYO CABRAL   1</t>
  </si>
  <si>
    <t>HENDERSON</t>
  </si>
  <si>
    <t>TRAFO 7</t>
  </si>
  <si>
    <t>220/132/13,2</t>
  </si>
  <si>
    <t>ATUCHA II</t>
  </si>
  <si>
    <t>SALIDA 5TGAT1</t>
  </si>
  <si>
    <t>ARROYO CABRAL</t>
  </si>
  <si>
    <t>SALIDA A GRAL. DEHEZA</t>
  </si>
  <si>
    <t>LUJAN</t>
  </si>
  <si>
    <t>SALIDA A LA CANDELARIA</t>
  </si>
  <si>
    <t>M. BELGRANO</t>
  </si>
  <si>
    <t>SALIDA TRAFO TV1</t>
  </si>
  <si>
    <t>RIO CORONDA</t>
  </si>
  <si>
    <t>SALIDA TV1 SM</t>
  </si>
  <si>
    <t>SALIDA TRAFO TG2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</si>
  <si>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</si>
  <si>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 xml:space="preserve"> - </t>
  </si>
  <si>
    <t>Coeficiente de penalización forzada  =</t>
  </si>
  <si>
    <t>Remuneración SALIDAS 500 kV      =</t>
  </si>
  <si>
    <t>Resistencia</t>
  </si>
  <si>
    <t>Yacyretá</t>
  </si>
  <si>
    <t>2 a Resistencia</t>
  </si>
  <si>
    <t>3 a Yacyretá</t>
  </si>
  <si>
    <t xml:space="preserve"> 2.2.3.- Transp. Indep. LINSA  (G. Formosa - Resistencia - Mte. Quemado) </t>
  </si>
  <si>
    <t xml:space="preserve"> -</t>
  </si>
  <si>
    <t xml:space="preserve">P - PROGRAMADA </t>
  </si>
  <si>
    <t>Remuneración SALIDA 132 kV             =</t>
  </si>
  <si>
    <t>$/hora</t>
  </si>
  <si>
    <t xml:space="preserve"> Resistencia - Gran Formosa</t>
  </si>
  <si>
    <t>Monte Quemado - Chaco</t>
  </si>
  <si>
    <t>TRANSFORMADOR</t>
  </si>
  <si>
    <t>G.Formosa - Trafo 1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</si>
  <si>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</si>
  <si>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</si>
  <si>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</si>
  <si>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</si>
  <si>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</si>
  <si>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</si>
  <si>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</si>
  <si>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</si>
  <si>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RM 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</si>
  <si>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</si>
  <si>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GRAN FORMOSA</t>
  </si>
  <si>
    <t>SALIDA PIRANE   1</t>
  </si>
  <si>
    <t>SALIDA FORMOSA   1</t>
  </si>
  <si>
    <t>SALIDA FORMOSA   2</t>
  </si>
  <si>
    <t>RIO DIAMANTE</t>
  </si>
  <si>
    <t>SALIDA LOS REYUNOS</t>
  </si>
  <si>
    <t>G. Mendoza - R. Diamante</t>
  </si>
  <si>
    <t>TRAFOS</t>
  </si>
  <si>
    <t>Chaco - Resistencia</t>
  </si>
  <si>
    <t>Transportista Independiente L.I.C.C.S.A.</t>
  </si>
  <si>
    <t>4.2.- Transportista Independiente  TIBA S.A.</t>
  </si>
  <si>
    <t xml:space="preserve">Salida en 500 kV en $/h </t>
  </si>
  <si>
    <t xml:space="preserve">Cargo por Transformador por MVA = </t>
  </si>
  <si>
    <t>Salida en 132 kV en $/h</t>
  </si>
  <si>
    <t>VI</t>
  </si>
  <si>
    <t>vii</t>
  </si>
  <si>
    <t>VII</t>
  </si>
  <si>
    <t>VIII</t>
  </si>
  <si>
    <t>IX</t>
  </si>
  <si>
    <t>X</t>
  </si>
  <si>
    <t>XI</t>
  </si>
  <si>
    <t>XII</t>
  </si>
  <si>
    <t>XIII</t>
  </si>
  <si>
    <t>XIV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</si>
  <si>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</si>
  <si>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</si>
  <si>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</si>
  <si>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</si>
  <si>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</si>
  <si>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</si>
  <si>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</si>
  <si>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</si>
  <si>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</si>
  <si>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RM: Por Capacitores ET  B. Blanca:</t>
  </si>
  <si>
    <t>100 MVAr</t>
  </si>
  <si>
    <t>RM *  =</t>
  </si>
  <si>
    <t>TOTAL A PENALIZAR A TRANSENER S.A POR SUPERVISIÓN A TIBA</t>
  </si>
  <si>
    <r>
      <t>RM</t>
    </r>
    <r>
      <rPr>
        <sz val="12"/>
        <rFont val="Times New Roman"/>
        <family val="1"/>
      </rPr>
      <t xml:space="preserve"> por Cargos de Conexión</t>
    </r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</si>
  <si>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</si>
  <si>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2.2.3.-</t>
  </si>
  <si>
    <t>1.3.- IV LINEA</t>
  </si>
  <si>
    <t xml:space="preserve"> 2.2.4.- Equipamiento propio</t>
  </si>
  <si>
    <t>4.3.- Transportista Independiente LINSA  (Chaco - Resistencia  - Gran Formosa)</t>
  </si>
  <si>
    <t>RF</t>
  </si>
  <si>
    <t>TOTAL A PENALIZAR A TRANSENER S.A POR SUPERVISIÓN DE SU T.I.</t>
  </si>
  <si>
    <t>Desde el 01 al 30 de abril de 2013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</si>
  <si>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</si>
  <si>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</si>
  <si>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</si>
  <si>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 xml:space="preserve">3.- POTENCIA REACTIVA </t>
  </si>
  <si>
    <t>3.1.1- Equipamiento propio Res. 01_03</t>
  </si>
  <si>
    <t>REM ($/h*MVAr)</t>
  </si>
  <si>
    <t xml:space="preserve">  F - FORZADA </t>
  </si>
  <si>
    <t>Equipamiento propio Res. ENRE 01/2003</t>
  </si>
  <si>
    <t>(*)</t>
  </si>
  <si>
    <t>P - PROGRAMADA ;  (*): según nota ENRE N° 47256</t>
  </si>
  <si>
    <t>(DTE 0413)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</si>
  <si>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</si>
  <si>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</si>
  <si>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</si>
  <si>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</si>
  <si>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</si>
  <si>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</si>
  <si>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</si>
  <si>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</si>
  <si>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Correspondiente al mes de abril de 2013</t>
  </si>
  <si>
    <t>ANEXO V al Memorándum  D.T.E.E.  N°     461       / 2014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</si>
</sst>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1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sz val="12"/>
      <color indexed="8"/>
      <name val="Times New Roman"/>
      <family val="1"/>
    </font>
    <font>
      <sz val="12"/>
      <name val="MS Sans Serif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name val="MS Sans Serif"/>
      <family val="0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MS Sans Serif"/>
      <family val="2"/>
    </font>
    <font>
      <sz val="9"/>
      <name val="Times New Roman"/>
      <family val="1"/>
    </font>
    <font>
      <sz val="9"/>
      <name val="Wingdings"/>
      <family val="0"/>
    </font>
    <font>
      <b/>
      <sz val="10"/>
      <name val="MS Sans Serif"/>
      <family val="0"/>
    </font>
    <font>
      <sz val="9"/>
      <name val="Courier New"/>
      <family val="3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Gray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5" borderId="0" applyNumberFormat="0" applyBorder="0" applyAlignment="0" applyProtection="0"/>
    <xf numFmtId="0" fontId="111" fillId="8" borderId="0" applyNumberFormat="0" applyBorder="0" applyAlignment="0" applyProtection="0"/>
    <xf numFmtId="0" fontId="111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3" fillId="4" borderId="0" applyNumberFormat="0" applyBorder="0" applyAlignment="0" applyProtection="0"/>
    <xf numFmtId="0" fontId="114" fillId="16" borderId="1" applyNumberFormat="0" applyAlignment="0" applyProtection="0"/>
    <xf numFmtId="0" fontId="115" fillId="17" borderId="2" applyNumberFormat="0" applyAlignment="0" applyProtection="0"/>
    <xf numFmtId="0" fontId="116" fillId="0" borderId="3" applyNumberFormat="0" applyFill="0" applyAlignment="0" applyProtection="0"/>
    <xf numFmtId="0" fontId="139" fillId="0" borderId="4" applyNumberFormat="0" applyFill="0" applyAlignment="0" applyProtection="0"/>
    <xf numFmtId="0" fontId="117" fillId="0" borderId="0" applyNumberFormat="0" applyFill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21" borderId="0" applyNumberFormat="0" applyBorder="0" applyAlignment="0" applyProtection="0"/>
    <xf numFmtId="0" fontId="1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1" fillId="16" borderId="6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17" fillId="0" borderId="9" applyNumberFormat="0" applyFill="0" applyAlignment="0" applyProtection="0"/>
    <xf numFmtId="0" fontId="127" fillId="0" borderId="10" applyNumberFormat="0" applyFill="0" applyAlignment="0" applyProtection="0"/>
  </cellStyleXfs>
  <cellXfs count="1625">
    <xf numFmtId="0" fontId="0" fillId="0" borderId="0" xfId="0" applyAlignment="1">
      <alignment/>
    </xf>
    <xf numFmtId="0" fontId="8" fillId="0" borderId="0" xfId="64" applyFont="1" quotePrefix="1">
      <alignment/>
      <protection/>
    </xf>
    <xf numFmtId="0" fontId="9" fillId="0" borderId="0" xfId="64" applyFont="1" applyAlignment="1">
      <alignment horizontal="centerContinuous"/>
      <protection/>
    </xf>
    <xf numFmtId="0" fontId="8" fillId="0" borderId="0" xfId="64" applyFont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 applyAlignment="1">
      <alignment horizontal="right" vertical="top"/>
      <protection/>
    </xf>
    <xf numFmtId="0" fontId="12" fillId="0" borderId="0" xfId="64" applyFont="1" applyAlignment="1">
      <alignment horizontal="centerContinuous"/>
      <protection/>
    </xf>
    <xf numFmtId="0" fontId="8" fillId="0" borderId="0" xfId="64" applyFont="1" applyAlignment="1">
      <alignment horizontal="centerContinuous"/>
      <protection/>
    </xf>
    <xf numFmtId="0" fontId="13" fillId="0" borderId="0" xfId="64" applyFont="1">
      <alignment/>
      <protection/>
    </xf>
    <xf numFmtId="0" fontId="3" fillId="0" borderId="0" xfId="64">
      <alignment/>
      <protection/>
    </xf>
    <xf numFmtId="0" fontId="13" fillId="0" borderId="0" xfId="64" applyFont="1" applyAlignment="1">
      <alignment horizontal="centerContinuous"/>
      <protection/>
    </xf>
    <xf numFmtId="0" fontId="13" fillId="0" borderId="0" xfId="64" applyFont="1" applyBorder="1">
      <alignment/>
      <protection/>
    </xf>
    <xf numFmtId="0" fontId="6" fillId="0" borderId="0" xfId="64" applyFont="1" applyFill="1" applyBorder="1" applyAlignment="1" applyProtection="1">
      <alignment horizontal="centerContinuous"/>
      <protection/>
    </xf>
    <xf numFmtId="0" fontId="14" fillId="0" borderId="0" xfId="64" applyNumberFormat="1" applyFont="1" applyAlignment="1">
      <alignment horizontal="left"/>
      <protection/>
    </xf>
    <xf numFmtId="0" fontId="14" fillId="0" borderId="0" xfId="64" applyFont="1">
      <alignment/>
      <protection/>
    </xf>
    <xf numFmtId="0" fontId="14" fillId="0" borderId="0" xfId="64" applyFont="1" applyBorder="1">
      <alignment/>
      <protection/>
    </xf>
    <xf numFmtId="0" fontId="15" fillId="0" borderId="0" xfId="64" applyFont="1" applyFill="1" applyBorder="1" applyAlignment="1" applyProtection="1">
      <alignment horizontal="left"/>
      <protection/>
    </xf>
    <xf numFmtId="0" fontId="8" fillId="0" borderId="0" xfId="64" applyFont="1" applyBorder="1">
      <alignment/>
      <protection/>
    </xf>
    <xf numFmtId="0" fontId="16" fillId="0" borderId="0" xfId="64" applyFont="1">
      <alignment/>
      <protection/>
    </xf>
    <xf numFmtId="0" fontId="17" fillId="0" borderId="0" xfId="64" applyFont="1" applyBorder="1" applyAlignment="1">
      <alignment horizontal="centerContinuous"/>
      <protection/>
    </xf>
    <xf numFmtId="0" fontId="18" fillId="0" borderId="0" xfId="64" applyFont="1" applyAlignment="1">
      <alignment horizontal="centerContinuous"/>
      <protection/>
    </xf>
    <xf numFmtId="0" fontId="16" fillId="0" borderId="0" xfId="64" applyFont="1" applyAlignment="1">
      <alignment horizontal="centerContinuous"/>
      <protection/>
    </xf>
    <xf numFmtId="0" fontId="16" fillId="0" borderId="0" xfId="64" applyFont="1" applyBorder="1" applyAlignment="1">
      <alignment horizontal="centerContinuous"/>
      <protection/>
    </xf>
    <xf numFmtId="0" fontId="16" fillId="0" borderId="0" xfId="64" applyFont="1" applyBorder="1">
      <alignment/>
      <protection/>
    </xf>
    <xf numFmtId="0" fontId="19" fillId="0" borderId="0" xfId="64" applyFont="1">
      <alignment/>
      <protection/>
    </xf>
    <xf numFmtId="0" fontId="3" fillId="0" borderId="0" xfId="64" applyAlignment="1">
      <alignment horizontal="centerContinuous"/>
      <protection/>
    </xf>
    <xf numFmtId="0" fontId="20" fillId="0" borderId="0" xfId="64" applyFont="1" applyAlignment="1">
      <alignment horizontal="centerContinuous"/>
      <protection/>
    </xf>
    <xf numFmtId="0" fontId="21" fillId="0" borderId="0" xfId="64" applyFont="1">
      <alignment/>
      <protection/>
    </xf>
    <xf numFmtId="0" fontId="22" fillId="0" borderId="0" xfId="64" applyFont="1" applyBorder="1">
      <alignment/>
      <protection/>
    </xf>
    <xf numFmtId="0" fontId="21" fillId="0" borderId="0" xfId="64" applyFont="1" applyBorder="1">
      <alignment/>
      <protection/>
    </xf>
    <xf numFmtId="0" fontId="21" fillId="0" borderId="11" xfId="64" applyFont="1" applyBorder="1">
      <alignment/>
      <protection/>
    </xf>
    <xf numFmtId="0" fontId="21" fillId="0" borderId="12" xfId="64" applyFont="1" applyBorder="1">
      <alignment/>
      <protection/>
    </xf>
    <xf numFmtId="182" fontId="21" fillId="0" borderId="12" xfId="64" applyNumberFormat="1" applyFont="1" applyBorder="1">
      <alignment/>
      <protection/>
    </xf>
    <xf numFmtId="0" fontId="21" fillId="0" borderId="13" xfId="64" applyFont="1" applyBorder="1">
      <alignment/>
      <protection/>
    </xf>
    <xf numFmtId="0" fontId="23" fillId="0" borderId="0" xfId="64" applyFont="1">
      <alignment/>
      <protection/>
    </xf>
    <xf numFmtId="0" fontId="24" fillId="0" borderId="14" xfId="64" applyFont="1" applyBorder="1" applyAlignment="1">
      <alignment horizontal="centerContinuous"/>
      <protection/>
    </xf>
    <xf numFmtId="0" fontId="3" fillId="0" borderId="0" xfId="64" applyNumberFormat="1" applyAlignment="1">
      <alignment horizontal="centerContinuous"/>
      <protection/>
    </xf>
    <xf numFmtId="0" fontId="23" fillId="0" borderId="0" xfId="64" applyNumberFormat="1" applyFont="1" applyAlignment="1">
      <alignment horizontal="centerContinuous"/>
      <protection/>
    </xf>
    <xf numFmtId="182" fontId="24" fillId="0" borderId="0" xfId="64" applyNumberFormat="1" applyFont="1" applyBorder="1" applyAlignment="1">
      <alignment horizontal="centerContinuous"/>
      <protection/>
    </xf>
    <xf numFmtId="0" fontId="24" fillId="0" borderId="0" xfId="64" applyFont="1" applyBorder="1" applyAlignment="1">
      <alignment horizontal="centerContinuous"/>
      <protection/>
    </xf>
    <xf numFmtId="0" fontId="23" fillId="0" borderId="0" xfId="64" applyFont="1" applyBorder="1" applyAlignment="1">
      <alignment horizontal="centerContinuous"/>
      <protection/>
    </xf>
    <xf numFmtId="0" fontId="23" fillId="0" borderId="15" xfId="64" applyFont="1" applyBorder="1" applyAlignment="1">
      <alignment horizontal="centerContinuous"/>
      <protection/>
    </xf>
    <xf numFmtId="0" fontId="23" fillId="0" borderId="0" xfId="64" applyFont="1" applyBorder="1">
      <alignment/>
      <protection/>
    </xf>
    <xf numFmtId="0" fontId="23" fillId="0" borderId="14" xfId="64" applyFont="1" applyBorder="1">
      <alignment/>
      <protection/>
    </xf>
    <xf numFmtId="0" fontId="10" fillId="0" borderId="0" xfId="64" applyNumberFormat="1" applyFont="1" applyBorder="1" applyAlignment="1">
      <alignment horizontal="right"/>
      <protection/>
    </xf>
    <xf numFmtId="181" fontId="10" fillId="0" borderId="0" xfId="64" applyNumberFormat="1" applyFont="1" applyBorder="1" applyAlignment="1">
      <alignment horizontal="right"/>
      <protection/>
    </xf>
    <xf numFmtId="182" fontId="23" fillId="0" borderId="0" xfId="64" applyNumberFormat="1" applyFont="1" applyBorder="1">
      <alignment/>
      <protection/>
    </xf>
    <xf numFmtId="0" fontId="24" fillId="0" borderId="0" xfId="64" applyFont="1" applyBorder="1">
      <alignment/>
      <protection/>
    </xf>
    <xf numFmtId="0" fontId="23" fillId="0" borderId="15" xfId="64" applyFont="1" applyBorder="1">
      <alignment/>
      <protection/>
    </xf>
    <xf numFmtId="0" fontId="10" fillId="0" borderId="0" xfId="64" applyNumberFormat="1" applyFont="1" applyBorder="1" applyAlignment="1">
      <alignment horizontal="right"/>
      <protection/>
    </xf>
    <xf numFmtId="7" fontId="10" fillId="0" borderId="0" xfId="64" applyNumberFormat="1" applyFont="1" applyBorder="1" applyAlignment="1">
      <alignment horizontal="right"/>
      <protection/>
    </xf>
    <xf numFmtId="182" fontId="10" fillId="0" borderId="0" xfId="64" applyNumberFormat="1" applyFont="1" applyBorder="1">
      <alignment/>
      <protection/>
    </xf>
    <xf numFmtId="182" fontId="10" fillId="0" borderId="0" xfId="64" applyNumberFormat="1" applyFont="1" applyBorder="1">
      <alignment/>
      <protection/>
    </xf>
    <xf numFmtId="0" fontId="24" fillId="0" borderId="0" xfId="64" applyFont="1" applyBorder="1">
      <alignment/>
      <protection/>
    </xf>
    <xf numFmtId="7" fontId="10" fillId="0" borderId="0" xfId="64" applyNumberFormat="1" applyFont="1" applyBorder="1" applyAlignment="1">
      <alignment horizontal="right"/>
      <protection/>
    </xf>
    <xf numFmtId="0" fontId="13" fillId="0" borderId="14" xfId="64" applyFont="1" applyBorder="1">
      <alignment/>
      <protection/>
    </xf>
    <xf numFmtId="0" fontId="5" fillId="0" borderId="0" xfId="64" applyNumberFormat="1" applyFont="1" applyBorder="1" applyAlignment="1">
      <alignment horizontal="right"/>
      <protection/>
    </xf>
    <xf numFmtId="182" fontId="13" fillId="0" borderId="0" xfId="64" applyNumberFormat="1" applyFont="1" applyBorder="1">
      <alignment/>
      <protection/>
    </xf>
    <xf numFmtId="0" fontId="25" fillId="0" borderId="0" xfId="64" applyFont="1" applyBorder="1">
      <alignment/>
      <protection/>
    </xf>
    <xf numFmtId="7" fontId="5" fillId="0" borderId="0" xfId="64" applyNumberFormat="1" applyFont="1" applyBorder="1" applyAlignment="1">
      <alignment horizontal="right"/>
      <protection/>
    </xf>
    <xf numFmtId="0" fontId="13" fillId="0" borderId="15" xfId="64" applyFont="1" applyBorder="1">
      <alignment/>
      <protection/>
    </xf>
    <xf numFmtId="181" fontId="10" fillId="0" borderId="0" xfId="64" applyNumberFormat="1" applyFont="1" applyBorder="1" applyAlignment="1">
      <alignment horizontal="left"/>
      <protection/>
    </xf>
    <xf numFmtId="182" fontId="23" fillId="0" borderId="0" xfId="64" applyNumberFormat="1" applyFont="1" applyBorder="1">
      <alignment/>
      <protection/>
    </xf>
    <xf numFmtId="182" fontId="10" fillId="0" borderId="0" xfId="64" applyNumberFormat="1" applyFont="1" applyBorder="1" applyAlignment="1">
      <alignment horizontal="right"/>
      <protection/>
    </xf>
    <xf numFmtId="0" fontId="10" fillId="0" borderId="0" xfId="64" applyFont="1" applyBorder="1">
      <alignment/>
      <protection/>
    </xf>
    <xf numFmtId="182" fontId="10" fillId="0" borderId="0" xfId="64" applyNumberFormat="1" applyFont="1" applyBorder="1" applyAlignment="1">
      <alignment horizontal="right"/>
      <protection/>
    </xf>
    <xf numFmtId="182" fontId="13" fillId="0" borderId="0" xfId="64" applyNumberFormat="1" applyFont="1" applyBorder="1">
      <alignment/>
      <protection/>
    </xf>
    <xf numFmtId="0" fontId="25" fillId="0" borderId="0" xfId="64" applyFont="1" applyBorder="1">
      <alignment/>
      <protection/>
    </xf>
    <xf numFmtId="7" fontId="5" fillId="0" borderId="0" xfId="64" applyNumberFormat="1" applyFont="1" applyBorder="1" applyAlignment="1">
      <alignment horizontal="right"/>
      <protection/>
    </xf>
    <xf numFmtId="0" fontId="26" fillId="0" borderId="0" xfId="64" applyFont="1" applyBorder="1">
      <alignment/>
      <protection/>
    </xf>
    <xf numFmtId="0" fontId="10" fillId="0" borderId="16" xfId="64" applyFont="1" applyBorder="1" applyAlignment="1">
      <alignment horizontal="center"/>
      <protection/>
    </xf>
    <xf numFmtId="7" fontId="10" fillId="0" borderId="17" xfId="64" applyNumberFormat="1" applyFont="1" applyBorder="1" applyAlignment="1">
      <alignment horizontal="center"/>
      <protection/>
    </xf>
    <xf numFmtId="7" fontId="10" fillId="0" borderId="0" xfId="64" applyNumberFormat="1" applyFont="1" applyBorder="1" applyAlignment="1">
      <alignment horizontal="center"/>
      <protection/>
    </xf>
    <xf numFmtId="0" fontId="10" fillId="0" borderId="0" xfId="64" applyFont="1" applyBorder="1" applyAlignment="1">
      <alignment horizontal="center"/>
      <protection/>
    </xf>
    <xf numFmtId="0" fontId="27" fillId="0" borderId="0" xfId="64" applyNumberFormat="1" applyFont="1" applyBorder="1" applyAlignment="1">
      <alignment horizontal="left"/>
      <protection/>
    </xf>
    <xf numFmtId="0" fontId="28" fillId="0" borderId="0" xfId="64" applyFont="1">
      <alignment/>
      <protection/>
    </xf>
    <xf numFmtId="0" fontId="21" fillId="0" borderId="18" xfId="64" applyFont="1" applyBorder="1">
      <alignment/>
      <protection/>
    </xf>
    <xf numFmtId="0" fontId="21" fillId="0" borderId="19" xfId="64" applyNumberFormat="1" applyFont="1" applyBorder="1">
      <alignment/>
      <protection/>
    </xf>
    <xf numFmtId="0" fontId="21" fillId="0" borderId="19" xfId="64" applyFont="1" applyBorder="1">
      <alignment/>
      <protection/>
    </xf>
    <xf numFmtId="0" fontId="21" fillId="0" borderId="20" xfId="64" applyFont="1" applyBorder="1">
      <alignment/>
      <protection/>
    </xf>
    <xf numFmtId="0" fontId="21" fillId="0" borderId="0" xfId="64" applyFont="1" applyFill="1" applyBorder="1">
      <alignment/>
      <protection/>
    </xf>
    <xf numFmtId="4" fontId="21" fillId="0" borderId="0" xfId="64" applyNumberFormat="1" applyFont="1" applyFill="1" applyBorder="1">
      <alignment/>
      <protection/>
    </xf>
    <xf numFmtId="7" fontId="21" fillId="0" borderId="0" xfId="64" applyNumberFormat="1" applyFont="1" applyBorder="1">
      <alignment/>
      <protection/>
    </xf>
    <xf numFmtId="168" fontId="21" fillId="0" borderId="0" xfId="64" applyNumberFormat="1" applyFont="1" applyBorder="1" applyAlignment="1">
      <alignment horizontal="center"/>
      <protection/>
    </xf>
    <xf numFmtId="0" fontId="13" fillId="0" borderId="0" xfId="64" applyFont="1" applyFill="1" applyBorder="1">
      <alignment/>
      <protection/>
    </xf>
    <xf numFmtId="4" fontId="13" fillId="0" borderId="0" xfId="64" applyNumberFormat="1" applyFont="1" applyFill="1" applyBorder="1">
      <alignment/>
      <protection/>
    </xf>
    <xf numFmtId="0" fontId="13" fillId="0" borderId="0" xfId="64" applyFont="1" applyBorder="1" applyAlignment="1">
      <alignment horizontal="center"/>
      <protection/>
    </xf>
    <xf numFmtId="4" fontId="13" fillId="0" borderId="0" xfId="64" applyNumberFormat="1" applyFont="1" applyBorder="1">
      <alignment/>
      <protection/>
    </xf>
    <xf numFmtId="4" fontId="5" fillId="0" borderId="0" xfId="64" applyNumberFormat="1" applyFont="1" applyBorder="1" applyAlignment="1">
      <alignment horizontal="center"/>
      <protection/>
    </xf>
    <xf numFmtId="0" fontId="8" fillId="0" borderId="0" xfId="64" applyFont="1" applyFill="1">
      <alignment/>
      <protection/>
    </xf>
    <xf numFmtId="0" fontId="13" fillId="0" borderId="0" xfId="64" applyFont="1" applyFill="1">
      <alignment/>
      <protection/>
    </xf>
    <xf numFmtId="0" fontId="14" fillId="0" borderId="0" xfId="64" applyFont="1" applyAlignment="1">
      <alignment horizontal="centerContinuous"/>
      <protection/>
    </xf>
    <xf numFmtId="0" fontId="13" fillId="0" borderId="11" xfId="64" applyFont="1" applyBorder="1">
      <alignment/>
      <protection/>
    </xf>
    <xf numFmtId="0" fontId="13" fillId="0" borderId="12" xfId="64" applyFont="1" applyBorder="1">
      <alignment/>
      <protection/>
    </xf>
    <xf numFmtId="0" fontId="13" fillId="0" borderId="12" xfId="64" applyFont="1" applyBorder="1" applyAlignment="1" applyProtection="1">
      <alignment horizontal="left"/>
      <protection/>
    </xf>
    <xf numFmtId="0" fontId="13" fillId="0" borderId="13" xfId="64" applyFont="1" applyFill="1" applyBorder="1">
      <alignment/>
      <protection/>
    </xf>
    <xf numFmtId="0" fontId="16" fillId="0" borderId="14" xfId="64" applyFont="1" applyBorder="1">
      <alignment/>
      <protection/>
    </xf>
    <xf numFmtId="0" fontId="20" fillId="0" borderId="0" xfId="64" applyFont="1" applyBorder="1" applyAlignment="1">
      <alignment horizontal="left"/>
      <protection/>
    </xf>
    <xf numFmtId="0" fontId="20" fillId="0" borderId="0" xfId="64" applyFont="1" applyBorder="1">
      <alignment/>
      <protection/>
    </xf>
    <xf numFmtId="0" fontId="16" fillId="0" borderId="15" xfId="64" applyFont="1" applyFill="1" applyBorder="1">
      <alignment/>
      <protection/>
    </xf>
    <xf numFmtId="0" fontId="13" fillId="0" borderId="15" xfId="64" applyFont="1" applyFill="1" applyBorder="1">
      <alignment/>
      <protection/>
    </xf>
    <xf numFmtId="0" fontId="13" fillId="0" borderId="0" xfId="64" applyFont="1" applyBorder="1" applyProtection="1">
      <alignment/>
      <protection/>
    </xf>
    <xf numFmtId="0" fontId="24" fillId="0" borderId="0" xfId="64" applyFont="1" applyAlignment="1">
      <alignment horizontal="centerContinuous"/>
      <protection/>
    </xf>
    <xf numFmtId="0" fontId="24" fillId="0" borderId="15" xfId="64" applyFont="1" applyFill="1" applyBorder="1" applyAlignment="1">
      <alignment horizontal="centerContinuous"/>
      <protection/>
    </xf>
    <xf numFmtId="0" fontId="25" fillId="0" borderId="0" xfId="64" applyFont="1" applyBorder="1" applyAlignment="1">
      <alignment horizontal="left"/>
      <protection/>
    </xf>
    <xf numFmtId="0" fontId="3" fillId="0" borderId="16" xfId="64" applyFont="1" applyBorder="1" applyAlignment="1" applyProtection="1">
      <alignment horizontal="center"/>
      <protection/>
    </xf>
    <xf numFmtId="174" fontId="0" fillId="0" borderId="16" xfId="64" applyNumberFormat="1" applyFont="1" applyBorder="1" applyAlignment="1">
      <alignment horizontal="centerContinuous"/>
      <protection/>
    </xf>
    <xf numFmtId="0" fontId="3" fillId="0" borderId="17" xfId="64" applyBorder="1" applyAlignment="1">
      <alignment horizontal="centerContinuous"/>
      <protection/>
    </xf>
    <xf numFmtId="0" fontId="3" fillId="0" borderId="0" xfId="64" applyFont="1" applyBorder="1" applyAlignment="1" applyProtection="1">
      <alignment horizontal="center"/>
      <protection/>
    </xf>
    <xf numFmtId="174" fontId="3" fillId="0" borderId="0" xfId="64" applyNumberFormat="1" applyFont="1" applyBorder="1" applyAlignment="1">
      <alignment horizontal="centerContinuous"/>
      <protection/>
    </xf>
    <xf numFmtId="22" fontId="13" fillId="0" borderId="0" xfId="64" applyNumberFormat="1" applyFont="1" applyBorder="1">
      <alignment/>
      <protection/>
    </xf>
    <xf numFmtId="0" fontId="29" fillId="0" borderId="0" xfId="64" applyFont="1" applyBorder="1">
      <alignment/>
      <protection/>
    </xf>
    <xf numFmtId="0" fontId="30" fillId="0" borderId="21" xfId="64" applyFont="1" applyBorder="1" applyAlignment="1">
      <alignment horizontal="center" vertical="center"/>
      <protection/>
    </xf>
    <xf numFmtId="0" fontId="30" fillId="0" borderId="21" xfId="64" applyFont="1" applyBorder="1" applyAlignment="1" applyProtection="1">
      <alignment horizontal="center" vertical="center"/>
      <protection/>
    </xf>
    <xf numFmtId="164" fontId="30" fillId="0" borderId="21" xfId="64" applyNumberFormat="1" applyFont="1" applyBorder="1" applyAlignment="1" applyProtection="1">
      <alignment horizontal="center" vertical="center" wrapText="1"/>
      <protection/>
    </xf>
    <xf numFmtId="0" fontId="30" fillId="0" borderId="21" xfId="64" applyFont="1" applyBorder="1" applyAlignment="1" applyProtection="1">
      <alignment horizontal="center" vertical="center" wrapText="1"/>
      <protection/>
    </xf>
    <xf numFmtId="168" fontId="30" fillId="0" borderId="21" xfId="64" applyNumberFormat="1" applyFont="1" applyBorder="1" applyAlignment="1" applyProtection="1">
      <alignment horizontal="center" vertical="center"/>
      <protection/>
    </xf>
    <xf numFmtId="168" fontId="31" fillId="24" borderId="21" xfId="64" applyNumberFormat="1" applyFont="1" applyFill="1" applyBorder="1" applyAlignment="1" applyProtection="1">
      <alignment horizontal="center" vertical="center"/>
      <protection/>
    </xf>
    <xf numFmtId="0" fontId="32" fillId="25" borderId="21" xfId="64" applyFont="1" applyFill="1" applyBorder="1" applyAlignment="1" applyProtection="1">
      <alignment horizontal="center" vertical="center"/>
      <protection/>
    </xf>
    <xf numFmtId="0" fontId="30" fillId="0" borderId="16" xfId="64" applyFont="1" applyBorder="1" applyAlignment="1" applyProtection="1">
      <alignment horizontal="center" vertical="center"/>
      <protection/>
    </xf>
    <xf numFmtId="0" fontId="30" fillId="0" borderId="16" xfId="64" applyFont="1" applyBorder="1" applyAlignment="1" applyProtection="1">
      <alignment horizontal="center" vertical="center" wrapText="1"/>
      <protection/>
    </xf>
    <xf numFmtId="0" fontId="34" fillId="26" borderId="21" xfId="64" applyFont="1" applyFill="1" applyBorder="1" applyAlignment="1">
      <alignment horizontal="center" vertical="center" wrapText="1"/>
      <protection/>
    </xf>
    <xf numFmtId="0" fontId="35" fillId="23" borderId="21" xfId="64" applyFont="1" applyFill="1" applyBorder="1" applyAlignment="1">
      <alignment horizontal="center" vertical="center" wrapText="1"/>
      <protection/>
    </xf>
    <xf numFmtId="0" fontId="36" fillId="16" borderId="16" xfId="64" applyFont="1" applyFill="1" applyBorder="1" applyAlignment="1" applyProtection="1">
      <alignment horizontal="centerContinuous" vertical="center" wrapText="1"/>
      <protection/>
    </xf>
    <xf numFmtId="0" fontId="7" fillId="16" borderId="22" xfId="64" applyFont="1" applyFill="1" applyBorder="1" applyAlignment="1">
      <alignment horizontal="centerContinuous"/>
      <protection/>
    </xf>
    <xf numFmtId="0" fontId="36" fillId="16" borderId="17" xfId="64" applyFont="1" applyFill="1" applyBorder="1" applyAlignment="1">
      <alignment horizontal="centerContinuous" vertical="center"/>
      <protection/>
    </xf>
    <xf numFmtId="0" fontId="37" fillId="2" borderId="16" xfId="64" applyFont="1" applyFill="1" applyBorder="1" applyAlignment="1">
      <alignment horizontal="centerContinuous" vertical="center" wrapText="1"/>
      <protection/>
    </xf>
    <xf numFmtId="0" fontId="38" fillId="2" borderId="22" xfId="64" applyFont="1" applyFill="1" applyBorder="1" applyAlignment="1">
      <alignment horizontal="centerContinuous"/>
      <protection/>
    </xf>
    <xf numFmtId="0" fontId="37" fillId="2" borderId="17" xfId="64" applyFont="1" applyFill="1" applyBorder="1" applyAlignment="1">
      <alignment horizontal="centerContinuous" vertical="center"/>
      <protection/>
    </xf>
    <xf numFmtId="0" fontId="39" fillId="3" borderId="21" xfId="64" applyFont="1" applyFill="1" applyBorder="1" applyAlignment="1">
      <alignment horizontal="center" vertical="center" wrapText="1"/>
      <protection/>
    </xf>
    <xf numFmtId="0" fontId="40" fillId="27" borderId="21" xfId="64" applyFont="1" applyFill="1" applyBorder="1" applyAlignment="1">
      <alignment horizontal="center" vertical="center" wrapText="1"/>
      <protection/>
    </xf>
    <xf numFmtId="0" fontId="30" fillId="0" borderId="21" xfId="64" applyFont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/>
      <protection/>
    </xf>
    <xf numFmtId="0" fontId="13" fillId="0" borderId="23" xfId="64" applyFont="1" applyBorder="1">
      <alignment/>
      <protection/>
    </xf>
    <xf numFmtId="0" fontId="13" fillId="0" borderId="23" xfId="64" applyFont="1" applyFill="1" applyBorder="1" applyAlignment="1">
      <alignment horizontal="center"/>
      <protection/>
    </xf>
    <xf numFmtId="170" fontId="13" fillId="0" borderId="23" xfId="64" applyNumberFormat="1" applyFont="1" applyFill="1" applyBorder="1">
      <alignment/>
      <protection/>
    </xf>
    <xf numFmtId="0" fontId="13" fillId="0" borderId="23" xfId="64" applyFont="1" applyFill="1" applyBorder="1">
      <alignment/>
      <protection/>
    </xf>
    <xf numFmtId="0" fontId="41" fillId="0" borderId="23" xfId="64" applyFont="1" applyFill="1" applyBorder="1">
      <alignment/>
      <protection/>
    </xf>
    <xf numFmtId="0" fontId="42" fillId="0" borderId="23" xfId="64" applyFont="1" applyFill="1" applyBorder="1">
      <alignment/>
      <protection/>
    </xf>
    <xf numFmtId="22" fontId="13" fillId="0" borderId="23" xfId="64" applyNumberFormat="1" applyFont="1" applyFill="1" applyBorder="1">
      <alignment/>
      <protection/>
    </xf>
    <xf numFmtId="0" fontId="43" fillId="0" borderId="23" xfId="64" applyFont="1" applyFill="1" applyBorder="1">
      <alignment/>
      <protection/>
    </xf>
    <xf numFmtId="0" fontId="44" fillId="0" borderId="23" xfId="64" applyFont="1" applyFill="1" applyBorder="1">
      <alignment/>
      <protection/>
    </xf>
    <xf numFmtId="0" fontId="13" fillId="0" borderId="24" xfId="64" applyFont="1" applyFill="1" applyBorder="1">
      <alignment/>
      <protection/>
    </xf>
    <xf numFmtId="0" fontId="13" fillId="0" borderId="25" xfId="64" applyFont="1" applyFill="1" applyBorder="1">
      <alignment/>
      <protection/>
    </xf>
    <xf numFmtId="0" fontId="13" fillId="0" borderId="26" xfId="64" applyFont="1" applyFill="1" applyBorder="1">
      <alignment/>
      <protection/>
    </xf>
    <xf numFmtId="0" fontId="45" fillId="0" borderId="24" xfId="64" applyFont="1" applyFill="1" applyBorder="1">
      <alignment/>
      <protection/>
    </xf>
    <xf numFmtId="0" fontId="45" fillId="0" borderId="25" xfId="64" applyFont="1" applyFill="1" applyBorder="1">
      <alignment/>
      <protection/>
    </xf>
    <xf numFmtId="0" fontId="45" fillId="0" borderId="26" xfId="64" applyFont="1" applyFill="1" applyBorder="1">
      <alignment/>
      <protection/>
    </xf>
    <xf numFmtId="0" fontId="46" fillId="0" borderId="23" xfId="64" applyFont="1" applyFill="1" applyBorder="1">
      <alignment/>
      <protection/>
    </xf>
    <xf numFmtId="0" fontId="47" fillId="0" borderId="23" xfId="64" applyFont="1" applyFill="1" applyBorder="1">
      <alignment/>
      <protection/>
    </xf>
    <xf numFmtId="7" fontId="48" fillId="0" borderId="23" xfId="64" applyNumberFormat="1" applyFont="1" applyBorder="1" applyAlignment="1">
      <alignment/>
      <protection/>
    </xf>
    <xf numFmtId="0" fontId="13" fillId="0" borderId="27" xfId="64" applyFont="1" applyFill="1" applyBorder="1" applyAlignment="1">
      <alignment horizontal="center"/>
      <protection/>
    </xf>
    <xf numFmtId="0" fontId="13" fillId="0" borderId="28" xfId="64" applyFont="1" applyBorder="1">
      <alignment/>
      <protection/>
    </xf>
    <xf numFmtId="0" fontId="13" fillId="0" borderId="28" xfId="64" applyFont="1" applyBorder="1" applyAlignment="1">
      <alignment horizontal="center"/>
      <protection/>
    </xf>
    <xf numFmtId="170" fontId="13" fillId="0" borderId="28" xfId="64" applyNumberFormat="1" applyFont="1" applyBorder="1">
      <alignment/>
      <protection/>
    </xf>
    <xf numFmtId="0" fontId="41" fillId="24" borderId="28" xfId="64" applyFont="1" applyFill="1" applyBorder="1">
      <alignment/>
      <protection/>
    </xf>
    <xf numFmtId="0" fontId="42" fillId="25" borderId="28" xfId="64" applyFont="1" applyFill="1" applyBorder="1">
      <alignment/>
      <protection/>
    </xf>
    <xf numFmtId="22" fontId="13" fillId="0" borderId="29" xfId="64" applyNumberFormat="1" applyFont="1" applyBorder="1" applyAlignment="1">
      <alignment horizontal="center"/>
      <protection/>
    </xf>
    <xf numFmtId="0" fontId="13" fillId="0" borderId="29" xfId="64" applyFont="1" applyBorder="1">
      <alignment/>
      <protection/>
    </xf>
    <xf numFmtId="0" fontId="43" fillId="26" borderId="28" xfId="64" applyFont="1" applyFill="1" applyBorder="1">
      <alignment/>
      <protection/>
    </xf>
    <xf numFmtId="0" fontId="44" fillId="23" borderId="29" xfId="64" applyFont="1" applyFill="1" applyBorder="1">
      <alignment/>
      <protection/>
    </xf>
    <xf numFmtId="168" fontId="49" fillId="16" borderId="30" xfId="64" applyNumberFormat="1" applyFont="1" applyFill="1" applyBorder="1" applyAlignment="1" applyProtection="1" quotePrefix="1">
      <alignment horizontal="center"/>
      <protection/>
    </xf>
    <xf numFmtId="168" fontId="49" fillId="16" borderId="31" xfId="64" applyNumberFormat="1" applyFont="1" applyFill="1" applyBorder="1" applyAlignment="1" applyProtection="1" quotePrefix="1">
      <alignment horizontal="center"/>
      <protection/>
    </xf>
    <xf numFmtId="4" fontId="49" fillId="16" borderId="29" xfId="64" applyNumberFormat="1" applyFont="1" applyFill="1" applyBorder="1" applyAlignment="1" applyProtection="1">
      <alignment horizontal="center"/>
      <protection/>
    </xf>
    <xf numFmtId="168" fontId="45" fillId="2" borderId="30" xfId="64" applyNumberFormat="1" applyFont="1" applyFill="1" applyBorder="1" applyAlignment="1" applyProtection="1" quotePrefix="1">
      <alignment horizontal="center"/>
      <protection/>
    </xf>
    <xf numFmtId="168" fontId="45" fillId="2" borderId="31" xfId="64" applyNumberFormat="1" applyFont="1" applyFill="1" applyBorder="1" applyAlignment="1" applyProtection="1" quotePrefix="1">
      <alignment horizontal="center"/>
      <protection/>
    </xf>
    <xf numFmtId="4" fontId="45" fillId="2" borderId="29" xfId="64" applyNumberFormat="1" applyFont="1" applyFill="1" applyBorder="1" applyAlignment="1" applyProtection="1">
      <alignment horizontal="center"/>
      <protection/>
    </xf>
    <xf numFmtId="4" fontId="46" fillId="3" borderId="28" xfId="64" applyNumberFormat="1" applyFont="1" applyFill="1" applyBorder="1" applyAlignment="1" applyProtection="1">
      <alignment horizontal="center"/>
      <protection/>
    </xf>
    <xf numFmtId="4" fontId="47" fillId="27" borderId="28" xfId="64" applyNumberFormat="1" applyFont="1" applyFill="1" applyBorder="1" applyAlignment="1" applyProtection="1">
      <alignment horizontal="center"/>
      <protection/>
    </xf>
    <xf numFmtId="0" fontId="48" fillId="0" borderId="29" xfId="64" applyFont="1" applyBorder="1">
      <alignment/>
      <protection/>
    </xf>
    <xf numFmtId="0" fontId="13" fillId="0" borderId="28" xfId="64" applyFont="1" applyFill="1" applyBorder="1" applyAlignment="1" applyProtection="1">
      <alignment horizontal="center"/>
      <protection locked="0"/>
    </xf>
    <xf numFmtId="164" fontId="13" fillId="0" borderId="28" xfId="64" applyNumberFormat="1" applyFont="1" applyFill="1" applyBorder="1" applyAlignment="1" applyProtection="1">
      <alignment horizontal="center"/>
      <protection locked="0"/>
    </xf>
    <xf numFmtId="170" fontId="13" fillId="0" borderId="28" xfId="64" applyNumberFormat="1" applyFont="1" applyFill="1" applyBorder="1" applyAlignment="1" applyProtection="1">
      <alignment horizontal="center"/>
      <protection locked="0"/>
    </xf>
    <xf numFmtId="0" fontId="41" fillId="24" borderId="28" xfId="64" applyFont="1" applyFill="1" applyBorder="1" applyAlignment="1" applyProtection="1">
      <alignment horizontal="center"/>
      <protection/>
    </xf>
    <xf numFmtId="174" fontId="42" fillId="25" borderId="28" xfId="64" applyNumberFormat="1" applyFont="1" applyFill="1" applyBorder="1" applyAlignment="1" applyProtection="1">
      <alignment horizontal="center"/>
      <protection/>
    </xf>
    <xf numFmtId="22" fontId="13" fillId="0" borderId="29" xfId="64" applyNumberFormat="1" applyFont="1" applyFill="1" applyBorder="1" applyAlignment="1" applyProtection="1">
      <alignment horizontal="center"/>
      <protection locked="0"/>
    </xf>
    <xf numFmtId="22" fontId="13" fillId="0" borderId="32" xfId="64" applyNumberFormat="1" applyFont="1" applyFill="1" applyBorder="1" applyAlignment="1" applyProtection="1">
      <alignment horizontal="center"/>
      <protection locked="0"/>
    </xf>
    <xf numFmtId="4" fontId="13" fillId="28" borderId="28" xfId="64" applyNumberFormat="1" applyFont="1" applyFill="1" applyBorder="1" applyAlignment="1" applyProtection="1" quotePrefix="1">
      <alignment horizontal="center"/>
      <protection/>
    </xf>
    <xf numFmtId="164" fontId="13" fillId="28" borderId="28" xfId="64" applyNumberFormat="1" applyFont="1" applyFill="1" applyBorder="1" applyAlignment="1" applyProtection="1" quotePrefix="1">
      <alignment horizontal="center"/>
      <protection/>
    </xf>
    <xf numFmtId="168" fontId="13" fillId="0" borderId="29" xfId="64" applyNumberFormat="1" applyFont="1" applyBorder="1" applyAlignment="1" applyProtection="1">
      <alignment horizontal="center"/>
      <protection locked="0"/>
    </xf>
    <xf numFmtId="173" fontId="13" fillId="0" borderId="28" xfId="64" applyNumberFormat="1" applyFont="1" applyBorder="1" applyAlignment="1" applyProtection="1" quotePrefix="1">
      <alignment horizontal="center"/>
      <protection/>
    </xf>
    <xf numFmtId="168" fontId="13" fillId="0" borderId="28" xfId="64" applyNumberFormat="1" applyFont="1" applyBorder="1" applyAlignment="1" applyProtection="1">
      <alignment horizontal="center"/>
      <protection/>
    </xf>
    <xf numFmtId="2" fontId="50" fillId="26" borderId="28" xfId="64" applyNumberFormat="1" applyFont="1" applyFill="1" applyBorder="1" applyAlignment="1" applyProtection="1">
      <alignment horizontal="center"/>
      <protection locked="0"/>
    </xf>
    <xf numFmtId="2" fontId="51" fillId="23" borderId="29" xfId="64" applyNumberFormat="1" applyFont="1" applyFill="1" applyBorder="1" applyAlignment="1" applyProtection="1">
      <alignment horizontal="center"/>
      <protection locked="0"/>
    </xf>
    <xf numFmtId="168" fontId="52" fillId="16" borderId="30" xfId="64" applyNumberFormat="1" applyFont="1" applyFill="1" applyBorder="1" applyAlignment="1" applyProtection="1" quotePrefix="1">
      <alignment horizontal="center"/>
      <protection locked="0"/>
    </xf>
    <xf numFmtId="168" fontId="52" fillId="16" borderId="31" xfId="64" applyNumberFormat="1" applyFont="1" applyFill="1" applyBorder="1" applyAlignment="1" applyProtection="1" quotePrefix="1">
      <alignment horizontal="center"/>
      <protection locked="0"/>
    </xf>
    <xf numFmtId="4" fontId="52" fillId="16" borderId="29" xfId="64" applyNumberFormat="1" applyFont="1" applyFill="1" applyBorder="1" applyAlignment="1" applyProtection="1">
      <alignment horizontal="center"/>
      <protection locked="0"/>
    </xf>
    <xf numFmtId="168" fontId="53" fillId="2" borderId="30" xfId="64" applyNumberFormat="1" applyFont="1" applyFill="1" applyBorder="1" applyAlignment="1" applyProtection="1" quotePrefix="1">
      <alignment horizontal="center"/>
      <protection locked="0"/>
    </xf>
    <xf numFmtId="168" fontId="53" fillId="2" borderId="31" xfId="64" applyNumberFormat="1" applyFont="1" applyFill="1" applyBorder="1" applyAlignment="1" applyProtection="1" quotePrefix="1">
      <alignment horizontal="center"/>
      <protection locked="0"/>
    </xf>
    <xf numFmtId="4" fontId="53" fillId="2" borderId="29" xfId="64" applyNumberFormat="1" applyFont="1" applyFill="1" applyBorder="1" applyAlignment="1" applyProtection="1">
      <alignment horizontal="center"/>
      <protection locked="0"/>
    </xf>
    <xf numFmtId="4" fontId="54" fillId="3" borderId="28" xfId="64" applyNumberFormat="1" applyFont="1" applyFill="1" applyBorder="1" applyAlignment="1" applyProtection="1">
      <alignment horizontal="center"/>
      <protection locked="0"/>
    </xf>
    <xf numFmtId="4" fontId="55" fillId="27" borderId="28" xfId="64" applyNumberFormat="1" applyFont="1" applyFill="1" applyBorder="1" applyAlignment="1" applyProtection="1">
      <alignment horizontal="center"/>
      <protection locked="0"/>
    </xf>
    <xf numFmtId="4" fontId="49" fillId="0" borderId="28" xfId="64" applyNumberFormat="1" applyFont="1" applyBorder="1" applyAlignment="1" applyProtection="1">
      <alignment horizontal="center"/>
      <protection/>
    </xf>
    <xf numFmtId="4" fontId="48" fillId="0" borderId="29" xfId="64" applyNumberFormat="1" applyFont="1" applyFill="1" applyBorder="1" applyAlignment="1">
      <alignment horizontal="right"/>
      <protection/>
    </xf>
    <xf numFmtId="2" fontId="13" fillId="0" borderId="15" xfId="64" applyNumberFormat="1" applyFont="1" applyFill="1" applyBorder="1" applyAlignment="1">
      <alignment horizontal="center"/>
      <protection/>
    </xf>
    <xf numFmtId="0" fontId="13" fillId="0" borderId="28" xfId="63" applyFont="1" applyFill="1" applyBorder="1" applyAlignment="1" applyProtection="1">
      <alignment horizontal="center"/>
      <protection locked="0"/>
    </xf>
    <xf numFmtId="164" fontId="13" fillId="0" borderId="28" xfId="63" applyNumberFormat="1" applyFont="1" applyFill="1" applyBorder="1" applyAlignment="1" applyProtection="1">
      <alignment horizontal="center"/>
      <protection locked="0"/>
    </xf>
    <xf numFmtId="170" fontId="13" fillId="0" borderId="28" xfId="63" applyNumberFormat="1" applyFont="1" applyFill="1" applyBorder="1" applyAlignment="1" applyProtection="1">
      <alignment horizontal="center"/>
      <protection locked="0"/>
    </xf>
    <xf numFmtId="22" fontId="13" fillId="0" borderId="29" xfId="63" applyNumberFormat="1" applyFont="1" applyFill="1" applyBorder="1" applyAlignment="1" applyProtection="1">
      <alignment horizontal="center"/>
      <protection locked="0"/>
    </xf>
    <xf numFmtId="22" fontId="13" fillId="0" borderId="33" xfId="63" applyNumberFormat="1" applyFont="1" applyFill="1" applyBorder="1" applyAlignment="1" applyProtection="1">
      <alignment horizontal="center"/>
      <protection locked="0"/>
    </xf>
    <xf numFmtId="0" fontId="13" fillId="0" borderId="28" xfId="64" applyFont="1" applyBorder="1" applyAlignment="1" applyProtection="1">
      <alignment horizontal="center"/>
      <protection locked="0"/>
    </xf>
    <xf numFmtId="164" fontId="13" fillId="0" borderId="28" xfId="64" applyNumberFormat="1" applyFont="1" applyBorder="1" applyAlignment="1" applyProtection="1">
      <alignment horizontal="center"/>
      <protection locked="0"/>
    </xf>
    <xf numFmtId="170" fontId="13" fillId="0" borderId="28" xfId="64" applyNumberFormat="1" applyFont="1" applyBorder="1" applyAlignment="1" applyProtection="1">
      <alignment horizontal="center"/>
      <protection locked="0"/>
    </xf>
    <xf numFmtId="22" fontId="13" fillId="0" borderId="29" xfId="64" applyNumberFormat="1" applyFont="1" applyBorder="1" applyAlignment="1" applyProtection="1">
      <alignment horizontal="center"/>
      <protection locked="0"/>
    </xf>
    <xf numFmtId="22" fontId="13" fillId="0" borderId="32" xfId="64" applyNumberFormat="1" applyFont="1" applyBorder="1" applyAlignment="1" applyProtection="1">
      <alignment horizontal="center"/>
      <protection locked="0"/>
    </xf>
    <xf numFmtId="22" fontId="13" fillId="0" borderId="33" xfId="64" applyNumberFormat="1" applyFont="1" applyBorder="1" applyAlignment="1" applyProtection="1">
      <alignment horizontal="center"/>
      <protection locked="0"/>
    </xf>
    <xf numFmtId="0" fontId="13" fillId="0" borderId="34" xfId="64" applyFont="1" applyFill="1" applyBorder="1" applyAlignment="1" applyProtection="1">
      <alignment horizontal="center"/>
      <protection locked="0"/>
    </xf>
    <xf numFmtId="0" fontId="13" fillId="0" borderId="35" xfId="64" applyFont="1" applyFill="1" applyBorder="1" applyAlignment="1" applyProtection="1">
      <alignment horizontal="center"/>
      <protection locked="0"/>
    </xf>
    <xf numFmtId="0" fontId="13" fillId="0" borderId="36" xfId="64" applyFont="1" applyBorder="1" applyAlignment="1" applyProtection="1">
      <alignment horizontal="center"/>
      <protection locked="0"/>
    </xf>
    <xf numFmtId="164" fontId="49" fillId="0" borderId="36" xfId="64" applyNumberFormat="1" applyFont="1" applyBorder="1" applyAlignment="1" applyProtection="1">
      <alignment horizontal="center"/>
      <protection locked="0"/>
    </xf>
    <xf numFmtId="170" fontId="13" fillId="0" borderId="36" xfId="64" applyNumberFormat="1" applyFont="1" applyBorder="1" applyAlignment="1" applyProtection="1">
      <alignment horizontal="center"/>
      <protection locked="0"/>
    </xf>
    <xf numFmtId="165" fontId="13" fillId="0" borderId="36" xfId="64" applyNumberFormat="1" applyFont="1" applyBorder="1" applyAlignment="1" applyProtection="1">
      <alignment horizontal="center"/>
      <protection locked="0"/>
    </xf>
    <xf numFmtId="0" fontId="41" fillId="24" borderId="36" xfId="64" applyFont="1" applyFill="1" applyBorder="1" applyAlignment="1" applyProtection="1">
      <alignment horizontal="center"/>
      <protection/>
    </xf>
    <xf numFmtId="174" fontId="42" fillId="25" borderId="36" xfId="64" applyNumberFormat="1" applyFont="1" applyFill="1" applyBorder="1" applyAlignment="1" applyProtection="1">
      <alignment horizontal="center"/>
      <protection/>
    </xf>
    <xf numFmtId="22" fontId="13" fillId="0" borderId="36" xfId="64" applyNumberFormat="1" applyFont="1" applyBorder="1" applyAlignment="1" applyProtection="1">
      <alignment horizontal="center"/>
      <protection locked="0"/>
    </xf>
    <xf numFmtId="168" fontId="13" fillId="0" borderId="36" xfId="64" applyNumberFormat="1" applyFont="1" applyBorder="1" applyAlignment="1" applyProtection="1">
      <alignment horizontal="center"/>
      <protection/>
    </xf>
    <xf numFmtId="168" fontId="13" fillId="0" borderId="36" xfId="64" applyNumberFormat="1" applyFont="1" applyBorder="1" applyAlignment="1" applyProtection="1">
      <alignment horizontal="center"/>
      <protection locked="0"/>
    </xf>
    <xf numFmtId="173" fontId="13" fillId="0" borderId="36" xfId="64" applyNumberFormat="1" applyFont="1" applyBorder="1" applyAlignment="1" applyProtection="1" quotePrefix="1">
      <alignment horizontal="center"/>
      <protection locked="0"/>
    </xf>
    <xf numFmtId="2" fontId="43" fillId="26" borderId="36" xfId="64" applyNumberFormat="1" applyFont="1" applyFill="1" applyBorder="1" applyAlignment="1" applyProtection="1">
      <alignment horizontal="center"/>
      <protection locked="0"/>
    </xf>
    <xf numFmtId="2" fontId="51" fillId="23" borderId="36" xfId="64" applyNumberFormat="1" applyFont="1" applyFill="1" applyBorder="1" applyAlignment="1" applyProtection="1">
      <alignment horizontal="center"/>
      <protection locked="0"/>
    </xf>
    <xf numFmtId="168" fontId="52" fillId="16" borderId="37" xfId="64" applyNumberFormat="1" applyFont="1" applyFill="1" applyBorder="1" applyAlignment="1" applyProtection="1" quotePrefix="1">
      <alignment horizontal="center"/>
      <protection locked="0"/>
    </xf>
    <xf numFmtId="168" fontId="52" fillId="16" borderId="38" xfId="64" applyNumberFormat="1" applyFont="1" applyFill="1" applyBorder="1" applyAlignment="1" applyProtection="1" quotePrefix="1">
      <alignment horizontal="center"/>
      <protection locked="0"/>
    </xf>
    <xf numFmtId="4" fontId="52" fillId="16" borderId="39" xfId="64" applyNumberFormat="1" applyFont="1" applyFill="1" applyBorder="1" applyAlignment="1" applyProtection="1">
      <alignment horizontal="center"/>
      <protection locked="0"/>
    </xf>
    <xf numFmtId="168" fontId="53" fillId="2" borderId="37" xfId="64" applyNumberFormat="1" applyFont="1" applyFill="1" applyBorder="1" applyAlignment="1" applyProtection="1" quotePrefix="1">
      <alignment horizontal="center"/>
      <protection locked="0"/>
    </xf>
    <xf numFmtId="168" fontId="53" fillId="2" borderId="38" xfId="64" applyNumberFormat="1" applyFont="1" applyFill="1" applyBorder="1" applyAlignment="1" applyProtection="1" quotePrefix="1">
      <alignment horizontal="center"/>
      <protection locked="0"/>
    </xf>
    <xf numFmtId="4" fontId="53" fillId="2" borderId="39" xfId="64" applyNumberFormat="1" applyFont="1" applyFill="1" applyBorder="1" applyAlignment="1" applyProtection="1">
      <alignment horizontal="center"/>
      <protection locked="0"/>
    </xf>
    <xf numFmtId="4" fontId="54" fillId="3" borderId="36" xfId="64" applyNumberFormat="1" applyFont="1" applyFill="1" applyBorder="1" applyAlignment="1" applyProtection="1">
      <alignment horizontal="center"/>
      <protection locked="0"/>
    </xf>
    <xf numFmtId="4" fontId="55" fillId="27" borderId="36" xfId="64" applyNumberFormat="1" applyFont="1" applyFill="1" applyBorder="1" applyAlignment="1" applyProtection="1">
      <alignment horizontal="center"/>
      <protection locked="0"/>
    </xf>
    <xf numFmtId="4" fontId="49" fillId="0" borderId="36" xfId="64" applyNumberFormat="1" applyFont="1" applyBorder="1" applyAlignment="1" applyProtection="1">
      <alignment horizontal="center"/>
      <protection locked="0"/>
    </xf>
    <xf numFmtId="2" fontId="48" fillId="0" borderId="40" xfId="64" applyNumberFormat="1" applyFont="1" applyFill="1" applyBorder="1" applyAlignment="1">
      <alignment horizontal="right"/>
      <protection/>
    </xf>
    <xf numFmtId="0" fontId="57" fillId="0" borderId="41" xfId="64" applyFont="1" applyBorder="1" applyAlignment="1">
      <alignment horizontal="center"/>
      <protection/>
    </xf>
    <xf numFmtId="0" fontId="58" fillId="0" borderId="0" xfId="64" applyFont="1" applyBorder="1" applyAlignment="1" applyProtection="1">
      <alignment horizontal="left"/>
      <protection/>
    </xf>
    <xf numFmtId="164" fontId="49" fillId="0" borderId="0" xfId="64" applyNumberFormat="1" applyFont="1" applyBorder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center"/>
      <protection/>
    </xf>
    <xf numFmtId="165" fontId="13" fillId="0" borderId="0" xfId="64" applyNumberFormat="1" applyFont="1" applyBorder="1" applyAlignment="1" applyProtection="1">
      <alignment horizontal="center"/>
      <protection/>
    </xf>
    <xf numFmtId="168" fontId="13" fillId="0" borderId="0" xfId="64" applyNumberFormat="1" applyFont="1" applyBorder="1" applyAlignment="1" applyProtection="1">
      <alignment horizontal="center"/>
      <protection/>
    </xf>
    <xf numFmtId="173" fontId="13" fillId="0" borderId="0" xfId="64" applyNumberFormat="1" applyFont="1" applyBorder="1" applyAlignment="1" applyProtection="1" quotePrefix="1">
      <alignment horizontal="center"/>
      <protection/>
    </xf>
    <xf numFmtId="2" fontId="50" fillId="26" borderId="21" xfId="64" applyNumberFormat="1" applyFont="1" applyFill="1" applyBorder="1" applyAlignment="1" applyProtection="1">
      <alignment horizontal="center"/>
      <protection/>
    </xf>
    <xf numFmtId="2" fontId="51" fillId="23" borderId="21" xfId="64" applyNumberFormat="1" applyFont="1" applyFill="1" applyBorder="1" applyAlignment="1" applyProtection="1">
      <alignment horizontal="center"/>
      <protection/>
    </xf>
    <xf numFmtId="2" fontId="52" fillId="16" borderId="21" xfId="64" applyNumberFormat="1" applyFont="1" applyFill="1" applyBorder="1" applyAlignment="1" applyProtection="1">
      <alignment horizontal="center"/>
      <protection/>
    </xf>
    <xf numFmtId="2" fontId="53" fillId="2" borderId="21" xfId="64" applyNumberFormat="1" applyFont="1" applyFill="1" applyBorder="1" applyAlignment="1" applyProtection="1">
      <alignment horizontal="center"/>
      <protection/>
    </xf>
    <xf numFmtId="2" fontId="54" fillId="3" borderId="21" xfId="64" applyNumberFormat="1" applyFont="1" applyFill="1" applyBorder="1" applyAlignment="1" applyProtection="1">
      <alignment horizontal="center"/>
      <protection/>
    </xf>
    <xf numFmtId="2" fontId="55" fillId="27" borderId="21" xfId="64" applyNumberFormat="1" applyFont="1" applyFill="1" applyBorder="1" applyAlignment="1" applyProtection="1">
      <alignment horizontal="center"/>
      <protection/>
    </xf>
    <xf numFmtId="2" fontId="59" fillId="0" borderId="42" xfId="64" applyNumberFormat="1" applyFont="1" applyBorder="1" applyAlignment="1" applyProtection="1">
      <alignment horizontal="center"/>
      <protection/>
    </xf>
    <xf numFmtId="7" fontId="4" fillId="0" borderId="21" xfId="64" applyNumberFormat="1" applyFont="1" applyFill="1" applyBorder="1" applyAlignment="1" applyProtection="1">
      <alignment horizontal="right"/>
      <protection/>
    </xf>
    <xf numFmtId="0" fontId="13" fillId="0" borderId="18" xfId="64" applyFont="1" applyBorder="1">
      <alignment/>
      <protection/>
    </xf>
    <xf numFmtId="0" fontId="13" fillId="0" borderId="19" xfId="64" applyFont="1" applyBorder="1">
      <alignment/>
      <protection/>
    </xf>
    <xf numFmtId="0" fontId="13" fillId="0" borderId="20" xfId="64" applyFont="1" applyBorder="1">
      <alignment/>
      <protection/>
    </xf>
    <xf numFmtId="0" fontId="3" fillId="0" borderId="0" xfId="64" applyBorder="1">
      <alignment/>
      <protection/>
    </xf>
    <xf numFmtId="0" fontId="16" fillId="0" borderId="0" xfId="64" applyFont="1" applyAlignment="1">
      <alignment vertical="top"/>
      <protection/>
    </xf>
    <xf numFmtId="0" fontId="16" fillId="0" borderId="14" xfId="64" applyFont="1" applyBorder="1" applyAlignment="1">
      <alignment vertical="top"/>
      <protection/>
    </xf>
    <xf numFmtId="0" fontId="16" fillId="0" borderId="0" xfId="64" applyFont="1" applyBorder="1" applyAlignment="1">
      <alignment vertical="top"/>
      <protection/>
    </xf>
    <xf numFmtId="0" fontId="20" fillId="0" borderId="0" xfId="64" applyFont="1" applyBorder="1" applyAlignment="1">
      <alignment vertical="top"/>
      <protection/>
    </xf>
    <xf numFmtId="0" fontId="16" fillId="0" borderId="15" xfId="64" applyFont="1" applyFill="1" applyBorder="1" applyAlignment="1">
      <alignment vertical="top"/>
      <protection/>
    </xf>
    <xf numFmtId="0" fontId="13" fillId="0" borderId="0" xfId="64" applyFont="1" applyAlignment="1">
      <alignment vertical="top"/>
      <protection/>
    </xf>
    <xf numFmtId="0" fontId="13" fillId="0" borderId="14" xfId="64" applyFont="1" applyBorder="1" applyAlignment="1">
      <alignment vertical="top"/>
      <protection/>
    </xf>
    <xf numFmtId="0" fontId="13" fillId="0" borderId="0" xfId="64" applyFont="1" applyBorder="1" applyAlignment="1">
      <alignment vertical="top"/>
      <protection/>
    </xf>
    <xf numFmtId="0" fontId="13" fillId="0" borderId="0" xfId="64" applyFont="1" applyBorder="1" applyAlignment="1" applyProtection="1">
      <alignment vertical="top"/>
      <protection/>
    </xf>
    <xf numFmtId="0" fontId="13" fillId="0" borderId="15" xfId="64" applyFont="1" applyFill="1" applyBorder="1" applyAlignment="1">
      <alignment vertical="top"/>
      <protection/>
    </xf>
    <xf numFmtId="0" fontId="13" fillId="0" borderId="28" xfId="64" applyFont="1" applyFill="1" applyBorder="1" applyAlignment="1">
      <alignment horizontal="center"/>
      <protection/>
    </xf>
    <xf numFmtId="2" fontId="50" fillId="26" borderId="28" xfId="64" applyNumberFormat="1" applyFont="1" applyFill="1" applyBorder="1" applyAlignment="1" applyProtection="1">
      <alignment horizontal="center"/>
      <protection/>
    </xf>
    <xf numFmtId="2" fontId="51" fillId="23" borderId="29" xfId="64" applyNumberFormat="1" applyFont="1" applyFill="1" applyBorder="1" applyAlignment="1" applyProtection="1">
      <alignment horizontal="center"/>
      <protection/>
    </xf>
    <xf numFmtId="168" fontId="52" fillId="16" borderId="30" xfId="64" applyNumberFormat="1" applyFont="1" applyFill="1" applyBorder="1" applyAlignment="1" applyProtection="1" quotePrefix="1">
      <alignment horizontal="center"/>
      <protection/>
    </xf>
    <xf numFmtId="168" fontId="52" fillId="16" borderId="31" xfId="64" applyNumberFormat="1" applyFont="1" applyFill="1" applyBorder="1" applyAlignment="1" applyProtection="1" quotePrefix="1">
      <alignment horizontal="center"/>
      <protection/>
    </xf>
    <xf numFmtId="4" fontId="52" fillId="16" borderId="29" xfId="64" applyNumberFormat="1" applyFont="1" applyFill="1" applyBorder="1" applyAlignment="1" applyProtection="1">
      <alignment horizontal="center"/>
      <protection/>
    </xf>
    <xf numFmtId="168" fontId="53" fillId="2" borderId="30" xfId="64" applyNumberFormat="1" applyFont="1" applyFill="1" applyBorder="1" applyAlignment="1" applyProtection="1" quotePrefix="1">
      <alignment horizontal="center"/>
      <protection/>
    </xf>
    <xf numFmtId="168" fontId="53" fillId="2" borderId="31" xfId="64" applyNumberFormat="1" applyFont="1" applyFill="1" applyBorder="1" applyAlignment="1" applyProtection="1" quotePrefix="1">
      <alignment horizontal="center"/>
      <protection/>
    </xf>
    <xf numFmtId="4" fontId="53" fillId="2" borderId="29" xfId="64" applyNumberFormat="1" applyFont="1" applyFill="1" applyBorder="1" applyAlignment="1" applyProtection="1">
      <alignment horizontal="center"/>
      <protection/>
    </xf>
    <xf numFmtId="4" fontId="54" fillId="3" borderId="28" xfId="64" applyNumberFormat="1" applyFont="1" applyFill="1" applyBorder="1" applyAlignment="1" applyProtection="1">
      <alignment horizontal="center"/>
      <protection/>
    </xf>
    <xf numFmtId="4" fontId="55" fillId="27" borderId="28" xfId="64" applyNumberFormat="1" applyFont="1" applyFill="1" applyBorder="1" applyAlignment="1" applyProtection="1">
      <alignment horizontal="center"/>
      <protection/>
    </xf>
    <xf numFmtId="4" fontId="13" fillId="0" borderId="28" xfId="64" applyNumberFormat="1" applyFont="1" applyBorder="1" applyAlignment="1" applyProtection="1">
      <alignment horizontal="center"/>
      <protection/>
    </xf>
    <xf numFmtId="0" fontId="13" fillId="0" borderId="0" xfId="64" applyFont="1" applyBorder="1" applyAlignment="1">
      <alignment horizontal="left"/>
      <protection/>
    </xf>
    <xf numFmtId="0" fontId="30" fillId="0" borderId="21" xfId="59" applyFont="1" applyBorder="1" applyAlignment="1">
      <alignment horizontal="center" vertical="center"/>
      <protection/>
    </xf>
    <xf numFmtId="0" fontId="63" fillId="16" borderId="28" xfId="64" applyFont="1" applyFill="1" applyBorder="1" applyAlignment="1" applyProtection="1">
      <alignment horizontal="center"/>
      <protection/>
    </xf>
    <xf numFmtId="173" fontId="13" fillId="0" borderId="29" xfId="64" applyNumberFormat="1" applyFont="1" applyBorder="1" applyAlignment="1" applyProtection="1" quotePrefix="1">
      <alignment horizontal="center"/>
      <protection/>
    </xf>
    <xf numFmtId="0" fontId="3" fillId="0" borderId="41" xfId="64" applyFont="1" applyBorder="1" applyAlignment="1" applyProtection="1">
      <alignment horizontal="center"/>
      <protection/>
    </xf>
    <xf numFmtId="0" fontId="11" fillId="0" borderId="0" xfId="64" applyFont="1" applyFill="1" applyAlignment="1">
      <alignment horizontal="right" vertical="top"/>
      <protection/>
    </xf>
    <xf numFmtId="0" fontId="9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14" fillId="0" borderId="0" xfId="64" applyFont="1" applyFill="1" applyAlignment="1">
      <alignment horizontal="centerContinuous"/>
      <protection/>
    </xf>
    <xf numFmtId="0" fontId="14" fillId="0" borderId="0" xfId="64" applyFont="1" applyFill="1">
      <alignment/>
      <protection/>
    </xf>
    <xf numFmtId="0" fontId="13" fillId="0" borderId="11" xfId="64" applyFont="1" applyFill="1" applyBorder="1">
      <alignment/>
      <protection/>
    </xf>
    <xf numFmtId="0" fontId="13" fillId="0" borderId="12" xfId="64" applyFont="1" applyFill="1" applyBorder="1">
      <alignment/>
      <protection/>
    </xf>
    <xf numFmtId="0" fontId="16" fillId="0" borderId="0" xfId="64" applyFont="1" applyFill="1">
      <alignment/>
      <protection/>
    </xf>
    <xf numFmtId="0" fontId="16" fillId="0" borderId="14" xfId="64" applyFont="1" applyFill="1" applyBorder="1">
      <alignment/>
      <protection/>
    </xf>
    <xf numFmtId="0" fontId="16" fillId="0" borderId="0" xfId="64" applyFont="1" applyFill="1" applyBorder="1">
      <alignment/>
      <protection/>
    </xf>
    <xf numFmtId="0" fontId="20" fillId="0" borderId="0" xfId="64" applyFont="1" applyFill="1" applyBorder="1" applyAlignment="1">
      <alignment horizontal="left"/>
      <protection/>
    </xf>
    <xf numFmtId="0" fontId="16" fillId="0" borderId="0" xfId="64" applyFont="1" applyFill="1" applyBorder="1" applyAlignment="1" applyProtection="1">
      <alignment horizontal="left"/>
      <protection/>
    </xf>
    <xf numFmtId="0" fontId="13" fillId="0" borderId="14" xfId="64" applyFont="1" applyFill="1" applyBorder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16" fillId="0" borderId="0" xfId="64" applyFont="1" applyFill="1" applyAlignment="1">
      <alignment vertical="center"/>
      <protection/>
    </xf>
    <xf numFmtId="0" fontId="16" fillId="0" borderId="14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0" fontId="20" fillId="0" borderId="0" xfId="64" applyFont="1" applyFill="1" applyBorder="1" applyAlignment="1">
      <alignment horizontal="left" vertical="center"/>
      <protection/>
    </xf>
    <xf numFmtId="0" fontId="20" fillId="0" borderId="0" xfId="64" applyFont="1" applyFill="1" applyBorder="1" applyAlignment="1">
      <alignment vertical="center"/>
      <protection/>
    </xf>
    <xf numFmtId="0" fontId="16" fillId="0" borderId="15" xfId="64" applyFont="1" applyFill="1" applyBorder="1" applyAlignment="1">
      <alignment vertical="center"/>
      <protection/>
    </xf>
    <xf numFmtId="0" fontId="16" fillId="0" borderId="0" xfId="64" applyFont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14" xfId="64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0" xfId="64" applyFont="1" applyAlignment="1">
      <alignment vertical="center"/>
      <protection/>
    </xf>
    <xf numFmtId="0" fontId="13" fillId="0" borderId="15" xfId="64" applyFont="1" applyFill="1" applyBorder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13" fillId="0" borderId="0" xfId="64" applyFont="1" applyFill="1" applyBorder="1" applyAlignment="1">
      <alignment horizontal="center"/>
      <protection/>
    </xf>
    <xf numFmtId="0" fontId="23" fillId="0" borderId="0" xfId="64" applyFont="1" applyFill="1">
      <alignment/>
      <protection/>
    </xf>
    <xf numFmtId="0" fontId="24" fillId="0" borderId="0" xfId="64" applyFont="1" applyFill="1" applyAlignment="1">
      <alignment horizontal="centerContinuous"/>
      <protection/>
    </xf>
    <xf numFmtId="0" fontId="24" fillId="0" borderId="0" xfId="64" applyFont="1" applyFill="1" applyBorder="1" applyAlignment="1">
      <alignment horizontal="centerContinuous"/>
      <protection/>
    </xf>
    <xf numFmtId="0" fontId="26" fillId="0" borderId="15" xfId="64" applyFont="1" applyFill="1" applyBorder="1" applyAlignment="1">
      <alignment horizontal="centerContinuous"/>
      <protection/>
    </xf>
    <xf numFmtId="0" fontId="13" fillId="0" borderId="16" xfId="64" applyFont="1" applyFill="1" applyBorder="1" applyAlignment="1" applyProtection="1">
      <alignment horizontal="left"/>
      <protection/>
    </xf>
    <xf numFmtId="0" fontId="13" fillId="0" borderId="41" xfId="64" applyFont="1" applyFill="1" applyBorder="1" applyAlignment="1" applyProtection="1">
      <alignment horizontal="center"/>
      <protection/>
    </xf>
    <xf numFmtId="0" fontId="13" fillId="0" borderId="21" xfId="64" applyFont="1" applyFill="1" applyBorder="1" applyAlignment="1">
      <alignment horizontal="center"/>
      <protection/>
    </xf>
    <xf numFmtId="0" fontId="3" fillId="0" borderId="16" xfId="64" applyFont="1" applyFill="1" applyBorder="1" applyAlignment="1" applyProtection="1" quotePrefix="1">
      <alignment horizontal="left"/>
      <protection/>
    </xf>
    <xf numFmtId="0" fontId="3" fillId="0" borderId="22" xfId="64" applyFont="1" applyFill="1" applyBorder="1" applyAlignment="1" applyProtection="1">
      <alignment horizontal="center"/>
      <protection/>
    </xf>
    <xf numFmtId="164" fontId="3" fillId="0" borderId="21" xfId="64" applyNumberFormat="1" applyFont="1" applyFill="1" applyBorder="1" applyAlignment="1" applyProtection="1">
      <alignment horizontal="center"/>
      <protection/>
    </xf>
    <xf numFmtId="22" fontId="13" fillId="0" borderId="0" xfId="64" applyNumberFormat="1" applyFont="1" applyFill="1" applyBorder="1">
      <alignment/>
      <protection/>
    </xf>
    <xf numFmtId="0" fontId="29" fillId="0" borderId="0" xfId="64" applyFont="1" applyFill="1" applyBorder="1">
      <alignment/>
      <protection/>
    </xf>
    <xf numFmtId="0" fontId="30" fillId="0" borderId="21" xfId="64" applyFont="1" applyFill="1" applyBorder="1" applyAlignment="1">
      <alignment horizontal="center" vertical="center"/>
      <protection/>
    </xf>
    <xf numFmtId="0" fontId="30" fillId="0" borderId="21" xfId="64" applyFont="1" applyFill="1" applyBorder="1" applyAlignment="1" applyProtection="1">
      <alignment horizontal="center" vertical="center" wrapText="1"/>
      <protection/>
    </xf>
    <xf numFmtId="0" fontId="30" fillId="0" borderId="21" xfId="64" applyFont="1" applyFill="1" applyBorder="1" applyAlignment="1" applyProtection="1">
      <alignment horizontal="center" vertical="center"/>
      <protection/>
    </xf>
    <xf numFmtId="0" fontId="30" fillId="0" borderId="21" xfId="64" applyFont="1" applyFill="1" applyBorder="1" applyAlignment="1" applyProtection="1" quotePrefix="1">
      <alignment horizontal="center" vertical="center" wrapText="1"/>
      <protection/>
    </xf>
    <xf numFmtId="0" fontId="30" fillId="0" borderId="21" xfId="64" applyFont="1" applyFill="1" applyBorder="1" applyAlignment="1">
      <alignment horizontal="center" vertical="center" wrapText="1"/>
      <protection/>
    </xf>
    <xf numFmtId="0" fontId="60" fillId="16" borderId="21" xfId="64" applyFont="1" applyFill="1" applyBorder="1" applyAlignment="1" applyProtection="1">
      <alignment horizontal="center" vertical="center"/>
      <protection/>
    </xf>
    <xf numFmtId="0" fontId="30" fillId="0" borderId="16" xfId="64" applyFont="1" applyFill="1" applyBorder="1" applyAlignment="1" applyProtection="1">
      <alignment horizontal="center" vertical="center"/>
      <protection/>
    </xf>
    <xf numFmtId="0" fontId="62" fillId="29" borderId="21" xfId="64" applyFont="1" applyFill="1" applyBorder="1" applyAlignment="1" applyProtection="1">
      <alignment horizontal="center" vertical="center"/>
      <protection/>
    </xf>
    <xf numFmtId="0" fontId="66" fillId="3" borderId="21" xfId="64" applyFont="1" applyFill="1" applyBorder="1" applyAlignment="1">
      <alignment horizontal="center" vertical="center" wrapText="1"/>
      <protection/>
    </xf>
    <xf numFmtId="0" fontId="67" fillId="23" borderId="21" xfId="64" applyFont="1" applyFill="1" applyBorder="1" applyAlignment="1">
      <alignment horizontal="center" vertical="center" wrapText="1"/>
      <protection/>
    </xf>
    <xf numFmtId="0" fontId="68" fillId="8" borderId="16" xfId="64" applyFont="1" applyFill="1" applyBorder="1" applyAlignment="1" applyProtection="1">
      <alignment horizontal="centerContinuous" vertical="center" wrapText="1"/>
      <protection/>
    </xf>
    <xf numFmtId="0" fontId="68" fillId="8" borderId="17" xfId="64" applyFont="1" applyFill="1" applyBorder="1" applyAlignment="1">
      <alignment horizontal="centerContinuous" vertical="center"/>
      <protection/>
    </xf>
    <xf numFmtId="0" fontId="34" fillId="30" borderId="21" xfId="64" applyFont="1" applyFill="1" applyBorder="1" applyAlignment="1">
      <alignment horizontal="center" vertical="center" wrapText="1"/>
      <protection/>
    </xf>
    <xf numFmtId="0" fontId="69" fillId="3" borderId="21" xfId="64" applyFont="1" applyFill="1" applyBorder="1" applyAlignment="1">
      <alignment horizontal="center" vertical="center" wrapText="1"/>
      <protection/>
    </xf>
    <xf numFmtId="0" fontId="13" fillId="0" borderId="43" xfId="64" applyFont="1" applyFill="1" applyBorder="1" applyAlignment="1">
      <alignment horizontal="center"/>
      <protection/>
    </xf>
    <xf numFmtId="164" fontId="13" fillId="0" borderId="43" xfId="64" applyNumberFormat="1" applyFont="1" applyFill="1" applyBorder="1" applyAlignment="1" applyProtection="1">
      <alignment horizontal="center"/>
      <protection/>
    </xf>
    <xf numFmtId="0" fontId="63" fillId="16" borderId="43" xfId="64" applyFont="1" applyFill="1" applyBorder="1" applyAlignment="1">
      <alignment horizontal="center"/>
      <protection/>
    </xf>
    <xf numFmtId="0" fontId="13" fillId="0" borderId="44" xfId="64" applyFont="1" applyFill="1" applyBorder="1" applyAlignment="1">
      <alignment horizontal="center"/>
      <protection/>
    </xf>
    <xf numFmtId="0" fontId="29" fillId="29" borderId="43" xfId="64" applyFont="1" applyFill="1" applyBorder="1" applyAlignment="1">
      <alignment horizontal="center"/>
      <protection/>
    </xf>
    <xf numFmtId="0" fontId="70" fillId="3" borderId="43" xfId="64" applyFont="1" applyFill="1" applyBorder="1" applyAlignment="1">
      <alignment horizontal="center"/>
      <protection/>
    </xf>
    <xf numFmtId="0" fontId="71" fillId="23" borderId="43" xfId="64" applyFont="1" applyFill="1" applyBorder="1" applyAlignment="1">
      <alignment horizontal="center"/>
      <protection/>
    </xf>
    <xf numFmtId="0" fontId="52" fillId="16" borderId="24" xfId="64" applyFont="1" applyFill="1" applyBorder="1" applyAlignment="1">
      <alignment horizontal="center"/>
      <protection/>
    </xf>
    <xf numFmtId="0" fontId="52" fillId="16" borderId="26" xfId="64" applyFont="1" applyFill="1" applyBorder="1" applyAlignment="1">
      <alignment horizontal="center"/>
      <protection/>
    </xf>
    <xf numFmtId="0" fontId="72" fillId="8" borderId="45" xfId="64" applyFont="1" applyFill="1" applyBorder="1" applyAlignment="1">
      <alignment horizontal="center"/>
      <protection/>
    </xf>
    <xf numFmtId="0" fontId="72" fillId="8" borderId="46" xfId="64" applyFont="1" applyFill="1" applyBorder="1" applyAlignment="1">
      <alignment horizontal="center"/>
      <protection/>
    </xf>
    <xf numFmtId="0" fontId="50" fillId="30" borderId="43" xfId="64" applyFont="1" applyFill="1" applyBorder="1" applyAlignment="1">
      <alignment horizontal="center"/>
      <protection/>
    </xf>
    <xf numFmtId="0" fontId="73" fillId="3" borderId="43" xfId="64" applyFont="1" applyFill="1" applyBorder="1" applyAlignment="1">
      <alignment horizontal="center"/>
      <protection/>
    </xf>
    <xf numFmtId="7" fontId="48" fillId="0" borderId="44" xfId="64" applyNumberFormat="1" applyFont="1" applyFill="1" applyBorder="1" applyAlignment="1">
      <alignment/>
      <protection/>
    </xf>
    <xf numFmtId="164" fontId="13" fillId="0" borderId="27" xfId="64" applyNumberFormat="1" applyFont="1" applyFill="1" applyBorder="1" applyAlignment="1" applyProtection="1">
      <alignment horizontal="center"/>
      <protection/>
    </xf>
    <xf numFmtId="0" fontId="63" fillId="16" borderId="27" xfId="64" applyFont="1" applyFill="1" applyBorder="1" applyAlignment="1">
      <alignment horizontal="center"/>
      <protection/>
    </xf>
    <xf numFmtId="0" fontId="13" fillId="0" borderId="47" xfId="64" applyFont="1" applyFill="1" applyBorder="1" applyAlignment="1">
      <alignment horizontal="center"/>
      <protection/>
    </xf>
    <xf numFmtId="0" fontId="29" fillId="29" borderId="27" xfId="64" applyFont="1" applyFill="1" applyBorder="1" applyAlignment="1">
      <alignment horizontal="center"/>
      <protection/>
    </xf>
    <xf numFmtId="0" fontId="70" fillId="3" borderId="27" xfId="64" applyFont="1" applyFill="1" applyBorder="1" applyAlignment="1">
      <alignment horizontal="center"/>
      <protection/>
    </xf>
    <xf numFmtId="0" fontId="71" fillId="23" borderId="27" xfId="64" applyFont="1" applyFill="1" applyBorder="1" applyAlignment="1">
      <alignment horizontal="center"/>
      <protection/>
    </xf>
    <xf numFmtId="0" fontId="52" fillId="16" borderId="48" xfId="64" applyFont="1" applyFill="1" applyBorder="1" applyAlignment="1">
      <alignment horizontal="center"/>
      <protection/>
    </xf>
    <xf numFmtId="0" fontId="52" fillId="16" borderId="49" xfId="64" applyFont="1" applyFill="1" applyBorder="1" applyAlignment="1">
      <alignment horizontal="center"/>
      <protection/>
    </xf>
    <xf numFmtId="0" fontId="72" fillId="8" borderId="48" xfId="64" applyFont="1" applyFill="1" applyBorder="1" applyAlignment="1">
      <alignment horizontal="center"/>
      <protection/>
    </xf>
    <xf numFmtId="0" fontId="72" fillId="8" borderId="49" xfId="64" applyFont="1" applyFill="1" applyBorder="1" applyAlignment="1">
      <alignment horizontal="center"/>
      <protection/>
    </xf>
    <xf numFmtId="0" fontId="50" fillId="30" borderId="27" xfId="64" applyFont="1" applyFill="1" applyBorder="1" applyAlignment="1">
      <alignment horizontal="center"/>
      <protection/>
    </xf>
    <xf numFmtId="0" fontId="73" fillId="3" borderId="27" xfId="64" applyFont="1" applyFill="1" applyBorder="1" applyAlignment="1">
      <alignment horizontal="center"/>
      <protection/>
    </xf>
    <xf numFmtId="0" fontId="48" fillId="0" borderId="47" xfId="64" applyFont="1" applyFill="1" applyBorder="1" applyAlignment="1">
      <alignment horizontal="center"/>
      <protection/>
    </xf>
    <xf numFmtId="0" fontId="13" fillId="0" borderId="27" xfId="64" applyFont="1" applyBorder="1" applyAlignment="1" applyProtection="1">
      <alignment horizontal="center"/>
      <protection locked="0"/>
    </xf>
    <xf numFmtId="0" fontId="13" fillId="0" borderId="32" xfId="64" applyFont="1" applyBorder="1" applyAlignment="1" applyProtection="1">
      <alignment horizontal="center"/>
      <protection locked="0"/>
    </xf>
    <xf numFmtId="164" fontId="13" fillId="0" borderId="27" xfId="64" applyNumberFormat="1" applyFont="1" applyBorder="1" applyAlignment="1" applyProtection="1">
      <alignment horizontal="center"/>
      <protection locked="0"/>
    </xf>
    <xf numFmtId="1" fontId="13" fillId="0" borderId="49" xfId="64" applyNumberFormat="1" applyFont="1" applyBorder="1" applyAlignment="1" applyProtection="1" quotePrefix="1">
      <alignment horizontal="center"/>
      <protection locked="0"/>
    </xf>
    <xf numFmtId="174" fontId="63" fillId="16" borderId="28" xfId="64" applyNumberFormat="1" applyFont="1" applyFill="1" applyBorder="1" applyAlignment="1" applyProtection="1">
      <alignment horizontal="center"/>
      <protection/>
    </xf>
    <xf numFmtId="22" fontId="13" fillId="0" borderId="28" xfId="64" applyNumberFormat="1" applyFont="1" applyFill="1" applyBorder="1" applyAlignment="1" applyProtection="1">
      <alignment horizontal="center"/>
      <protection locked="0"/>
    </xf>
    <xf numFmtId="4" fontId="13" fillId="0" borderId="28" xfId="64" applyNumberFormat="1" applyFont="1" applyFill="1" applyBorder="1" applyAlignment="1" applyProtection="1">
      <alignment horizontal="center"/>
      <protection/>
    </xf>
    <xf numFmtId="3" fontId="13" fillId="0" borderId="28" xfId="64" applyNumberFormat="1" applyFont="1" applyFill="1" applyBorder="1" applyAlignment="1" applyProtection="1">
      <alignment horizontal="center"/>
      <protection/>
    </xf>
    <xf numFmtId="168" fontId="13" fillId="0" borderId="28" xfId="64" applyNumberFormat="1" applyFont="1" applyFill="1" applyBorder="1" applyAlignment="1" applyProtection="1">
      <alignment horizontal="center"/>
      <protection locked="0"/>
    </xf>
    <xf numFmtId="168" fontId="13" fillId="0" borderId="28" xfId="64" applyNumberFormat="1" applyFont="1" applyBorder="1" applyAlignment="1" applyProtection="1" quotePrefix="1">
      <alignment horizontal="center"/>
      <protection/>
    </xf>
    <xf numFmtId="164" fontId="29" fillId="29" borderId="28" xfId="64" applyNumberFormat="1" applyFont="1" applyFill="1" applyBorder="1" applyAlignment="1" applyProtection="1">
      <alignment horizontal="center"/>
      <protection/>
    </xf>
    <xf numFmtId="2" fontId="70" fillId="3" borderId="28" xfId="64" applyNumberFormat="1" applyFont="1" applyFill="1" applyBorder="1" applyAlignment="1">
      <alignment horizontal="center"/>
      <protection/>
    </xf>
    <xf numFmtId="2" fontId="71" fillId="23" borderId="28" xfId="64" applyNumberFormat="1" applyFont="1" applyFill="1" applyBorder="1" applyAlignment="1">
      <alignment horizontal="center"/>
      <protection/>
    </xf>
    <xf numFmtId="168" fontId="52" fillId="16" borderId="48" xfId="64" applyNumberFormat="1" applyFont="1" applyFill="1" applyBorder="1" applyAlignment="1" applyProtection="1" quotePrefix="1">
      <alignment horizontal="center"/>
      <protection/>
    </xf>
    <xf numFmtId="168" fontId="52" fillId="16" borderId="49" xfId="64" applyNumberFormat="1" applyFont="1" applyFill="1" applyBorder="1" applyAlignment="1" applyProtection="1" quotePrefix="1">
      <alignment horizontal="center"/>
      <protection/>
    </xf>
    <xf numFmtId="168" fontId="72" fillId="8" borderId="48" xfId="64" applyNumberFormat="1" applyFont="1" applyFill="1" applyBorder="1" applyAlignment="1" applyProtection="1" quotePrefix="1">
      <alignment horizontal="center"/>
      <protection/>
    </xf>
    <xf numFmtId="168" fontId="72" fillId="8" borderId="49" xfId="64" applyNumberFormat="1" applyFont="1" applyFill="1" applyBorder="1" applyAlignment="1" applyProtection="1" quotePrefix="1">
      <alignment horizontal="center"/>
      <protection/>
    </xf>
    <xf numFmtId="168" fontId="50" fillId="30" borderId="28" xfId="64" applyNumberFormat="1" applyFont="1" applyFill="1" applyBorder="1" applyAlignment="1" applyProtection="1" quotePrefix="1">
      <alignment horizontal="center"/>
      <protection/>
    </xf>
    <xf numFmtId="168" fontId="73" fillId="3" borderId="27" xfId="64" applyNumberFormat="1" applyFont="1" applyFill="1" applyBorder="1" applyAlignment="1" applyProtection="1" quotePrefix="1">
      <alignment horizontal="center"/>
      <protection/>
    </xf>
    <xf numFmtId="168" fontId="13" fillId="0" borderId="29" xfId="64" applyNumberFormat="1" applyFont="1" applyFill="1" applyBorder="1" applyAlignment="1">
      <alignment horizontal="center"/>
      <protection/>
    </xf>
    <xf numFmtId="0" fontId="13" fillId="0" borderId="47" xfId="64" applyFont="1" applyBorder="1" applyAlignment="1" applyProtection="1">
      <alignment horizontal="center"/>
      <protection locked="0"/>
    </xf>
    <xf numFmtId="0" fontId="74" fillId="0" borderId="36" xfId="64" applyFont="1" applyFill="1" applyBorder="1" applyAlignment="1" applyProtection="1">
      <alignment horizontal="center"/>
      <protection locked="0"/>
    </xf>
    <xf numFmtId="0" fontId="74" fillId="0" borderId="36" xfId="64" applyFont="1" applyFill="1" applyBorder="1" applyAlignment="1" applyProtection="1" quotePrefix="1">
      <alignment horizontal="center"/>
      <protection locked="0"/>
    </xf>
    <xf numFmtId="164" fontId="49" fillId="0" borderId="34" xfId="64" applyNumberFormat="1" applyFont="1" applyFill="1" applyBorder="1" applyAlignment="1" applyProtection="1">
      <alignment horizontal="center"/>
      <protection locked="0"/>
    </xf>
    <xf numFmtId="168" fontId="63" fillId="16" borderId="36" xfId="64" applyNumberFormat="1" applyFont="1" applyFill="1" applyBorder="1" applyAlignment="1" applyProtection="1">
      <alignment horizontal="center"/>
      <protection/>
    </xf>
    <xf numFmtId="0" fontId="13" fillId="0" borderId="36" xfId="64" applyFont="1" applyFill="1" applyBorder="1" applyAlignment="1" applyProtection="1">
      <alignment horizontal="center"/>
      <protection locked="0"/>
    </xf>
    <xf numFmtId="38" fontId="13" fillId="0" borderId="36" xfId="64" applyNumberFormat="1" applyFont="1" applyFill="1" applyBorder="1" applyAlignment="1" applyProtection="1">
      <alignment horizontal="center"/>
      <protection locked="0"/>
    </xf>
    <xf numFmtId="38" fontId="13" fillId="0" borderId="36" xfId="64" applyNumberFormat="1" applyFont="1" applyFill="1" applyBorder="1" applyAlignment="1" applyProtection="1">
      <alignment horizontal="center"/>
      <protection/>
    </xf>
    <xf numFmtId="164" fontId="13" fillId="0" borderId="36" xfId="64" applyNumberFormat="1" applyFont="1" applyFill="1" applyBorder="1" applyAlignment="1" applyProtection="1" quotePrefix="1">
      <alignment horizontal="center"/>
      <protection/>
    </xf>
    <xf numFmtId="168" fontId="13" fillId="0" borderId="36" xfId="64" applyNumberFormat="1" applyFont="1" applyFill="1" applyBorder="1" applyAlignment="1" applyProtection="1">
      <alignment horizontal="center"/>
      <protection locked="0"/>
    </xf>
    <xf numFmtId="168" fontId="13" fillId="0" borderId="50" xfId="64" applyNumberFormat="1" applyFont="1" applyFill="1" applyBorder="1" applyAlignment="1" applyProtection="1">
      <alignment horizontal="center"/>
      <protection locked="0"/>
    </xf>
    <xf numFmtId="164" fontId="29" fillId="29" borderId="36" xfId="64" applyNumberFormat="1" applyFont="1" applyFill="1" applyBorder="1" applyAlignment="1" applyProtection="1">
      <alignment horizontal="center"/>
      <protection/>
    </xf>
    <xf numFmtId="2" fontId="70" fillId="3" borderId="36" xfId="64" applyNumberFormat="1" applyFont="1" applyFill="1" applyBorder="1" applyAlignment="1">
      <alignment horizontal="center"/>
      <protection/>
    </xf>
    <xf numFmtId="2" fontId="71" fillId="23" borderId="36" xfId="64" applyNumberFormat="1" applyFont="1" applyFill="1" applyBorder="1" applyAlignment="1">
      <alignment horizontal="center"/>
      <protection/>
    </xf>
    <xf numFmtId="168" fontId="52" fillId="16" borderId="51" xfId="64" applyNumberFormat="1" applyFont="1" applyFill="1" applyBorder="1" applyAlignment="1" applyProtection="1" quotePrefix="1">
      <alignment horizontal="center"/>
      <protection/>
    </xf>
    <xf numFmtId="168" fontId="52" fillId="16" borderId="52" xfId="64" applyNumberFormat="1" applyFont="1" applyFill="1" applyBorder="1" applyAlignment="1" applyProtection="1" quotePrefix="1">
      <alignment horizontal="center"/>
      <protection/>
    </xf>
    <xf numFmtId="168" fontId="72" fillId="8" borderId="37" xfId="64" applyNumberFormat="1" applyFont="1" applyFill="1" applyBorder="1" applyAlignment="1" applyProtection="1" quotePrefix="1">
      <alignment horizontal="center"/>
      <protection/>
    </xf>
    <xf numFmtId="168" fontId="72" fillId="8" borderId="39" xfId="64" applyNumberFormat="1" applyFont="1" applyFill="1" applyBorder="1" applyAlignment="1" applyProtection="1" quotePrefix="1">
      <alignment horizontal="center"/>
      <protection/>
    </xf>
    <xf numFmtId="168" fontId="50" fillId="30" borderId="36" xfId="64" applyNumberFormat="1" applyFont="1" applyFill="1" applyBorder="1" applyAlignment="1" applyProtection="1" quotePrefix="1">
      <alignment horizontal="center"/>
      <protection/>
    </xf>
    <xf numFmtId="168" fontId="73" fillId="3" borderId="36" xfId="64" applyNumberFormat="1" applyFont="1" applyFill="1" applyBorder="1" applyAlignment="1" applyProtection="1" quotePrefix="1">
      <alignment horizontal="center"/>
      <protection/>
    </xf>
    <xf numFmtId="168" fontId="75" fillId="0" borderId="50" xfId="64" applyNumberFormat="1" applyFont="1" applyFill="1" applyBorder="1" applyAlignment="1">
      <alignment horizontal="center"/>
      <protection/>
    </xf>
    <xf numFmtId="168" fontId="65" fillId="0" borderId="53" xfId="64" applyNumberFormat="1" applyFont="1" applyFill="1" applyBorder="1" applyAlignment="1">
      <alignment horizontal="center"/>
      <protection/>
    </xf>
    <xf numFmtId="4" fontId="70" fillId="3" borderId="21" xfId="64" applyNumberFormat="1" applyFont="1" applyFill="1" applyBorder="1" applyAlignment="1">
      <alignment horizontal="center"/>
      <protection/>
    </xf>
    <xf numFmtId="4" fontId="71" fillId="23" borderId="21" xfId="64" applyNumberFormat="1" applyFont="1" applyFill="1" applyBorder="1" applyAlignment="1">
      <alignment horizontal="center"/>
      <protection/>
    </xf>
    <xf numFmtId="4" fontId="52" fillId="16" borderId="54" xfId="64" applyNumberFormat="1" applyFont="1" applyFill="1" applyBorder="1" applyAlignment="1">
      <alignment horizontal="center"/>
      <protection/>
    </xf>
    <xf numFmtId="4" fontId="52" fillId="16" borderId="17" xfId="64" applyNumberFormat="1" applyFont="1" applyFill="1" applyBorder="1" applyAlignment="1">
      <alignment horizontal="center"/>
      <protection/>
    </xf>
    <xf numFmtId="4" fontId="72" fillId="8" borderId="54" xfId="64" applyNumberFormat="1" applyFont="1" applyFill="1" applyBorder="1" applyAlignment="1">
      <alignment horizontal="center"/>
      <protection/>
    </xf>
    <xf numFmtId="4" fontId="72" fillId="8" borderId="55" xfId="64" applyNumberFormat="1" applyFont="1" applyFill="1" applyBorder="1" applyAlignment="1">
      <alignment horizontal="center"/>
      <protection/>
    </xf>
    <xf numFmtId="4" fontId="50" fillId="30" borderId="21" xfId="64" applyNumberFormat="1" applyFont="1" applyFill="1" applyBorder="1" applyAlignment="1">
      <alignment horizontal="center"/>
      <protection/>
    </xf>
    <xf numFmtId="4" fontId="73" fillId="3" borderId="21" xfId="64" applyNumberFormat="1" applyFont="1" applyFill="1" applyBorder="1" applyAlignment="1">
      <alignment horizontal="center"/>
      <protection/>
    </xf>
    <xf numFmtId="7" fontId="76" fillId="0" borderId="21" xfId="64" applyNumberFormat="1" applyFont="1" applyFill="1" applyBorder="1" applyAlignment="1">
      <alignment horizontal="right"/>
      <protection/>
    </xf>
    <xf numFmtId="0" fontId="13" fillId="0" borderId="18" xfId="64" applyFont="1" applyFill="1" applyBorder="1">
      <alignment/>
      <protection/>
    </xf>
    <xf numFmtId="0" fontId="13" fillId="0" borderId="19" xfId="64" applyFont="1" applyFill="1" applyBorder="1">
      <alignment/>
      <protection/>
    </xf>
    <xf numFmtId="0" fontId="13" fillId="0" borderId="20" xfId="64" applyFont="1" applyFill="1" applyBorder="1">
      <alignment/>
      <protection/>
    </xf>
    <xf numFmtId="0" fontId="3" fillId="0" borderId="0" xfId="64" applyFill="1">
      <alignment/>
      <protection/>
    </xf>
    <xf numFmtId="0" fontId="0" fillId="0" borderId="0" xfId="64" applyFont="1">
      <alignment/>
      <protection/>
    </xf>
    <xf numFmtId="0" fontId="13" fillId="0" borderId="0" xfId="64" applyFont="1" applyFill="1" applyAlignment="1">
      <alignment vertical="top"/>
      <protection/>
    </xf>
    <xf numFmtId="0" fontId="63" fillId="16" borderId="35" xfId="64" applyFont="1" applyFill="1" applyBorder="1" applyAlignment="1">
      <alignment horizontal="center"/>
      <protection/>
    </xf>
    <xf numFmtId="168" fontId="13" fillId="0" borderId="27" xfId="64" applyNumberFormat="1" applyFont="1" applyBorder="1" applyAlignment="1" applyProtection="1">
      <alignment horizontal="center"/>
      <protection/>
    </xf>
    <xf numFmtId="2" fontId="71" fillId="23" borderId="28" xfId="64" applyNumberFormat="1" applyFont="1" applyFill="1" applyBorder="1" applyAlignment="1" applyProtection="1">
      <alignment horizontal="center"/>
      <protection/>
    </xf>
    <xf numFmtId="0" fontId="16" fillId="0" borderId="0" xfId="64" applyFont="1" applyFill="1" applyAlignment="1">
      <alignment vertical="top"/>
      <protection/>
    </xf>
    <xf numFmtId="0" fontId="13" fillId="0" borderId="13" xfId="64" applyFont="1" applyBorder="1">
      <alignment/>
      <protection/>
    </xf>
    <xf numFmtId="0" fontId="20" fillId="0" borderId="0" xfId="64" applyFont="1" applyFill="1" applyBorder="1">
      <alignment/>
      <protection/>
    </xf>
    <xf numFmtId="0" fontId="16" fillId="0" borderId="15" xfId="64" applyFont="1" applyBorder="1">
      <alignment/>
      <protection/>
    </xf>
    <xf numFmtId="0" fontId="20" fillId="0" borderId="0" xfId="64" applyFont="1" applyFill="1">
      <alignment/>
      <protection/>
    </xf>
    <xf numFmtId="0" fontId="78" fillId="0" borderId="0" xfId="64" applyFont="1" applyFill="1">
      <alignment/>
      <protection/>
    </xf>
    <xf numFmtId="0" fontId="16" fillId="0" borderId="0" xfId="64" applyFont="1" applyFill="1" applyBorder="1" applyProtection="1">
      <alignment/>
      <protection/>
    </xf>
    <xf numFmtId="0" fontId="5" fillId="0" borderId="0" xfId="64" applyFont="1" applyFill="1">
      <alignment/>
      <protection/>
    </xf>
    <xf numFmtId="0" fontId="13" fillId="0" borderId="0" xfId="64" applyFont="1" applyFill="1" applyBorder="1" applyProtection="1">
      <alignment/>
      <protection/>
    </xf>
    <xf numFmtId="0" fontId="24" fillId="0" borderId="0" xfId="64" applyFont="1" applyBorder="1" applyAlignment="1" applyProtection="1">
      <alignment horizontal="centerContinuous"/>
      <protection/>
    </xf>
    <xf numFmtId="0" fontId="24" fillId="0" borderId="15" xfId="64" applyFont="1" applyBorder="1" applyAlignment="1">
      <alignment horizontal="centerContinuous"/>
      <protection/>
    </xf>
    <xf numFmtId="0" fontId="25" fillId="0" borderId="14" xfId="64" applyFont="1" applyBorder="1" applyAlignment="1">
      <alignment horizontal="centerContinuous"/>
      <protection/>
    </xf>
    <xf numFmtId="0" fontId="25" fillId="0" borderId="0" xfId="64" applyFont="1" applyBorder="1" applyAlignment="1">
      <alignment horizontal="centerContinuous"/>
      <protection/>
    </xf>
    <xf numFmtId="0" fontId="25" fillId="0" borderId="0" xfId="64" applyFont="1" applyBorder="1" applyAlignment="1" applyProtection="1">
      <alignment horizontal="centerContinuous"/>
      <protection/>
    </xf>
    <xf numFmtId="0" fontId="25" fillId="0" borderId="15" xfId="64" applyFont="1" applyBorder="1" applyAlignment="1">
      <alignment horizontal="centerContinuous"/>
      <protection/>
    </xf>
    <xf numFmtId="0" fontId="3" fillId="0" borderId="0" xfId="64" applyFont="1" applyBorder="1">
      <alignment/>
      <protection/>
    </xf>
    <xf numFmtId="0" fontId="3" fillId="0" borderId="21" xfId="64" applyFont="1" applyBorder="1" applyAlignment="1">
      <alignment horizontal="center"/>
      <protection/>
    </xf>
    <xf numFmtId="0" fontId="3" fillId="0" borderId="16" xfId="64" applyFont="1" applyBorder="1" applyAlignment="1" applyProtection="1">
      <alignment horizontal="left" vertical="center"/>
      <protection/>
    </xf>
    <xf numFmtId="174" fontId="3" fillId="0" borderId="17" xfId="64" applyNumberFormat="1" applyFont="1" applyBorder="1" applyAlignment="1" applyProtection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vertical="center"/>
      <protection/>
    </xf>
    <xf numFmtId="174" fontId="3" fillId="0" borderId="17" xfId="64" applyNumberFormat="1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left" vertical="center"/>
      <protection/>
    </xf>
    <xf numFmtId="0" fontId="30" fillId="0" borderId="17" xfId="64" applyFont="1" applyBorder="1" applyAlignment="1" applyProtection="1">
      <alignment horizontal="center" vertical="center"/>
      <protection/>
    </xf>
    <xf numFmtId="0" fontId="30" fillId="0" borderId="22" xfId="64" applyFont="1" applyBorder="1" applyAlignment="1">
      <alignment horizontal="center" vertical="center" wrapText="1"/>
      <protection/>
    </xf>
    <xf numFmtId="0" fontId="30" fillId="0" borderId="17" xfId="64" applyFont="1" applyBorder="1" applyAlignment="1" applyProtection="1">
      <alignment horizontal="center" vertical="center" wrapText="1"/>
      <protection/>
    </xf>
    <xf numFmtId="0" fontId="62" fillId="25" borderId="21" xfId="64" applyFont="1" applyFill="1" applyBorder="1" applyAlignment="1" applyProtection="1">
      <alignment horizontal="center" vertical="center"/>
      <protection/>
    </xf>
    <xf numFmtId="0" fontId="68" fillId="8" borderId="21" xfId="64" applyFont="1" applyFill="1" applyBorder="1" applyAlignment="1">
      <alignment horizontal="center" vertical="center" wrapText="1"/>
      <protection/>
    </xf>
    <xf numFmtId="0" fontId="35" fillId="23" borderId="16" xfId="64" applyFont="1" applyFill="1" applyBorder="1" applyAlignment="1" applyProtection="1">
      <alignment horizontal="centerContinuous" vertical="center" wrapText="1"/>
      <protection/>
    </xf>
    <xf numFmtId="0" fontId="35" fillId="23" borderId="17" xfId="64" applyFont="1" applyFill="1" applyBorder="1" applyAlignment="1">
      <alignment horizontal="centerContinuous" vertical="center"/>
      <protection/>
    </xf>
    <xf numFmtId="0" fontId="62" fillId="26" borderId="21" xfId="64" applyFont="1" applyFill="1" applyBorder="1" applyAlignment="1">
      <alignment horizontal="center" vertical="center" wrapText="1"/>
      <protection/>
    </xf>
    <xf numFmtId="0" fontId="74" fillId="0" borderId="28" xfId="64" applyFont="1" applyBorder="1" applyAlignment="1" applyProtection="1">
      <alignment horizontal="center"/>
      <protection/>
    </xf>
    <xf numFmtId="0" fontId="29" fillId="25" borderId="23" xfId="64" applyFont="1" applyFill="1" applyBorder="1" applyAlignment="1" applyProtection="1">
      <alignment horizontal="center"/>
      <protection/>
    </xf>
    <xf numFmtId="0" fontId="72" fillId="8" borderId="23" xfId="64" applyFont="1" applyFill="1" applyBorder="1" applyAlignment="1" applyProtection="1">
      <alignment horizontal="center"/>
      <protection/>
    </xf>
    <xf numFmtId="168" fontId="51" fillId="23" borderId="24" xfId="64" applyNumberFormat="1" applyFont="1" applyFill="1" applyBorder="1" applyAlignment="1" applyProtection="1" quotePrefix="1">
      <alignment horizontal="center"/>
      <protection/>
    </xf>
    <xf numFmtId="168" fontId="51" fillId="23" borderId="26" xfId="64" applyNumberFormat="1" applyFont="1" applyFill="1" applyBorder="1" applyAlignment="1" applyProtection="1" quotePrefix="1">
      <alignment horizontal="center"/>
      <protection/>
    </xf>
    <xf numFmtId="168" fontId="64" fillId="26" borderId="23" xfId="64" applyNumberFormat="1" applyFont="1" applyFill="1" applyBorder="1" applyAlignment="1" applyProtection="1" quotePrefix="1">
      <alignment horizontal="center"/>
      <protection/>
    </xf>
    <xf numFmtId="7" fontId="79" fillId="0" borderId="28" xfId="64" applyNumberFormat="1" applyFont="1" applyBorder="1" applyAlignment="1" applyProtection="1">
      <alignment/>
      <protection/>
    </xf>
    <xf numFmtId="0" fontId="74" fillId="0" borderId="33" xfId="64" applyFont="1" applyBorder="1" applyAlignment="1" applyProtection="1">
      <alignment horizontal="center"/>
      <protection/>
    </xf>
    <xf numFmtId="0" fontId="63" fillId="16" borderId="33" xfId="64" applyFont="1" applyFill="1" applyBorder="1" applyAlignment="1" applyProtection="1">
      <alignment horizontal="center"/>
      <protection/>
    </xf>
    <xf numFmtId="0" fontId="29" fillId="25" borderId="28" xfId="64" applyFont="1" applyFill="1" applyBorder="1" applyAlignment="1" applyProtection="1">
      <alignment horizontal="center"/>
      <protection/>
    </xf>
    <xf numFmtId="0" fontId="72" fillId="8" borderId="28" xfId="64" applyFont="1" applyFill="1" applyBorder="1" applyAlignment="1" applyProtection="1">
      <alignment horizontal="center"/>
      <protection/>
    </xf>
    <xf numFmtId="168" fontId="51" fillId="23" borderId="30" xfId="64" applyNumberFormat="1" applyFont="1" applyFill="1" applyBorder="1" applyAlignment="1" applyProtection="1" quotePrefix="1">
      <alignment horizontal="center"/>
      <protection/>
    </xf>
    <xf numFmtId="168" fontId="51" fillId="23" borderId="56" xfId="64" applyNumberFormat="1" applyFont="1" applyFill="1" applyBorder="1" applyAlignment="1" applyProtection="1" quotePrefix="1">
      <alignment horizontal="center"/>
      <protection/>
    </xf>
    <xf numFmtId="168" fontId="64" fillId="26" borderId="28" xfId="64" applyNumberFormat="1" applyFont="1" applyFill="1" applyBorder="1" applyAlignment="1" applyProtection="1" quotePrefix="1">
      <alignment horizontal="center"/>
      <protection/>
    </xf>
    <xf numFmtId="168" fontId="77" fillId="0" borderId="28" xfId="64" applyNumberFormat="1" applyFont="1" applyFill="1" applyBorder="1" applyAlignment="1">
      <alignment horizontal="center"/>
      <protection/>
    </xf>
    <xf numFmtId="0" fontId="74" fillId="0" borderId="33" xfId="64" applyFont="1" applyBorder="1" applyAlignment="1" applyProtection="1">
      <alignment horizontal="center"/>
      <protection locked="0"/>
    </xf>
    <xf numFmtId="164" fontId="49" fillId="0" borderId="28" xfId="64" applyNumberFormat="1" applyFont="1" applyBorder="1" applyAlignment="1" applyProtection="1" quotePrefix="1">
      <alignment horizontal="center"/>
      <protection locked="0"/>
    </xf>
    <xf numFmtId="168" fontId="63" fillId="16" borderId="28" xfId="64" applyNumberFormat="1" applyFont="1" applyFill="1" applyBorder="1" applyAlignment="1" applyProtection="1">
      <alignment horizontal="center"/>
      <protection/>
    </xf>
    <xf numFmtId="22" fontId="13" fillId="0" borderId="30" xfId="64" applyNumberFormat="1" applyFont="1" applyBorder="1" applyAlignment="1" applyProtection="1">
      <alignment horizontal="center"/>
      <protection locked="0"/>
    </xf>
    <xf numFmtId="22" fontId="13" fillId="0" borderId="28" xfId="64" applyNumberFormat="1" applyFont="1" applyBorder="1" applyAlignment="1" applyProtection="1">
      <alignment horizontal="center"/>
      <protection locked="0"/>
    </xf>
    <xf numFmtId="2" fontId="13" fillId="0" borderId="28" xfId="64" applyNumberFormat="1" applyFont="1" applyFill="1" applyBorder="1" applyAlignment="1" applyProtection="1" quotePrefix="1">
      <alignment horizontal="center"/>
      <protection/>
    </xf>
    <xf numFmtId="164" fontId="13" fillId="0" borderId="28" xfId="64" applyNumberFormat="1" applyFont="1" applyFill="1" applyBorder="1" applyAlignment="1" applyProtection="1" quotePrefix="1">
      <alignment horizontal="center"/>
      <protection/>
    </xf>
    <xf numFmtId="164" fontId="29" fillId="25" borderId="28" xfId="64" applyNumberFormat="1" applyFont="1" applyFill="1" applyBorder="1" applyAlignment="1" applyProtection="1">
      <alignment horizontal="center"/>
      <protection/>
    </xf>
    <xf numFmtId="2" fontId="72" fillId="8" borderId="28" xfId="64" applyNumberFormat="1" applyFont="1" applyFill="1" applyBorder="1" applyAlignment="1" applyProtection="1">
      <alignment horizontal="center"/>
      <protection/>
    </xf>
    <xf numFmtId="4" fontId="77" fillId="0" borderId="28" xfId="64" applyNumberFormat="1" applyFont="1" applyFill="1" applyBorder="1" applyAlignment="1">
      <alignment horizontal="right"/>
      <protection/>
    </xf>
    <xf numFmtId="168" fontId="13" fillId="0" borderId="50" xfId="64" applyNumberFormat="1" applyFont="1" applyBorder="1" applyAlignment="1" applyProtection="1">
      <alignment horizontal="center"/>
      <protection locked="0"/>
    </xf>
    <xf numFmtId="168" fontId="13" fillId="0" borderId="50" xfId="64" applyNumberFormat="1" applyFont="1" applyBorder="1" applyAlignment="1" applyProtection="1">
      <alignment horizontal="center"/>
      <protection/>
    </xf>
    <xf numFmtId="164" fontId="29" fillId="25" borderId="36" xfId="64" applyNumberFormat="1" applyFont="1" applyFill="1" applyBorder="1" applyAlignment="1" applyProtection="1">
      <alignment horizontal="center"/>
      <protection locked="0"/>
    </xf>
    <xf numFmtId="2" fontId="72" fillId="8" borderId="36" xfId="64" applyNumberFormat="1" applyFont="1" applyFill="1" applyBorder="1" applyAlignment="1" applyProtection="1">
      <alignment horizontal="center"/>
      <protection locked="0"/>
    </xf>
    <xf numFmtId="168" fontId="51" fillId="23" borderId="37" xfId="64" applyNumberFormat="1" applyFont="1" applyFill="1" applyBorder="1" applyAlignment="1" applyProtection="1" quotePrefix="1">
      <alignment horizontal="center"/>
      <protection locked="0"/>
    </xf>
    <xf numFmtId="168" fontId="51" fillId="23" borderId="39" xfId="64" applyNumberFormat="1" applyFont="1" applyFill="1" applyBorder="1" applyAlignment="1" applyProtection="1" quotePrefix="1">
      <alignment horizontal="center"/>
      <protection locked="0"/>
    </xf>
    <xf numFmtId="168" fontId="64" fillId="26" borderId="36" xfId="64" applyNumberFormat="1" applyFont="1" applyFill="1" applyBorder="1" applyAlignment="1" applyProtection="1" quotePrefix="1">
      <alignment horizontal="center"/>
      <protection locked="0"/>
    </xf>
    <xf numFmtId="7" fontId="65" fillId="0" borderId="40" xfId="64" applyNumberFormat="1" applyFont="1" applyFill="1" applyBorder="1" applyAlignment="1">
      <alignment horizontal="right"/>
      <protection/>
    </xf>
    <xf numFmtId="4" fontId="72" fillId="8" borderId="21" xfId="64" applyNumberFormat="1" applyFont="1" applyFill="1" applyBorder="1" applyAlignment="1">
      <alignment horizontal="center"/>
      <protection/>
    </xf>
    <xf numFmtId="4" fontId="51" fillId="23" borderId="54" xfId="64" applyNumberFormat="1" applyFont="1" applyFill="1" applyBorder="1" applyAlignment="1">
      <alignment horizontal="center"/>
      <protection/>
    </xf>
    <xf numFmtId="4" fontId="51" fillId="23" borderId="55" xfId="64" applyNumberFormat="1" applyFont="1" applyFill="1" applyBorder="1" applyAlignment="1">
      <alignment horizontal="center"/>
      <protection/>
    </xf>
    <xf numFmtId="4" fontId="64" fillId="26" borderId="21" xfId="64" applyNumberFormat="1" applyFont="1" applyFill="1" applyBorder="1" applyAlignment="1">
      <alignment horizontal="center"/>
      <protection/>
    </xf>
    <xf numFmtId="4" fontId="19" fillId="0" borderId="0" xfId="64" applyNumberFormat="1" applyFont="1" applyFill="1" applyBorder="1" applyAlignment="1">
      <alignment horizontal="center"/>
      <protection/>
    </xf>
    <xf numFmtId="7" fontId="4" fillId="0" borderId="21" xfId="64" applyNumberFormat="1" applyFont="1" applyFill="1" applyBorder="1" applyAlignment="1">
      <alignment horizontal="right"/>
      <protection/>
    </xf>
    <xf numFmtId="0" fontId="20" fillId="0" borderId="0" xfId="64" applyFont="1" applyFill="1" applyAlignment="1">
      <alignment vertical="top"/>
      <protection/>
    </xf>
    <xf numFmtId="0" fontId="78" fillId="0" borderId="0" xfId="64" applyFont="1" applyFill="1" applyAlignment="1">
      <alignment vertical="top"/>
      <protection/>
    </xf>
    <xf numFmtId="0" fontId="16" fillId="0" borderId="0" xfId="64" applyFont="1" applyFill="1" applyBorder="1" applyAlignment="1" applyProtection="1">
      <alignment vertical="top"/>
      <protection/>
    </xf>
    <xf numFmtId="0" fontId="16" fillId="0" borderId="15" xfId="64" applyFont="1" applyBorder="1" applyAlignment="1">
      <alignment vertical="top"/>
      <protection/>
    </xf>
    <xf numFmtId="0" fontId="5" fillId="0" borderId="0" xfId="64" applyFont="1" applyFill="1" applyAlignment="1">
      <alignment vertical="top"/>
      <protection/>
    </xf>
    <xf numFmtId="0" fontId="13" fillId="0" borderId="0" xfId="64" applyFont="1" applyFill="1" applyBorder="1" applyAlignment="1" applyProtection="1">
      <alignment vertical="top"/>
      <protection/>
    </xf>
    <xf numFmtId="0" fontId="25" fillId="0" borderId="0" xfId="64" applyFont="1" applyBorder="1" applyAlignment="1">
      <alignment vertical="top"/>
      <protection/>
    </xf>
    <xf numFmtId="0" fontId="13" fillId="0" borderId="15" xfId="64" applyFont="1" applyBorder="1" applyAlignment="1">
      <alignment vertical="top"/>
      <protection/>
    </xf>
    <xf numFmtId="174" fontId="3" fillId="0" borderId="17" xfId="64" applyNumberFormat="1" applyFont="1" applyBorder="1" applyAlignment="1" applyProtection="1">
      <alignment horizontal="center" vertical="center"/>
      <protection locked="0"/>
    </xf>
    <xf numFmtId="0" fontId="74" fillId="0" borderId="57" xfId="64" applyFont="1" applyBorder="1" applyAlignment="1" applyProtection="1">
      <alignment horizontal="center"/>
      <protection locked="0"/>
    </xf>
    <xf numFmtId="0" fontId="9" fillId="0" borderId="0" xfId="64" applyFont="1" applyAlignment="1">
      <alignment horizontal="centerContinuous"/>
      <protection/>
    </xf>
    <xf numFmtId="0" fontId="20" fillId="0" borderId="0" xfId="64" applyFont="1" applyBorder="1" applyAlignment="1">
      <alignment horizontal="centerContinuous"/>
      <protection/>
    </xf>
    <xf numFmtId="0" fontId="16" fillId="0" borderId="15" xfId="64" applyFont="1" applyBorder="1" applyAlignment="1">
      <alignment horizontal="centerContinuous"/>
      <protection/>
    </xf>
    <xf numFmtId="0" fontId="20" fillId="0" borderId="0" xfId="64" applyFont="1">
      <alignment/>
      <protection/>
    </xf>
    <xf numFmtId="0" fontId="16" fillId="0" borderId="0" xfId="64" applyFont="1" applyBorder="1" applyProtection="1">
      <alignment/>
      <protection/>
    </xf>
    <xf numFmtId="0" fontId="5" fillId="0" borderId="0" xfId="64" applyFont="1" applyBorder="1">
      <alignment/>
      <protection/>
    </xf>
    <xf numFmtId="0" fontId="24" fillId="0" borderId="0" xfId="64" applyFont="1" applyBorder="1" applyAlignment="1">
      <alignment horizontal="centerContinuous"/>
      <protection/>
    </xf>
    <xf numFmtId="0" fontId="24" fillId="0" borderId="0" xfId="64" applyFont="1" applyBorder="1" applyAlignment="1" applyProtection="1">
      <alignment horizontal="centerContinuous"/>
      <protection/>
    </xf>
    <xf numFmtId="0" fontId="24" fillId="0" borderId="15" xfId="64" applyFont="1" applyBorder="1" applyAlignment="1">
      <alignment horizontal="centerContinuous"/>
      <protection/>
    </xf>
    <xf numFmtId="0" fontId="3" fillId="0" borderId="16" xfId="64" applyFont="1" applyBorder="1" applyAlignment="1" applyProtection="1">
      <alignment horizontal="left"/>
      <protection/>
    </xf>
    <xf numFmtId="0" fontId="3" fillId="0" borderId="16" xfId="64" applyFont="1" applyBorder="1" applyAlignment="1" applyProtection="1" quotePrefix="1">
      <alignment horizontal="left"/>
      <protection/>
    </xf>
    <xf numFmtId="0" fontId="3" fillId="0" borderId="22" xfId="64" applyFont="1" applyBorder="1" applyAlignment="1" applyProtection="1">
      <alignment horizontal="center"/>
      <protection/>
    </xf>
    <xf numFmtId="164" fontId="3" fillId="0" borderId="21" xfId="64" applyNumberFormat="1" applyFont="1" applyBorder="1" applyAlignment="1" applyProtection="1">
      <alignment horizontal="center"/>
      <protection/>
    </xf>
    <xf numFmtId="0" fontId="30" fillId="0" borderId="21" xfId="64" applyFont="1" applyBorder="1" applyAlignment="1" applyProtection="1" quotePrefix="1">
      <alignment horizontal="center" vertical="center" wrapText="1"/>
      <protection/>
    </xf>
    <xf numFmtId="0" fontId="61" fillId="3" borderId="21" xfId="64" applyFont="1" applyFill="1" applyBorder="1" applyAlignment="1">
      <alignment horizontal="center" vertical="center" wrapText="1"/>
      <protection/>
    </xf>
    <xf numFmtId="0" fontId="34" fillId="12" borderId="16" xfId="64" applyFont="1" applyFill="1" applyBorder="1" applyAlignment="1" applyProtection="1">
      <alignment horizontal="centerContinuous" vertical="center" wrapText="1"/>
      <protection/>
    </xf>
    <xf numFmtId="0" fontId="34" fillId="12" borderId="17" xfId="64" applyFont="1" applyFill="1" applyBorder="1" applyAlignment="1">
      <alignment horizontal="centerContinuous" vertical="center"/>
      <protection/>
    </xf>
    <xf numFmtId="0" fontId="37" fillId="23" borderId="21" xfId="64" applyFont="1" applyFill="1" applyBorder="1" applyAlignment="1">
      <alignment horizontal="center" vertical="center" wrapText="1"/>
      <protection/>
    </xf>
    <xf numFmtId="0" fontId="61" fillId="0" borderId="21" xfId="64" applyFont="1" applyFill="1" applyBorder="1" applyAlignment="1">
      <alignment horizontal="center" vertical="center" wrapText="1"/>
      <protection/>
    </xf>
    <xf numFmtId="0" fontId="13" fillId="0" borderId="58" xfId="64" applyFont="1" applyBorder="1" applyAlignment="1">
      <alignment horizontal="center"/>
      <protection/>
    </xf>
    <xf numFmtId="0" fontId="13" fillId="0" borderId="59" xfId="64" applyFont="1" applyBorder="1" applyAlignment="1">
      <alignment horizontal="center"/>
      <protection/>
    </xf>
    <xf numFmtId="0" fontId="13" fillId="0" borderId="35" xfId="64" applyFont="1" applyBorder="1" applyAlignment="1">
      <alignment horizontal="center"/>
      <protection/>
    </xf>
    <xf numFmtId="0" fontId="63" fillId="16" borderId="0" xfId="64" applyFont="1" applyFill="1" applyBorder="1" applyAlignment="1">
      <alignment horizontal="center"/>
      <protection/>
    </xf>
    <xf numFmtId="0" fontId="80" fillId="3" borderId="43" xfId="64" applyFont="1" applyFill="1" applyBorder="1" applyAlignment="1">
      <alignment horizontal="center"/>
      <protection/>
    </xf>
    <xf numFmtId="0" fontId="50" fillId="12" borderId="24" xfId="64" applyFont="1" applyFill="1" applyBorder="1" applyAlignment="1">
      <alignment horizontal="center"/>
      <protection/>
    </xf>
    <xf numFmtId="0" fontId="50" fillId="12" borderId="26" xfId="64" applyFont="1" applyFill="1" applyBorder="1" applyAlignment="1">
      <alignment horizontal="center"/>
      <protection/>
    </xf>
    <xf numFmtId="0" fontId="53" fillId="23" borderId="43" xfId="64" applyFont="1" applyFill="1" applyBorder="1" applyAlignment="1">
      <alignment horizontal="center"/>
      <protection/>
    </xf>
    <xf numFmtId="0" fontId="13" fillId="0" borderId="43" xfId="64" applyFont="1" applyBorder="1" applyAlignment="1">
      <alignment horizontal="center"/>
      <protection/>
    </xf>
    <xf numFmtId="7" fontId="77" fillId="0" borderId="43" xfId="64" applyNumberFormat="1" applyFont="1" applyFill="1" applyBorder="1" applyAlignment="1">
      <alignment horizontal="center"/>
      <protection/>
    </xf>
    <xf numFmtId="0" fontId="74" fillId="0" borderId="32" xfId="64" applyFont="1" applyBorder="1" applyAlignment="1" applyProtection="1">
      <alignment horizontal="center"/>
      <protection/>
    </xf>
    <xf numFmtId="0" fontId="74" fillId="0" borderId="60" xfId="64" applyFont="1" applyBorder="1" applyAlignment="1" applyProtection="1">
      <alignment horizontal="center"/>
      <protection/>
    </xf>
    <xf numFmtId="0" fontId="74" fillId="0" borderId="27" xfId="64" applyFont="1" applyBorder="1" applyAlignment="1" applyProtection="1">
      <alignment horizontal="center"/>
      <protection/>
    </xf>
    <xf numFmtId="168" fontId="63" fillId="16" borderId="27" xfId="64" applyNumberFormat="1" applyFont="1" applyFill="1" applyBorder="1" applyAlignment="1" applyProtection="1">
      <alignment horizontal="center"/>
      <protection/>
    </xf>
    <xf numFmtId="22" fontId="13" fillId="0" borderId="48" xfId="64" applyNumberFormat="1" applyFont="1" applyBorder="1" applyAlignment="1">
      <alignment horizontal="center"/>
      <protection/>
    </xf>
    <xf numFmtId="22" fontId="13" fillId="0" borderId="60" xfId="64" applyNumberFormat="1" applyFont="1" applyBorder="1" applyAlignment="1" applyProtection="1">
      <alignment horizontal="center"/>
      <protection/>
    </xf>
    <xf numFmtId="2" fontId="13" fillId="0" borderId="27" xfId="64" applyNumberFormat="1" applyFont="1" applyFill="1" applyBorder="1" applyAlignment="1" applyProtection="1" quotePrefix="1">
      <alignment horizontal="center"/>
      <protection/>
    </xf>
    <xf numFmtId="164" fontId="13" fillId="0" borderId="27" xfId="64" applyNumberFormat="1" applyFont="1" applyFill="1" applyBorder="1" applyAlignment="1" applyProtection="1" quotePrefix="1">
      <alignment horizontal="center"/>
      <protection/>
    </xf>
    <xf numFmtId="168" fontId="13" fillId="0" borderId="47" xfId="64" applyNumberFormat="1" applyFont="1" applyBorder="1" applyAlignment="1" applyProtection="1">
      <alignment horizontal="center"/>
      <protection/>
    </xf>
    <xf numFmtId="164" fontId="63" fillId="16" borderId="32" xfId="64" applyNumberFormat="1" applyFont="1" applyFill="1" applyBorder="1" applyAlignment="1" applyProtection="1">
      <alignment horizontal="center"/>
      <protection/>
    </xf>
    <xf numFmtId="2" fontId="80" fillId="3" borderId="27" xfId="64" applyNumberFormat="1" applyFont="1" applyFill="1" applyBorder="1" applyAlignment="1">
      <alignment horizontal="center"/>
      <protection/>
    </xf>
    <xf numFmtId="168" fontId="50" fillId="12" borderId="48" xfId="64" applyNumberFormat="1" applyFont="1" applyFill="1" applyBorder="1" applyAlignment="1" applyProtection="1" quotePrefix="1">
      <alignment horizontal="center"/>
      <protection/>
    </xf>
    <xf numFmtId="168" fontId="50" fillId="12" borderId="49" xfId="64" applyNumberFormat="1" applyFont="1" applyFill="1" applyBorder="1" applyAlignment="1" applyProtection="1" quotePrefix="1">
      <alignment horizontal="center"/>
      <protection/>
    </xf>
    <xf numFmtId="168" fontId="53" fillId="23" borderId="27" xfId="64" applyNumberFormat="1" applyFont="1" applyFill="1" applyBorder="1" applyAlignment="1" applyProtection="1" quotePrefix="1">
      <alignment horizontal="center"/>
      <protection/>
    </xf>
    <xf numFmtId="168" fontId="77" fillId="0" borderId="27" xfId="64" applyNumberFormat="1" applyFont="1" applyFill="1" applyBorder="1" applyAlignment="1">
      <alignment horizontal="center"/>
      <protection/>
    </xf>
    <xf numFmtId="0" fontId="74" fillId="0" borderId="61" xfId="64" applyFont="1" applyBorder="1" applyAlignment="1" applyProtection="1">
      <alignment horizontal="center"/>
      <protection locked="0"/>
    </xf>
    <xf numFmtId="0" fontId="74" fillId="0" borderId="28" xfId="64" applyFont="1" applyBorder="1" applyAlignment="1" applyProtection="1">
      <alignment horizontal="center"/>
      <protection locked="0"/>
    </xf>
    <xf numFmtId="164" fontId="63" fillId="16" borderId="61" xfId="64" applyNumberFormat="1" applyFont="1" applyFill="1" applyBorder="1" applyAlignment="1" applyProtection="1">
      <alignment horizontal="center"/>
      <protection/>
    </xf>
    <xf numFmtId="2" fontId="80" fillId="3" borderId="28" xfId="64" applyNumberFormat="1" applyFont="1" applyFill="1" applyBorder="1" applyAlignment="1" applyProtection="1">
      <alignment horizontal="center"/>
      <protection/>
    </xf>
    <xf numFmtId="2" fontId="13" fillId="0" borderId="62" xfId="64" applyNumberFormat="1" applyFont="1" applyFill="1" applyBorder="1" applyAlignment="1" applyProtection="1" quotePrefix="1">
      <alignment horizontal="center"/>
      <protection/>
    </xf>
    <xf numFmtId="0" fontId="74" fillId="0" borderId="36" xfId="64" applyFont="1" applyBorder="1" applyAlignment="1" applyProtection="1">
      <alignment horizontal="center"/>
      <protection locked="0"/>
    </xf>
    <xf numFmtId="164" fontId="63" fillId="16" borderId="63" xfId="64" applyNumberFormat="1" applyFont="1" applyFill="1" applyBorder="1" applyAlignment="1" applyProtection="1">
      <alignment horizontal="center"/>
      <protection locked="0"/>
    </xf>
    <xf numFmtId="2" fontId="80" fillId="3" borderId="36" xfId="64" applyNumberFormat="1" applyFont="1" applyFill="1" applyBorder="1" applyAlignment="1" applyProtection="1">
      <alignment horizontal="center"/>
      <protection locked="0"/>
    </xf>
    <xf numFmtId="168" fontId="50" fillId="12" borderId="51" xfId="64" applyNumberFormat="1" applyFont="1" applyFill="1" applyBorder="1" applyAlignment="1" applyProtection="1" quotePrefix="1">
      <alignment horizontal="center"/>
      <protection locked="0"/>
    </xf>
    <xf numFmtId="168" fontId="50" fillId="12" borderId="52" xfId="64" applyNumberFormat="1" applyFont="1" applyFill="1" applyBorder="1" applyAlignment="1" applyProtection="1" quotePrefix="1">
      <alignment horizontal="center"/>
      <protection locked="0"/>
    </xf>
    <xf numFmtId="168" fontId="53" fillId="23" borderId="36" xfId="64" applyNumberFormat="1" applyFont="1" applyFill="1" applyBorder="1" applyAlignment="1" applyProtection="1" quotePrefix="1">
      <alignment horizontal="center"/>
      <protection locked="0"/>
    </xf>
    <xf numFmtId="168" fontId="77" fillId="0" borderId="40" xfId="64" applyNumberFormat="1" applyFont="1" applyFill="1" applyBorder="1" applyAlignment="1">
      <alignment horizontal="center"/>
      <protection/>
    </xf>
    <xf numFmtId="4" fontId="80" fillId="3" borderId="21" xfId="64" applyNumberFormat="1" applyFont="1" applyFill="1" applyBorder="1" applyAlignment="1">
      <alignment horizontal="center"/>
      <protection/>
    </xf>
    <xf numFmtId="4" fontId="50" fillId="12" borderId="54" xfId="64" applyNumberFormat="1" applyFont="1" applyFill="1" applyBorder="1" applyAlignment="1">
      <alignment horizontal="center"/>
      <protection/>
    </xf>
    <xf numFmtId="4" fontId="50" fillId="12" borderId="17" xfId="64" applyNumberFormat="1" applyFont="1" applyFill="1" applyBorder="1" applyAlignment="1">
      <alignment horizontal="center"/>
      <protection/>
    </xf>
    <xf numFmtId="4" fontId="53" fillId="23" borderId="21" xfId="64" applyNumberFormat="1" applyFont="1" applyFill="1" applyBorder="1" applyAlignment="1">
      <alignment horizontal="center"/>
      <protection/>
    </xf>
    <xf numFmtId="0" fontId="13" fillId="0" borderId="64" xfId="64" applyFont="1" applyBorder="1">
      <alignment/>
      <protection/>
    </xf>
    <xf numFmtId="0" fontId="0" fillId="0" borderId="0" xfId="64" applyFont="1" applyBorder="1">
      <alignment/>
      <protection/>
    </xf>
    <xf numFmtId="174" fontId="3" fillId="0" borderId="21" xfId="64" applyNumberFormat="1" applyFont="1" applyBorder="1" applyAlignment="1">
      <alignment horizontal="center"/>
      <protection/>
    </xf>
    <xf numFmtId="0" fontId="13" fillId="0" borderId="28" xfId="56" applyFont="1" applyBorder="1" applyAlignment="1" applyProtection="1">
      <alignment horizontal="center"/>
      <protection locked="0"/>
    </xf>
    <xf numFmtId="168" fontId="94" fillId="0" borderId="0" xfId="64" applyNumberFormat="1" applyFont="1" applyBorder="1" applyAlignment="1" applyProtection="1" quotePrefix="1">
      <alignment horizontal="left"/>
      <protection/>
    </xf>
    <xf numFmtId="0" fontId="13" fillId="0" borderId="27" xfId="56" applyFont="1" applyBorder="1" applyAlignment="1" applyProtection="1">
      <alignment horizontal="center"/>
      <protection locked="0"/>
    </xf>
    <xf numFmtId="0" fontId="104" fillId="16" borderId="65" xfId="64" applyFont="1" applyFill="1" applyBorder="1">
      <alignment/>
      <protection/>
    </xf>
    <xf numFmtId="0" fontId="104" fillId="0" borderId="0" xfId="64" applyFont="1">
      <alignment/>
      <protection/>
    </xf>
    <xf numFmtId="0" fontId="104" fillId="0" borderId="0" xfId="64" applyFont="1" applyFill="1">
      <alignment/>
      <protection/>
    </xf>
    <xf numFmtId="0" fontId="104" fillId="0" borderId="65" xfId="64" applyFont="1" applyBorder="1">
      <alignment/>
      <protection/>
    </xf>
    <xf numFmtId="0" fontId="104" fillId="0" borderId="65" xfId="64" applyFont="1" applyBorder="1" quotePrefix="1">
      <alignment/>
      <protection/>
    </xf>
    <xf numFmtId="0" fontId="105" fillId="0" borderId="0" xfId="58" applyFont="1" applyFill="1" applyAlignment="1">
      <alignment/>
      <protection/>
    </xf>
    <xf numFmtId="0" fontId="104" fillId="16" borderId="65" xfId="64" applyFont="1" applyFill="1" applyBorder="1" applyAlignment="1">
      <alignment horizontal="center"/>
      <protection/>
    </xf>
    <xf numFmtId="0" fontId="104" fillId="31" borderId="0" xfId="64" applyFont="1" applyFill="1">
      <alignment/>
      <protection/>
    </xf>
    <xf numFmtId="0" fontId="104" fillId="31" borderId="0" xfId="64" applyNumberFormat="1" applyFont="1" applyFill="1">
      <alignment/>
      <protection/>
    </xf>
    <xf numFmtId="0" fontId="104" fillId="0" borderId="65" xfId="64" applyFont="1" applyFill="1" applyBorder="1" applyAlignment="1">
      <alignment horizontal="center"/>
      <protection/>
    </xf>
    <xf numFmtId="0" fontId="104" fillId="31" borderId="0" xfId="58" applyFont="1" applyFill="1" applyAlignment="1">
      <alignment/>
      <protection/>
    </xf>
    <xf numFmtId="0" fontId="106" fillId="0" borderId="65" xfId="64" applyFont="1" applyBorder="1">
      <alignment/>
      <protection/>
    </xf>
    <xf numFmtId="0" fontId="106" fillId="0" borderId="65" xfId="64" applyFont="1" applyFill="1" applyBorder="1">
      <alignment/>
      <protection/>
    </xf>
    <xf numFmtId="0" fontId="106" fillId="0" borderId="66" xfId="64" applyFont="1" applyBorder="1">
      <alignment/>
      <protection/>
    </xf>
    <xf numFmtId="0" fontId="106" fillId="0" borderId="66" xfId="64" applyFont="1" applyFill="1" applyBorder="1">
      <alignment/>
      <protection/>
    </xf>
    <xf numFmtId="0" fontId="107" fillId="0" borderId="65" xfId="64" applyFont="1" applyFill="1" applyBorder="1">
      <alignment/>
      <protection/>
    </xf>
    <xf numFmtId="0" fontId="107" fillId="0" borderId="65" xfId="64" applyFont="1" applyBorder="1">
      <alignment/>
      <protection/>
    </xf>
    <xf numFmtId="0" fontId="106" fillId="0" borderId="0" xfId="64" applyFont="1" applyFill="1">
      <alignment/>
      <protection/>
    </xf>
    <xf numFmtId="0" fontId="107" fillId="0" borderId="66" xfId="64" applyFont="1" applyBorder="1">
      <alignment/>
      <protection/>
    </xf>
    <xf numFmtId="0" fontId="107" fillId="0" borderId="66" xfId="64" applyFont="1" applyFill="1" applyBorder="1">
      <alignment/>
      <protection/>
    </xf>
    <xf numFmtId="0" fontId="108" fillId="0" borderId="65" xfId="64" applyFont="1" applyFill="1" applyBorder="1">
      <alignment/>
      <protection/>
    </xf>
    <xf numFmtId="0" fontId="108" fillId="0" borderId="66" xfId="64" applyFont="1" applyFill="1" applyBorder="1">
      <alignment/>
      <protection/>
    </xf>
    <xf numFmtId="0" fontId="108" fillId="4" borderId="65" xfId="64" applyFont="1" applyFill="1" applyBorder="1">
      <alignment/>
      <protection/>
    </xf>
    <xf numFmtId="0" fontId="3" fillId="0" borderId="0" xfId="64" quotePrefix="1">
      <alignment/>
      <protection/>
    </xf>
    <xf numFmtId="1" fontId="13" fillId="0" borderId="49" xfId="64" applyNumberFormat="1" applyFont="1" applyBorder="1" applyAlignment="1" applyProtection="1">
      <alignment horizontal="center"/>
      <protection locked="0"/>
    </xf>
    <xf numFmtId="164" fontId="49" fillId="0" borderId="28" xfId="64" applyNumberFormat="1" applyFont="1" applyBorder="1" applyAlignment="1" applyProtection="1">
      <alignment horizontal="center"/>
      <protection locked="0"/>
    </xf>
    <xf numFmtId="0" fontId="13" fillId="0" borderId="0" xfId="57" applyFont="1" applyFill="1">
      <alignment/>
      <protection/>
    </xf>
    <xf numFmtId="0" fontId="13" fillId="0" borderId="0" xfId="57" applyFont="1">
      <alignment/>
      <protection/>
    </xf>
    <xf numFmtId="0" fontId="3" fillId="0" borderId="0" xfId="57">
      <alignment/>
      <protection/>
    </xf>
    <xf numFmtId="0" fontId="11" fillId="0" borderId="0" xfId="57" applyFont="1" applyAlignment="1">
      <alignment horizontal="right" vertical="top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81" fillId="0" borderId="0" xfId="57" applyFont="1" applyFill="1">
      <alignment/>
      <protection/>
    </xf>
    <xf numFmtId="0" fontId="82" fillId="0" borderId="0" xfId="57" applyFont="1" applyAlignment="1">
      <alignment horizontal="centerContinuous"/>
      <protection/>
    </xf>
    <xf numFmtId="0" fontId="81" fillId="0" borderId="0" xfId="57" applyFont="1" applyAlignment="1">
      <alignment horizontal="centerContinuous"/>
      <protection/>
    </xf>
    <xf numFmtId="0" fontId="81" fillId="0" borderId="0" xfId="57" applyFont="1">
      <alignment/>
      <protection/>
    </xf>
    <xf numFmtId="0" fontId="14" fillId="0" borderId="0" xfId="57" applyFont="1">
      <alignment/>
      <protection/>
    </xf>
    <xf numFmtId="0" fontId="6" fillId="0" borderId="0" xfId="57" applyFont="1" applyFill="1" applyBorder="1" applyAlignment="1" applyProtection="1">
      <alignment horizontal="left"/>
      <protection/>
    </xf>
    <xf numFmtId="0" fontId="13" fillId="0" borderId="11" xfId="57" applyFont="1" applyBorder="1">
      <alignment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 applyProtection="1">
      <alignment horizontal="left"/>
      <protection/>
    </xf>
    <xf numFmtId="0" fontId="3" fillId="0" borderId="12" xfId="57" applyBorder="1">
      <alignment/>
      <protection/>
    </xf>
    <xf numFmtId="0" fontId="13" fillId="0" borderId="13" xfId="57" applyFont="1" applyFill="1" applyBorder="1">
      <alignment/>
      <protection/>
    </xf>
    <xf numFmtId="0" fontId="13" fillId="0" borderId="14" xfId="57" applyFont="1" applyBorder="1">
      <alignment/>
      <protection/>
    </xf>
    <xf numFmtId="0" fontId="13" fillId="0" borderId="0" xfId="57" applyFont="1" applyBorder="1">
      <alignment/>
      <protection/>
    </xf>
    <xf numFmtId="0" fontId="20" fillId="0" borderId="0" xfId="57" applyFont="1" applyBorder="1" applyAlignment="1">
      <alignment horizontal="left"/>
      <protection/>
    </xf>
    <xf numFmtId="0" fontId="19" fillId="0" borderId="0" xfId="57" applyFont="1" applyBorder="1">
      <alignment/>
      <protection/>
    </xf>
    <xf numFmtId="0" fontId="13" fillId="0" borderId="15" xfId="57" applyFont="1" applyFill="1" applyBorder="1">
      <alignment/>
      <protection/>
    </xf>
    <xf numFmtId="0" fontId="23" fillId="0" borderId="0" xfId="57" applyFont="1">
      <alignment/>
      <protection/>
    </xf>
    <xf numFmtId="0" fontId="23" fillId="0" borderId="14" xfId="57" applyFont="1" applyBorder="1">
      <alignment/>
      <protection/>
    </xf>
    <xf numFmtId="0" fontId="23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0" fontId="23" fillId="0" borderId="15" xfId="57" applyFont="1" applyFill="1" applyBorder="1">
      <alignment/>
      <protection/>
    </xf>
    <xf numFmtId="0" fontId="13" fillId="0" borderId="0" xfId="57" applyFont="1" applyBorder="1" applyProtection="1">
      <alignment/>
      <protection/>
    </xf>
    <xf numFmtId="0" fontId="24" fillId="0" borderId="14" xfId="57" applyFont="1" applyBorder="1" applyAlignment="1">
      <alignment horizontal="centerContinuous"/>
      <protection/>
    </xf>
    <xf numFmtId="0" fontId="3" fillId="0" borderId="0" xfId="57" applyNumberFormat="1" applyAlignment="1">
      <alignment horizontal="centerContinuous"/>
      <protection/>
    </xf>
    <xf numFmtId="0" fontId="24" fillId="0" borderId="0" xfId="57" applyFont="1" applyBorder="1" applyAlignment="1">
      <alignment horizontal="centerContinuous"/>
      <protection/>
    </xf>
    <xf numFmtId="0" fontId="23" fillId="0" borderId="0" xfId="57" applyFont="1" applyBorder="1" applyAlignment="1">
      <alignment horizontal="centerContinuous"/>
      <protection/>
    </xf>
    <xf numFmtId="0" fontId="3" fillId="0" borderId="0" xfId="57" applyAlignment="1">
      <alignment horizontal="centerContinuous"/>
      <protection/>
    </xf>
    <xf numFmtId="0" fontId="23" fillId="0" borderId="0" xfId="57" applyFont="1" applyAlignment="1">
      <alignment horizontal="centerContinuous"/>
      <protection/>
    </xf>
    <xf numFmtId="0" fontId="23" fillId="0" borderId="0" xfId="57" applyFont="1" applyAlignment="1">
      <alignment/>
      <protection/>
    </xf>
    <xf numFmtId="0" fontId="23" fillId="0" borderId="15" xfId="57" applyFont="1" applyBorder="1" applyAlignment="1">
      <alignment horizontal="centerContinuous"/>
      <protection/>
    </xf>
    <xf numFmtId="0" fontId="13" fillId="0" borderId="0" xfId="57" applyFont="1" applyBorder="1" applyAlignment="1">
      <alignment horizontal="center"/>
      <protection/>
    </xf>
    <xf numFmtId="0" fontId="83" fillId="0" borderId="0" xfId="57" applyFont="1" applyBorder="1" applyAlignment="1" quotePrefix="1">
      <alignment horizontal="left"/>
      <protection/>
    </xf>
    <xf numFmtId="168" fontId="48" fillId="0" borderId="0" xfId="57" applyNumberFormat="1" applyFont="1" applyBorder="1" applyAlignment="1" applyProtection="1">
      <alignment horizontal="left"/>
      <protection/>
    </xf>
    <xf numFmtId="0" fontId="3" fillId="0" borderId="0" xfId="57" applyBorder="1">
      <alignment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21" fillId="0" borderId="0" xfId="57" applyFont="1">
      <alignment/>
      <protection/>
    </xf>
    <xf numFmtId="0" fontId="21" fillId="0" borderId="14" xfId="57" applyFont="1" applyBorder="1">
      <alignment/>
      <protection/>
    </xf>
    <xf numFmtId="0" fontId="21" fillId="0" borderId="0" xfId="57" applyFont="1" applyBorder="1">
      <alignment/>
      <protection/>
    </xf>
    <xf numFmtId="0" fontId="21" fillId="0" borderId="0" xfId="57" applyFont="1" applyBorder="1" applyAlignment="1">
      <alignment horizontal="right"/>
      <protection/>
    </xf>
    <xf numFmtId="7" fontId="21" fillId="0" borderId="0" xfId="57" applyNumberFormat="1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84" fillId="0" borderId="0" xfId="57" applyFont="1" applyBorder="1" applyAlignment="1" quotePrefix="1">
      <alignment horizontal="left"/>
      <protection/>
    </xf>
    <xf numFmtId="0" fontId="21" fillId="0" borderId="15" xfId="57" applyFont="1" applyFill="1" applyBorder="1">
      <alignment/>
      <protection/>
    </xf>
    <xf numFmtId="0" fontId="21" fillId="0" borderId="0" xfId="57" applyFont="1" applyBorder="1" applyAlignment="1" applyProtection="1">
      <alignment horizontal="left"/>
      <protection/>
    </xf>
    <xf numFmtId="168" fontId="21" fillId="0" borderId="0" xfId="57" applyNumberFormat="1" applyFont="1" applyBorder="1" applyAlignment="1" applyProtection="1">
      <alignment horizontal="left"/>
      <protection/>
    </xf>
    <xf numFmtId="0" fontId="21" fillId="0" borderId="0" xfId="57" applyFont="1" applyAlignment="1">
      <alignment horizontal="right"/>
      <protection/>
    </xf>
    <xf numFmtId="10" fontId="21" fillId="0" borderId="0" xfId="57" applyNumberFormat="1" applyFont="1" applyBorder="1" applyAlignment="1" applyProtection="1">
      <alignment horizontal="right"/>
      <protection/>
    </xf>
    <xf numFmtId="221" fontId="21" fillId="0" borderId="0" xfId="57" applyNumberFormat="1" applyFont="1" applyBorder="1" applyAlignment="1">
      <alignment horizontal="center"/>
      <protection/>
    </xf>
    <xf numFmtId="183" fontId="21" fillId="0" borderId="0" xfId="57" applyNumberFormat="1" applyFont="1" applyBorder="1">
      <alignment/>
      <protection/>
    </xf>
    <xf numFmtId="0" fontId="21" fillId="0" borderId="0" xfId="57" applyFont="1" applyAlignment="1">
      <alignment horizontal="center"/>
      <protection/>
    </xf>
    <xf numFmtId="0" fontId="21" fillId="0" borderId="0" xfId="57" applyFont="1" applyBorder="1" applyAlignment="1" applyProtection="1">
      <alignment horizontal="center"/>
      <protection/>
    </xf>
    <xf numFmtId="1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168" fontId="4" fillId="0" borderId="16" xfId="57" applyNumberFormat="1" applyFont="1" applyBorder="1" applyAlignment="1" applyProtection="1">
      <alignment horizontal="center"/>
      <protection/>
    </xf>
    <xf numFmtId="183" fontId="21" fillId="0" borderId="17" xfId="57" applyNumberFormat="1" applyFont="1" applyBorder="1" applyAlignment="1" applyProtection="1">
      <alignment horizontal="centerContinuous"/>
      <protection/>
    </xf>
    <xf numFmtId="0" fontId="13" fillId="0" borderId="0" xfId="57" applyFont="1" applyBorder="1" applyAlignment="1" applyProtection="1">
      <alignment horizontal="center"/>
      <protection/>
    </xf>
    <xf numFmtId="164" fontId="91" fillId="0" borderId="0" xfId="57" applyNumberFormat="1" applyFont="1" applyBorder="1" applyAlignment="1" applyProtection="1">
      <alignment horizontal="center"/>
      <protection/>
    </xf>
    <xf numFmtId="165" fontId="21" fillId="0" borderId="0" xfId="57" applyNumberFormat="1" applyFont="1" applyBorder="1" applyAlignment="1" applyProtection="1">
      <alignment horizontal="center"/>
      <protection/>
    </xf>
    <xf numFmtId="168" fontId="21" fillId="0" borderId="0" xfId="57" applyNumberFormat="1" applyFont="1" applyBorder="1" applyAlignment="1" applyProtection="1">
      <alignment horizontal="center"/>
      <protection/>
    </xf>
    <xf numFmtId="173" fontId="21" fillId="0" borderId="0" xfId="57" applyNumberFormat="1" applyFont="1" applyBorder="1" applyAlignment="1" applyProtection="1" quotePrefix="1">
      <alignment horizontal="center"/>
      <protection/>
    </xf>
    <xf numFmtId="2" fontId="89" fillId="0" borderId="22" xfId="57" applyNumberFormat="1" applyFont="1" applyFill="1" applyBorder="1" applyAlignment="1" applyProtection="1">
      <alignment horizontal="center"/>
      <protection/>
    </xf>
    <xf numFmtId="2" fontId="76" fillId="0" borderId="22" xfId="57" applyNumberFormat="1" applyFont="1" applyFill="1" applyBorder="1" applyAlignment="1" applyProtection="1">
      <alignment horizontal="center"/>
      <protection/>
    </xf>
    <xf numFmtId="2" fontId="92" fillId="0" borderId="22" xfId="57" applyNumberFormat="1" applyFont="1" applyFill="1" applyBorder="1" applyAlignment="1" applyProtection="1">
      <alignment horizontal="center"/>
      <protection/>
    </xf>
    <xf numFmtId="2" fontId="21" fillId="0" borderId="0" xfId="57" applyNumberFormat="1" applyFont="1" applyBorder="1" applyAlignment="1" applyProtection="1">
      <alignment horizontal="center"/>
      <protection/>
    </xf>
    <xf numFmtId="7" fontId="21" fillId="0" borderId="0" xfId="57" applyNumberFormat="1" applyFont="1" applyBorder="1" applyAlignment="1" applyProtection="1">
      <alignment horizontal="center"/>
      <protection/>
    </xf>
    <xf numFmtId="4" fontId="13" fillId="0" borderId="15" xfId="57" applyNumberFormat="1" applyFont="1" applyFill="1" applyBorder="1" applyAlignment="1">
      <alignment horizontal="center"/>
      <protection/>
    </xf>
    <xf numFmtId="0" fontId="13" fillId="0" borderId="14" xfId="57" applyFont="1" applyFill="1" applyBorder="1">
      <alignment/>
      <protection/>
    </xf>
    <xf numFmtId="0" fontId="30" fillId="0" borderId="21" xfId="57" applyFont="1" applyFill="1" applyBorder="1" applyAlignment="1">
      <alignment horizontal="center" vertical="center"/>
      <protection/>
    </xf>
    <xf numFmtId="0" fontId="30" fillId="0" borderId="21" xfId="57" applyFont="1" applyFill="1" applyBorder="1" applyAlignment="1" applyProtection="1">
      <alignment horizontal="center" vertical="center" wrapText="1"/>
      <protection/>
    </xf>
    <xf numFmtId="0" fontId="30" fillId="0" borderId="21" xfId="57" applyFont="1" applyFill="1" applyBorder="1" applyAlignment="1" applyProtection="1">
      <alignment horizontal="center" vertical="center"/>
      <protection/>
    </xf>
    <xf numFmtId="0" fontId="30" fillId="0" borderId="21" xfId="57" applyFont="1" applyFill="1" applyBorder="1" applyAlignment="1" applyProtection="1" quotePrefix="1">
      <alignment horizontal="center" vertical="center" wrapText="1"/>
      <protection/>
    </xf>
    <xf numFmtId="0" fontId="30" fillId="0" borderId="21" xfId="57" applyFont="1" applyFill="1" applyBorder="1" applyAlignment="1">
      <alignment horizontal="center" vertical="center" wrapText="1"/>
      <protection/>
    </xf>
    <xf numFmtId="0" fontId="60" fillId="16" borderId="21" xfId="57" applyFont="1" applyFill="1" applyBorder="1" applyAlignment="1" applyProtection="1">
      <alignment horizontal="center" vertical="center"/>
      <protection/>
    </xf>
    <xf numFmtId="0" fontId="60" fillId="32" borderId="21" xfId="57" applyFont="1" applyFill="1" applyBorder="1" applyAlignment="1" applyProtection="1">
      <alignment horizontal="center" vertical="center"/>
      <protection/>
    </xf>
    <xf numFmtId="0" fontId="30" fillId="0" borderId="16" xfId="57" applyFont="1" applyBorder="1" applyAlignment="1" applyProtection="1">
      <alignment horizontal="center" vertical="center" wrapText="1"/>
      <protection/>
    </xf>
    <xf numFmtId="0" fontId="30" fillId="0" borderId="16" xfId="57" applyFont="1" applyFill="1" applyBorder="1" applyAlignment="1" applyProtection="1">
      <alignment horizontal="centerContinuous" vertical="center"/>
      <protection/>
    </xf>
    <xf numFmtId="0" fontId="30" fillId="0" borderId="22" xfId="57" applyFont="1" applyFill="1" applyBorder="1" applyAlignment="1" applyProtection="1">
      <alignment horizontal="centerContinuous" vertical="center"/>
      <protection/>
    </xf>
    <xf numFmtId="0" fontId="62" fillId="33" borderId="21" xfId="57" applyFont="1" applyFill="1" applyBorder="1" applyAlignment="1">
      <alignment horizontal="center" vertical="center" wrapText="1"/>
      <protection/>
    </xf>
    <xf numFmtId="0" fontId="62" fillId="34" borderId="16" xfId="57" applyFont="1" applyFill="1" applyBorder="1" applyAlignment="1" applyProtection="1">
      <alignment horizontal="centerContinuous" vertical="center" wrapText="1"/>
      <protection/>
    </xf>
    <xf numFmtId="0" fontId="62" fillId="34" borderId="17" xfId="57" applyFont="1" applyFill="1" applyBorder="1" applyAlignment="1">
      <alignment horizontal="centerContinuous" vertical="center"/>
      <protection/>
    </xf>
    <xf numFmtId="0" fontId="62" fillId="26" borderId="21" xfId="57" applyFont="1" applyFill="1" applyBorder="1" applyAlignment="1">
      <alignment horizontal="centerContinuous" vertical="center" wrapText="1"/>
      <protection/>
    </xf>
    <xf numFmtId="0" fontId="62" fillId="32" borderId="67" xfId="57" applyFont="1" applyFill="1" applyBorder="1" applyAlignment="1">
      <alignment vertical="center" wrapText="1"/>
      <protection/>
    </xf>
    <xf numFmtId="0" fontId="62" fillId="32" borderId="41" xfId="57" applyFont="1" applyFill="1" applyBorder="1" applyAlignment="1">
      <alignment vertical="center" wrapText="1"/>
      <protection/>
    </xf>
    <xf numFmtId="0" fontId="62" fillId="32" borderId="44" xfId="57" applyFont="1" applyFill="1" applyBorder="1" applyAlignment="1">
      <alignment vertical="center" wrapText="1"/>
      <protection/>
    </xf>
    <xf numFmtId="0" fontId="30" fillId="0" borderId="21" xfId="57" applyFont="1" applyBorder="1" applyAlignment="1">
      <alignment horizontal="center" vertical="center" wrapText="1"/>
      <protection/>
    </xf>
    <xf numFmtId="0" fontId="13" fillId="0" borderId="28" xfId="57" applyFont="1" applyBorder="1" applyAlignment="1">
      <alignment horizontal="center"/>
      <protection/>
    </xf>
    <xf numFmtId="0" fontId="13" fillId="0" borderId="28" xfId="57" applyFont="1" applyFill="1" applyBorder="1" applyAlignment="1">
      <alignment horizontal="center"/>
      <protection/>
    </xf>
    <xf numFmtId="164" fontId="13" fillId="0" borderId="28" xfId="57" applyNumberFormat="1" applyFont="1" applyFill="1" applyBorder="1" applyAlignment="1" applyProtection="1">
      <alignment horizontal="center"/>
      <protection/>
    </xf>
    <xf numFmtId="0" fontId="93" fillId="16" borderId="28" xfId="57" applyFont="1" applyFill="1" applyBorder="1" applyAlignment="1">
      <alignment horizontal="center"/>
      <protection/>
    </xf>
    <xf numFmtId="0" fontId="93" fillId="32" borderId="28" xfId="57" applyFont="1" applyFill="1" applyBorder="1" applyAlignment="1">
      <alignment horizontal="center"/>
      <protection/>
    </xf>
    <xf numFmtId="0" fontId="13" fillId="0" borderId="29" xfId="57" applyFont="1" applyFill="1" applyBorder="1" applyAlignment="1">
      <alignment horizontal="center"/>
      <protection/>
    </xf>
    <xf numFmtId="0" fontId="13" fillId="0" borderId="33" xfId="57" applyFont="1" applyFill="1" applyBorder="1" applyAlignment="1">
      <alignment horizontal="centerContinuous"/>
      <protection/>
    </xf>
    <xf numFmtId="0" fontId="13" fillId="0" borderId="29" xfId="57" applyFont="1" applyFill="1" applyBorder="1" applyAlignment="1">
      <alignment horizontal="centerContinuous"/>
      <protection/>
    </xf>
    <xf numFmtId="0" fontId="63" fillId="16" borderId="23" xfId="57" applyFont="1" applyFill="1" applyBorder="1" applyAlignment="1">
      <alignment horizontal="center"/>
      <protection/>
    </xf>
    <xf numFmtId="0" fontId="29" fillId="33" borderId="23" xfId="57" applyFont="1" applyFill="1" applyBorder="1" applyAlignment="1">
      <alignment horizontal="center"/>
      <protection/>
    </xf>
    <xf numFmtId="0" fontId="29" fillId="34" borderId="24" xfId="57" applyFont="1" applyFill="1" applyBorder="1" applyAlignment="1">
      <alignment horizontal="center"/>
      <protection/>
    </xf>
    <xf numFmtId="0" fontId="29" fillId="34" borderId="26" xfId="57" applyFont="1" applyFill="1" applyBorder="1" applyAlignment="1">
      <alignment horizontal="left"/>
      <protection/>
    </xf>
    <xf numFmtId="0" fontId="29" fillId="26" borderId="23" xfId="57" applyFont="1" applyFill="1" applyBorder="1" applyAlignment="1">
      <alignment horizontal="left"/>
      <protection/>
    </xf>
    <xf numFmtId="0" fontId="29" fillId="32" borderId="59" xfId="57" applyFont="1" applyFill="1" applyBorder="1" applyAlignment="1">
      <alignment horizontal="left"/>
      <protection/>
    </xf>
    <xf numFmtId="0" fontId="29" fillId="32" borderId="0" xfId="57" applyFont="1" applyFill="1" applyBorder="1" applyAlignment="1">
      <alignment horizontal="left"/>
      <protection/>
    </xf>
    <xf numFmtId="0" fontId="29" fillId="32" borderId="58" xfId="57" applyFont="1" applyFill="1" applyBorder="1" applyAlignment="1">
      <alignment horizontal="left"/>
      <protection/>
    </xf>
    <xf numFmtId="0" fontId="48" fillId="0" borderId="29" xfId="57" applyFont="1" applyFill="1" applyBorder="1" applyAlignment="1">
      <alignment horizontal="center"/>
      <protection/>
    </xf>
    <xf numFmtId="0" fontId="13" fillId="0" borderId="33" xfId="57" applyFont="1" applyBorder="1" applyAlignment="1" applyProtection="1">
      <alignment horizontal="center"/>
      <protection locked="0"/>
    </xf>
    <xf numFmtId="0" fontId="13" fillId="0" borderId="28" xfId="57" applyFont="1" applyBorder="1" applyAlignment="1" applyProtection="1">
      <alignment horizontal="center"/>
      <protection locked="0"/>
    </xf>
    <xf numFmtId="164" fontId="13" fillId="0" borderId="27" xfId="57" applyNumberFormat="1" applyFont="1" applyFill="1" applyBorder="1" applyAlignment="1" applyProtection="1">
      <alignment horizontal="center"/>
      <protection/>
    </xf>
    <xf numFmtId="168" fontId="93" fillId="16" borderId="28" xfId="57" applyNumberFormat="1" applyFont="1" applyFill="1" applyBorder="1" applyAlignment="1" applyProtection="1">
      <alignment horizontal="center"/>
      <protection/>
    </xf>
    <xf numFmtId="168" fontId="93" fillId="32" borderId="28" xfId="57" applyNumberFormat="1" applyFont="1" applyFill="1" applyBorder="1" applyAlignment="1" applyProtection="1">
      <alignment horizontal="center"/>
      <protection/>
    </xf>
    <xf numFmtId="4" fontId="13" fillId="0" borderId="28" xfId="57" applyNumberFormat="1" applyFont="1" applyFill="1" applyBorder="1" applyAlignment="1" applyProtection="1">
      <alignment horizontal="center"/>
      <protection/>
    </xf>
    <xf numFmtId="3" fontId="13" fillId="0" borderId="28" xfId="57" applyNumberFormat="1" applyFont="1" applyFill="1" applyBorder="1" applyAlignment="1" applyProtection="1">
      <alignment horizontal="center"/>
      <protection/>
    </xf>
    <xf numFmtId="168" fontId="13" fillId="0" borderId="28" xfId="57" applyNumberFormat="1" applyFont="1" applyFill="1" applyBorder="1" applyAlignment="1" applyProtection="1">
      <alignment horizontal="center"/>
      <protection/>
    </xf>
    <xf numFmtId="168" fontId="13" fillId="0" borderId="28" xfId="57" applyNumberFormat="1" applyFont="1" applyBorder="1" applyAlignment="1" applyProtection="1" quotePrefix="1">
      <alignment horizontal="center"/>
      <protection/>
    </xf>
    <xf numFmtId="168" fontId="13" fillId="0" borderId="33" xfId="57" applyNumberFormat="1" applyFont="1" applyBorder="1" applyAlignment="1" applyProtection="1">
      <alignment horizontal="centerContinuous"/>
      <protection/>
    </xf>
    <xf numFmtId="168" fontId="13" fillId="0" borderId="29" xfId="57" applyNumberFormat="1" applyFont="1" applyBorder="1" applyAlignment="1" applyProtection="1">
      <alignment horizontal="centerContinuous"/>
      <protection/>
    </xf>
    <xf numFmtId="164" fontId="29" fillId="29" borderId="28" xfId="57" applyNumberFormat="1" applyFont="1" applyFill="1" applyBorder="1" applyAlignment="1" applyProtection="1">
      <alignment horizontal="center"/>
      <protection/>
    </xf>
    <xf numFmtId="2" fontId="64" fillId="33" borderId="28" xfId="57" applyNumberFormat="1" applyFont="1" applyFill="1" applyBorder="1" applyAlignment="1">
      <alignment horizontal="center"/>
      <protection/>
    </xf>
    <xf numFmtId="168" fontId="64" fillId="34" borderId="48" xfId="57" applyNumberFormat="1" applyFont="1" applyFill="1" applyBorder="1" applyAlignment="1" applyProtection="1" quotePrefix="1">
      <alignment horizontal="center"/>
      <protection/>
    </xf>
    <xf numFmtId="168" fontId="64" fillId="34" borderId="49" xfId="57" applyNumberFormat="1" applyFont="1" applyFill="1" applyBorder="1" applyAlignment="1" applyProtection="1" quotePrefix="1">
      <alignment horizontal="center"/>
      <protection/>
    </xf>
    <xf numFmtId="168" fontId="64" fillId="26" borderId="28" xfId="57" applyNumberFormat="1" applyFont="1" applyFill="1" applyBorder="1" applyAlignment="1" applyProtection="1" quotePrefix="1">
      <alignment horizontal="center"/>
      <protection/>
    </xf>
    <xf numFmtId="168" fontId="64" fillId="32" borderId="59" xfId="57" applyNumberFormat="1" applyFont="1" applyFill="1" applyBorder="1" applyAlignment="1" applyProtection="1" quotePrefix="1">
      <alignment horizontal="center"/>
      <protection/>
    </xf>
    <xf numFmtId="168" fontId="64" fillId="32" borderId="0" xfId="57" applyNumberFormat="1" applyFont="1" applyFill="1" applyBorder="1" applyAlignment="1" applyProtection="1" quotePrefix="1">
      <alignment horizontal="center"/>
      <protection/>
    </xf>
    <xf numFmtId="168" fontId="64" fillId="32" borderId="58" xfId="57" applyNumberFormat="1" applyFont="1" applyFill="1" applyBorder="1" applyAlignment="1" applyProtection="1" quotePrefix="1">
      <alignment horizontal="center"/>
      <protection/>
    </xf>
    <xf numFmtId="168" fontId="13" fillId="0" borderId="29" xfId="57" applyNumberFormat="1" applyFont="1" applyFill="1" applyBorder="1" applyAlignment="1">
      <alignment horizontal="center"/>
      <protection/>
    </xf>
    <xf numFmtId="4" fontId="77" fillId="0" borderId="29" xfId="57" applyNumberFormat="1" applyFont="1" applyFill="1" applyBorder="1" applyAlignment="1">
      <alignment horizontal="right"/>
      <protection/>
    </xf>
    <xf numFmtId="0" fontId="13" fillId="0" borderId="36" xfId="57" applyFont="1" applyFill="1" applyBorder="1" applyAlignment="1">
      <alignment horizontal="center"/>
      <protection/>
    </xf>
    <xf numFmtId="0" fontId="13" fillId="0" borderId="34" xfId="57" applyFont="1" applyBorder="1" applyAlignment="1" applyProtection="1">
      <alignment horizontal="center"/>
      <protection/>
    </xf>
    <xf numFmtId="0" fontId="13" fillId="0" borderId="68" xfId="57" applyFont="1" applyBorder="1" applyAlignment="1" applyProtection="1">
      <alignment horizontal="center"/>
      <protection/>
    </xf>
    <xf numFmtId="164" fontId="13" fillId="0" borderId="34" xfId="57" applyNumberFormat="1" applyFont="1" applyBorder="1" applyAlignment="1" applyProtection="1">
      <alignment horizontal="center"/>
      <protection/>
    </xf>
    <xf numFmtId="1" fontId="13" fillId="0" borderId="52" xfId="57" applyNumberFormat="1" applyFont="1" applyBorder="1" applyAlignment="1" applyProtection="1" quotePrefix="1">
      <alignment horizontal="center"/>
      <protection/>
    </xf>
    <xf numFmtId="168" fontId="93" fillId="16" borderId="36" xfId="57" applyNumberFormat="1" applyFont="1" applyFill="1" applyBorder="1" applyAlignment="1" applyProtection="1">
      <alignment horizontal="center"/>
      <protection/>
    </xf>
    <xf numFmtId="168" fontId="93" fillId="32" borderId="36" xfId="57" applyNumberFormat="1" applyFont="1" applyFill="1" applyBorder="1" applyAlignment="1" applyProtection="1">
      <alignment horizontal="center"/>
      <protection/>
    </xf>
    <xf numFmtId="22" fontId="13" fillId="0" borderId="36" xfId="57" applyNumberFormat="1" applyFont="1" applyFill="1" applyBorder="1" applyAlignment="1">
      <alignment horizontal="center"/>
      <protection/>
    </xf>
    <xf numFmtId="22" fontId="13" fillId="0" borderId="36" xfId="57" applyNumberFormat="1" applyFont="1" applyFill="1" applyBorder="1" applyAlignment="1" applyProtection="1">
      <alignment horizontal="center"/>
      <protection/>
    </xf>
    <xf numFmtId="4" fontId="13" fillId="0" borderId="36" xfId="57" applyNumberFormat="1" applyFont="1" applyFill="1" applyBorder="1" applyAlignment="1" applyProtection="1">
      <alignment horizontal="center"/>
      <protection/>
    </xf>
    <xf numFmtId="3" fontId="13" fillId="0" borderId="36" xfId="57" applyNumberFormat="1" applyFont="1" applyFill="1" applyBorder="1" applyAlignment="1" applyProtection="1">
      <alignment horizontal="center"/>
      <protection/>
    </xf>
    <xf numFmtId="168" fontId="13" fillId="0" borderId="36" xfId="57" applyNumberFormat="1" applyFont="1" applyFill="1" applyBorder="1" applyAlignment="1" applyProtection="1">
      <alignment horizontal="center"/>
      <protection/>
    </xf>
    <xf numFmtId="168" fontId="13" fillId="0" borderId="36" xfId="57" applyNumberFormat="1" applyFont="1" applyBorder="1" applyAlignment="1" applyProtection="1">
      <alignment horizontal="center"/>
      <protection/>
    </xf>
    <xf numFmtId="168" fontId="13" fillId="0" borderId="57" xfId="57" applyNumberFormat="1" applyFont="1" applyBorder="1" applyAlignment="1" applyProtection="1">
      <alignment horizontal="centerContinuous"/>
      <protection/>
    </xf>
    <xf numFmtId="168" fontId="13" fillId="0" borderId="50" xfId="57" applyNumberFormat="1" applyFont="1" applyBorder="1" applyAlignment="1" applyProtection="1">
      <alignment horizontal="centerContinuous"/>
      <protection/>
    </xf>
    <xf numFmtId="164" fontId="63" fillId="16" borderId="36" xfId="57" applyNumberFormat="1" applyFont="1" applyFill="1" applyBorder="1" applyAlignment="1" applyProtection="1">
      <alignment horizontal="center"/>
      <protection/>
    </xf>
    <xf numFmtId="2" fontId="29" fillId="33" borderId="36" xfId="57" applyNumberFormat="1" applyFont="1" applyFill="1" applyBorder="1" applyAlignment="1">
      <alignment horizontal="center"/>
      <protection/>
    </xf>
    <xf numFmtId="168" fontId="29" fillId="34" borderId="51" xfId="57" applyNumberFormat="1" applyFont="1" applyFill="1" applyBorder="1" applyAlignment="1" applyProtection="1" quotePrefix="1">
      <alignment horizontal="center"/>
      <protection/>
    </xf>
    <xf numFmtId="168" fontId="29" fillId="34" borderId="52" xfId="57" applyNumberFormat="1" applyFont="1" applyFill="1" applyBorder="1" applyAlignment="1" applyProtection="1" quotePrefix="1">
      <alignment horizontal="center"/>
      <protection/>
    </xf>
    <xf numFmtId="168" fontId="29" fillId="26" borderId="36" xfId="57" applyNumberFormat="1" applyFont="1" applyFill="1" applyBorder="1" applyAlignment="1" applyProtection="1" quotePrefix="1">
      <alignment horizontal="center"/>
      <protection/>
    </xf>
    <xf numFmtId="168" fontId="29" fillId="32" borderId="57" xfId="57" applyNumberFormat="1" applyFont="1" applyFill="1" applyBorder="1" applyAlignment="1" applyProtection="1" quotePrefix="1">
      <alignment horizontal="center"/>
      <protection/>
    </xf>
    <xf numFmtId="168" fontId="29" fillId="32" borderId="63" xfId="57" applyNumberFormat="1" applyFont="1" applyFill="1" applyBorder="1" applyAlignment="1" applyProtection="1" quotePrefix="1">
      <alignment horizontal="center"/>
      <protection/>
    </xf>
    <xf numFmtId="168" fontId="29" fillId="32" borderId="50" xfId="57" applyNumberFormat="1" applyFont="1" applyFill="1" applyBorder="1" applyAlignment="1" applyProtection="1" quotePrefix="1">
      <alignment horizontal="center"/>
      <protection/>
    </xf>
    <xf numFmtId="168" fontId="13" fillId="0" borderId="50" xfId="57" applyNumberFormat="1" applyFont="1" applyFill="1" applyBorder="1" applyAlignment="1">
      <alignment horizontal="center"/>
      <protection/>
    </xf>
    <xf numFmtId="4" fontId="77" fillId="0" borderId="50" xfId="57" applyNumberFormat="1" applyFont="1" applyFill="1" applyBorder="1" applyAlignment="1">
      <alignment horizontal="right"/>
      <protection/>
    </xf>
    <xf numFmtId="0" fontId="13" fillId="0" borderId="0" xfId="57" applyFont="1" applyFill="1" applyBorder="1" applyAlignment="1">
      <alignment horizontal="center"/>
      <protection/>
    </xf>
    <xf numFmtId="164" fontId="13" fillId="0" borderId="0" xfId="57" applyNumberFormat="1" applyFont="1" applyBorder="1" applyAlignment="1" applyProtection="1">
      <alignment horizontal="center"/>
      <protection/>
    </xf>
    <xf numFmtId="1" fontId="13" fillId="0" borderId="0" xfId="57" applyNumberFormat="1" applyFont="1" applyBorder="1" applyAlignment="1" applyProtection="1" quotePrefix="1">
      <alignment horizontal="center"/>
      <protection/>
    </xf>
    <xf numFmtId="22" fontId="13" fillId="0" borderId="41" xfId="57" applyNumberFormat="1" applyFont="1" applyFill="1" applyBorder="1" applyAlignment="1">
      <alignment horizontal="center"/>
      <protection/>
    </xf>
    <xf numFmtId="22" fontId="13" fillId="0" borderId="41" xfId="57" applyNumberFormat="1" applyFont="1" applyFill="1" applyBorder="1" applyAlignment="1" applyProtection="1">
      <alignment horizontal="center"/>
      <protection/>
    </xf>
    <xf numFmtId="4" fontId="13" fillId="0" borderId="0" xfId="57" applyNumberFormat="1" applyFont="1" applyFill="1" applyBorder="1" applyAlignment="1" applyProtection="1">
      <alignment horizontal="center"/>
      <protection/>
    </xf>
    <xf numFmtId="3" fontId="13" fillId="0" borderId="0" xfId="57" applyNumberFormat="1" applyFont="1" applyFill="1" applyBorder="1" applyAlignment="1" applyProtection="1">
      <alignment horizontal="center"/>
      <protection/>
    </xf>
    <xf numFmtId="168" fontId="13" fillId="0" borderId="0" xfId="57" applyNumberFormat="1" applyFont="1" applyFill="1" applyBorder="1" applyAlignment="1" applyProtection="1">
      <alignment horizontal="center"/>
      <protection/>
    </xf>
    <xf numFmtId="168" fontId="13" fillId="0" borderId="0" xfId="57" applyNumberFormat="1" applyFont="1" applyBorder="1" applyAlignment="1" applyProtection="1">
      <alignment horizontal="center"/>
      <protection/>
    </xf>
    <xf numFmtId="168" fontId="13" fillId="0" borderId="0" xfId="57" applyNumberFormat="1" applyFont="1" applyBorder="1" applyAlignment="1" applyProtection="1">
      <alignment horizontal="centerContinuous"/>
      <protection/>
    </xf>
    <xf numFmtId="164" fontId="63" fillId="16" borderId="0" xfId="57" applyNumberFormat="1" applyFont="1" applyFill="1" applyBorder="1" applyAlignment="1" applyProtection="1">
      <alignment horizontal="center"/>
      <protection/>
    </xf>
    <xf numFmtId="2" fontId="29" fillId="33" borderId="0" xfId="57" applyNumberFormat="1" applyFont="1" applyFill="1" applyBorder="1" applyAlignment="1">
      <alignment horizontal="center"/>
      <protection/>
    </xf>
    <xf numFmtId="168" fontId="29" fillId="34" borderId="0" xfId="57" applyNumberFormat="1" applyFont="1" applyFill="1" applyBorder="1" applyAlignment="1" applyProtection="1" quotePrefix="1">
      <alignment horizontal="center"/>
      <protection/>
    </xf>
    <xf numFmtId="168" fontId="29" fillId="26" borderId="0" xfId="57" applyNumberFormat="1" applyFont="1" applyFill="1" applyBorder="1" applyAlignment="1" applyProtection="1" quotePrefix="1">
      <alignment horizontal="center"/>
      <protection/>
    </xf>
    <xf numFmtId="168" fontId="29" fillId="32" borderId="0" xfId="57" applyNumberFormat="1" applyFont="1" applyFill="1" applyBorder="1" applyAlignment="1" applyProtection="1" quotePrefix="1">
      <alignment horizontal="center"/>
      <protection/>
    </xf>
    <xf numFmtId="168" fontId="13" fillId="0" borderId="0" xfId="57" applyNumberFormat="1" applyFont="1" applyFill="1" applyBorder="1" applyAlignment="1">
      <alignment horizontal="center"/>
      <protection/>
    </xf>
    <xf numFmtId="7" fontId="48" fillId="0" borderId="21" xfId="57" applyNumberFormat="1" applyFont="1" applyBorder="1" applyAlignment="1" applyProtection="1">
      <alignment horizontal="right"/>
      <protection/>
    </xf>
    <xf numFmtId="22" fontId="13" fillId="0" borderId="0" xfId="57" applyNumberFormat="1" applyFont="1" applyFill="1" applyBorder="1" applyAlignment="1">
      <alignment horizontal="center"/>
      <protection/>
    </xf>
    <xf numFmtId="22" fontId="13" fillId="0" borderId="0" xfId="57" applyNumberFormat="1" applyFont="1" applyFill="1" applyBorder="1" applyAlignment="1" applyProtection="1">
      <alignment horizontal="center"/>
      <protection/>
    </xf>
    <xf numFmtId="7" fontId="48" fillId="0" borderId="0" xfId="57" applyNumberFormat="1" applyFont="1" applyBorder="1" applyAlignment="1" applyProtection="1">
      <alignment horizontal="right"/>
      <protection/>
    </xf>
    <xf numFmtId="0" fontId="62" fillId="25" borderId="21" xfId="57" applyFont="1" applyFill="1" applyBorder="1" applyAlignment="1" applyProtection="1">
      <alignment horizontal="center" vertical="center"/>
      <protection/>
    </xf>
    <xf numFmtId="0" fontId="68" fillId="8" borderId="21" xfId="57" applyFont="1" applyFill="1" applyBorder="1" applyAlignment="1">
      <alignment horizontal="center" vertical="center" wrapText="1"/>
      <protection/>
    </xf>
    <xf numFmtId="0" fontId="35" fillId="23" borderId="16" xfId="57" applyFont="1" applyFill="1" applyBorder="1" applyAlignment="1" applyProtection="1">
      <alignment horizontal="centerContinuous" vertical="center" wrapText="1"/>
      <protection/>
    </xf>
    <xf numFmtId="0" fontId="35" fillId="23" borderId="17" xfId="57" applyFont="1" applyFill="1" applyBorder="1" applyAlignment="1">
      <alignment horizontal="centerContinuous" vertical="center"/>
      <protection/>
    </xf>
    <xf numFmtId="0" fontId="62" fillId="26" borderId="21" xfId="57" applyFont="1" applyFill="1" applyBorder="1" applyAlignment="1">
      <alignment horizontal="center" vertical="center" wrapText="1"/>
      <protection/>
    </xf>
    <xf numFmtId="164" fontId="29" fillId="25" borderId="28" xfId="57" applyNumberFormat="1" applyFont="1" applyFill="1" applyBorder="1" applyAlignment="1" applyProtection="1">
      <alignment horizontal="center"/>
      <protection/>
    </xf>
    <xf numFmtId="0" fontId="72" fillId="8" borderId="23" xfId="57" applyFont="1" applyFill="1" applyBorder="1" applyAlignment="1" applyProtection="1">
      <alignment horizontal="center"/>
      <protection/>
    </xf>
    <xf numFmtId="168" fontId="51" fillId="23" borderId="24" xfId="57" applyNumberFormat="1" applyFont="1" applyFill="1" applyBorder="1" applyAlignment="1" applyProtection="1" quotePrefix="1">
      <alignment horizontal="center"/>
      <protection/>
    </xf>
    <xf numFmtId="168" fontId="51" fillId="23" borderId="26" xfId="57" applyNumberFormat="1" applyFont="1" applyFill="1" applyBorder="1" applyAlignment="1" applyProtection="1" quotePrefix="1">
      <alignment horizontal="center"/>
      <protection/>
    </xf>
    <xf numFmtId="168" fontId="64" fillId="26" borderId="23" xfId="57" applyNumberFormat="1" applyFont="1" applyFill="1" applyBorder="1" applyAlignment="1" applyProtection="1" quotePrefix="1">
      <alignment horizontal="center"/>
      <protection/>
    </xf>
    <xf numFmtId="22" fontId="13" fillId="0" borderId="30" xfId="57" applyNumberFormat="1" applyFont="1" applyBorder="1" applyAlignment="1" applyProtection="1">
      <alignment horizontal="center"/>
      <protection locked="0"/>
    </xf>
    <xf numFmtId="22" fontId="13" fillId="0" borderId="33" xfId="57" applyNumberFormat="1" applyFont="1" applyBorder="1" applyAlignment="1" applyProtection="1">
      <alignment horizontal="center"/>
      <protection locked="0"/>
    </xf>
    <xf numFmtId="2" fontId="72" fillId="8" borderId="28" xfId="57" applyNumberFormat="1" applyFont="1" applyFill="1" applyBorder="1" applyAlignment="1" applyProtection="1">
      <alignment horizontal="center"/>
      <protection/>
    </xf>
    <xf numFmtId="168" fontId="51" fillId="23" borderId="30" xfId="57" applyNumberFormat="1" applyFont="1" applyFill="1" applyBorder="1" applyAlignment="1" applyProtection="1" quotePrefix="1">
      <alignment horizontal="center"/>
      <protection/>
    </xf>
    <xf numFmtId="168" fontId="51" fillId="23" borderId="56" xfId="57" applyNumberFormat="1" applyFont="1" applyFill="1" applyBorder="1" applyAlignment="1" applyProtection="1" quotePrefix="1">
      <alignment horizontal="center"/>
      <protection/>
    </xf>
    <xf numFmtId="4" fontId="77" fillId="0" borderId="28" xfId="57" applyNumberFormat="1" applyFont="1" applyFill="1" applyBorder="1" applyAlignment="1">
      <alignment horizontal="right"/>
      <protection/>
    </xf>
    <xf numFmtId="0" fontId="13" fillId="0" borderId="27" xfId="57" applyFont="1" applyBorder="1" applyAlignment="1" applyProtection="1">
      <alignment horizontal="center"/>
      <protection/>
    </xf>
    <xf numFmtId="0" fontId="13" fillId="0" borderId="32" xfId="57" applyFont="1" applyBorder="1" applyAlignment="1" applyProtection="1">
      <alignment horizontal="center"/>
      <protection/>
    </xf>
    <xf numFmtId="22" fontId="13" fillId="0" borderId="28" xfId="57" applyNumberFormat="1" applyFont="1" applyFill="1" applyBorder="1" applyAlignment="1" applyProtection="1">
      <alignment horizontal="center"/>
      <protection/>
    </xf>
    <xf numFmtId="168" fontId="13" fillId="0" borderId="0" xfId="57" applyNumberFormat="1" applyFont="1" applyBorder="1" applyAlignment="1" applyProtection="1" quotePrefix="1">
      <alignment horizontal="center"/>
      <protection/>
    </xf>
    <xf numFmtId="164" fontId="13" fillId="0" borderId="0" xfId="57" applyNumberFormat="1" applyFont="1" applyFill="1" applyBorder="1" applyAlignment="1" applyProtection="1">
      <alignment horizontal="center"/>
      <protection/>
    </xf>
    <xf numFmtId="2" fontId="59" fillId="0" borderId="0" xfId="57" applyNumberFormat="1" applyFont="1" applyFill="1" applyBorder="1" applyAlignment="1">
      <alignment horizontal="center"/>
      <protection/>
    </xf>
    <xf numFmtId="168" fontId="49" fillId="0" borderId="0" xfId="57" applyNumberFormat="1" applyFont="1" applyFill="1" applyBorder="1" applyAlignment="1" applyProtection="1" quotePrefix="1">
      <alignment horizontal="center"/>
      <protection/>
    </xf>
    <xf numFmtId="8" fontId="77" fillId="0" borderId="21" xfId="53" applyNumberFormat="1" applyFont="1" applyFill="1" applyBorder="1" applyAlignment="1">
      <alignment horizontal="right"/>
    </xf>
    <xf numFmtId="0" fontId="30" fillId="0" borderId="21" xfId="57" applyFont="1" applyBorder="1" applyAlignment="1" applyProtection="1">
      <alignment horizontal="center" vertical="center" wrapText="1"/>
      <protection/>
    </xf>
    <xf numFmtId="0" fontId="30" fillId="0" borderId="21" xfId="57" applyFont="1" applyBorder="1" applyAlignment="1" applyProtection="1">
      <alignment horizontal="center" vertical="center"/>
      <protection/>
    </xf>
    <xf numFmtId="0" fontId="3" fillId="32" borderId="43" xfId="57" applyFill="1" applyBorder="1">
      <alignment/>
      <protection/>
    </xf>
    <xf numFmtId="0" fontId="61" fillId="3" borderId="21" xfId="57" applyFont="1" applyFill="1" applyBorder="1" applyAlignment="1">
      <alignment horizontal="center" vertical="center" wrapText="1"/>
      <protection/>
    </xf>
    <xf numFmtId="0" fontId="34" fillId="12" borderId="16" xfId="57" applyFont="1" applyFill="1" applyBorder="1" applyAlignment="1" applyProtection="1">
      <alignment horizontal="centerContinuous" vertical="center" wrapText="1"/>
      <protection/>
    </xf>
    <xf numFmtId="0" fontId="34" fillId="12" borderId="17" xfId="57" applyFont="1" applyFill="1" applyBorder="1" applyAlignment="1">
      <alignment horizontal="centerContinuous" vertical="center"/>
      <protection/>
    </xf>
    <xf numFmtId="0" fontId="37" fillId="23" borderId="21" xfId="57" applyFont="1" applyFill="1" applyBorder="1" applyAlignment="1">
      <alignment horizontal="center" vertical="center" wrapText="1"/>
      <protection/>
    </xf>
    <xf numFmtId="0" fontId="67" fillId="23" borderId="21" xfId="57" applyFont="1" applyFill="1" applyBorder="1" applyAlignment="1">
      <alignment horizontal="center" vertical="center" wrapText="1"/>
      <protection/>
    </xf>
    <xf numFmtId="0" fontId="61" fillId="0" borderId="21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/>
      <protection/>
    </xf>
    <xf numFmtId="0" fontId="13" fillId="0" borderId="58" xfId="57" applyFont="1" applyBorder="1" applyAlignment="1">
      <alignment horizontal="center"/>
      <protection/>
    </xf>
    <xf numFmtId="0" fontId="63" fillId="16" borderId="35" xfId="57" applyFont="1" applyFill="1" applyBorder="1" applyAlignment="1">
      <alignment horizontal="center"/>
      <protection/>
    </xf>
    <xf numFmtId="0" fontId="3" fillId="32" borderId="35" xfId="57" applyFill="1" applyBorder="1">
      <alignment/>
      <protection/>
    </xf>
    <xf numFmtId="0" fontId="13" fillId="0" borderId="59" xfId="57" applyFont="1" applyBorder="1" applyAlignment="1">
      <alignment horizontal="center"/>
      <protection/>
    </xf>
    <xf numFmtId="0" fontId="13" fillId="0" borderId="35" xfId="57" applyFont="1" applyBorder="1" applyAlignment="1">
      <alignment horizontal="center"/>
      <protection/>
    </xf>
    <xf numFmtId="0" fontId="13" fillId="0" borderId="35" xfId="57" applyFont="1" applyBorder="1">
      <alignment/>
      <protection/>
    </xf>
    <xf numFmtId="0" fontId="63" fillId="16" borderId="0" xfId="57" applyFont="1" applyFill="1" applyBorder="1" applyAlignment="1">
      <alignment horizontal="center"/>
      <protection/>
    </xf>
    <xf numFmtId="0" fontId="80" fillId="3" borderId="43" xfId="57" applyFont="1" applyFill="1" applyBorder="1" applyAlignment="1">
      <alignment horizontal="center"/>
      <protection/>
    </xf>
    <xf numFmtId="0" fontId="50" fillId="12" borderId="45" xfId="57" applyFont="1" applyFill="1" applyBorder="1" applyAlignment="1">
      <alignment horizontal="center"/>
      <protection/>
    </xf>
    <xf numFmtId="0" fontId="50" fillId="12" borderId="46" xfId="57" applyFont="1" applyFill="1" applyBorder="1" applyAlignment="1">
      <alignment horizontal="center"/>
      <protection/>
    </xf>
    <xf numFmtId="0" fontId="53" fillId="23" borderId="43" xfId="57" applyFont="1" applyFill="1" applyBorder="1" applyAlignment="1">
      <alignment horizontal="center"/>
      <protection/>
    </xf>
    <xf numFmtId="0" fontId="13" fillId="0" borderId="43" xfId="57" applyFont="1" applyBorder="1" applyAlignment="1">
      <alignment horizontal="center"/>
      <protection/>
    </xf>
    <xf numFmtId="7" fontId="77" fillId="0" borderId="43" xfId="57" applyNumberFormat="1" applyFont="1" applyFill="1" applyBorder="1" applyAlignment="1">
      <alignment horizontal="center"/>
      <protection/>
    </xf>
    <xf numFmtId="0" fontId="13" fillId="0" borderId="60" xfId="57" applyFont="1" applyBorder="1" applyAlignment="1" applyProtection="1">
      <alignment horizontal="center"/>
      <protection locked="0"/>
    </xf>
    <xf numFmtId="174" fontId="63" fillId="16" borderId="27" xfId="57" applyNumberFormat="1" applyFont="1" applyFill="1" applyBorder="1" applyAlignment="1" applyProtection="1">
      <alignment horizontal="center"/>
      <protection/>
    </xf>
    <xf numFmtId="0" fontId="3" fillId="32" borderId="27" xfId="57" applyFill="1" applyBorder="1">
      <alignment/>
      <protection/>
    </xf>
    <xf numFmtId="22" fontId="13" fillId="0" borderId="48" xfId="57" applyNumberFormat="1" applyFont="1" applyBorder="1" applyAlignment="1" applyProtection="1">
      <alignment horizontal="center"/>
      <protection locked="0"/>
    </xf>
    <xf numFmtId="22" fontId="13" fillId="0" borderId="60" xfId="57" applyNumberFormat="1" applyFont="1" applyBorder="1" applyAlignment="1" applyProtection="1">
      <alignment horizontal="center"/>
      <protection locked="0"/>
    </xf>
    <xf numFmtId="2" fontId="13" fillId="0" borderId="27" xfId="57" applyNumberFormat="1" applyFont="1" applyFill="1" applyBorder="1" applyAlignment="1" applyProtection="1" quotePrefix="1">
      <alignment horizontal="center"/>
      <protection/>
    </xf>
    <xf numFmtId="164" fontId="13" fillId="0" borderId="27" xfId="57" applyNumberFormat="1" applyFont="1" applyFill="1" applyBorder="1" applyAlignment="1" applyProtection="1" quotePrefix="1">
      <alignment horizontal="center"/>
      <protection/>
    </xf>
    <xf numFmtId="168" fontId="13" fillId="0" borderId="47" xfId="57" applyNumberFormat="1" applyFont="1" applyBorder="1" applyAlignment="1" applyProtection="1">
      <alignment horizontal="center"/>
      <protection locked="0"/>
    </xf>
    <xf numFmtId="173" fontId="13" fillId="0" borderId="47" xfId="57" applyNumberFormat="1" applyFont="1" applyBorder="1" applyAlignment="1" applyProtection="1" quotePrefix="1">
      <alignment horizontal="center"/>
      <protection/>
    </xf>
    <xf numFmtId="164" fontId="63" fillId="16" borderId="32" xfId="57" applyNumberFormat="1" applyFont="1" applyFill="1" applyBorder="1" applyAlignment="1" applyProtection="1">
      <alignment horizontal="center"/>
      <protection/>
    </xf>
    <xf numFmtId="2" fontId="80" fillId="3" borderId="27" xfId="57" applyNumberFormat="1" applyFont="1" applyFill="1" applyBorder="1" applyAlignment="1" applyProtection="1">
      <alignment horizontal="center"/>
      <protection/>
    </xf>
    <xf numFmtId="168" fontId="50" fillId="12" borderId="48" xfId="57" applyNumberFormat="1" applyFont="1" applyFill="1" applyBorder="1" applyAlignment="1" applyProtection="1" quotePrefix="1">
      <alignment horizontal="center"/>
      <protection/>
    </xf>
    <xf numFmtId="168" fontId="50" fillId="12" borderId="49" xfId="57" applyNumberFormat="1" applyFont="1" applyFill="1" applyBorder="1" applyAlignment="1" applyProtection="1" quotePrefix="1">
      <alignment horizontal="center"/>
      <protection/>
    </xf>
    <xf numFmtId="168" fontId="53" fillId="23" borderId="27" xfId="57" applyNumberFormat="1" applyFont="1" applyFill="1" applyBorder="1" applyAlignment="1" applyProtection="1" quotePrefix="1">
      <alignment horizontal="center"/>
      <protection/>
    </xf>
    <xf numFmtId="0" fontId="3" fillId="0" borderId="32" xfId="57" applyBorder="1">
      <alignment/>
      <protection/>
    </xf>
    <xf numFmtId="168" fontId="29" fillId="32" borderId="32" xfId="57" applyNumberFormat="1" applyFont="1" applyFill="1" applyBorder="1" applyAlignment="1" applyProtection="1" quotePrefix="1">
      <alignment horizontal="center"/>
      <protection/>
    </xf>
    <xf numFmtId="168" fontId="13" fillId="0" borderId="27" xfId="57" applyNumberFormat="1" applyFont="1" applyBorder="1" applyAlignment="1" applyProtection="1">
      <alignment horizontal="center"/>
      <protection/>
    </xf>
    <xf numFmtId="4" fontId="77" fillId="0" borderId="27" xfId="57" applyNumberFormat="1" applyFont="1" applyFill="1" applyBorder="1" applyAlignment="1">
      <alignment horizontal="right"/>
      <protection/>
    </xf>
    <xf numFmtId="0" fontId="3" fillId="32" borderId="34" xfId="57" applyFill="1" applyBorder="1">
      <alignment/>
      <protection/>
    </xf>
    <xf numFmtId="0" fontId="3" fillId="0" borderId="69" xfId="57" applyBorder="1">
      <alignment/>
      <protection/>
    </xf>
    <xf numFmtId="168" fontId="29" fillId="32" borderId="69" xfId="57" applyNumberFormat="1" applyFont="1" applyFill="1" applyBorder="1" applyAlignment="1" applyProtection="1" quotePrefix="1">
      <alignment horizontal="center"/>
      <protection/>
    </xf>
    <xf numFmtId="0" fontId="74" fillId="0" borderId="57" xfId="57" applyFont="1" applyBorder="1" applyAlignment="1" applyProtection="1">
      <alignment horizontal="center"/>
      <protection locked="0"/>
    </xf>
    <xf numFmtId="0" fontId="13" fillId="0" borderId="57" xfId="57" applyFont="1" applyBorder="1" applyAlignment="1" applyProtection="1">
      <alignment horizontal="center"/>
      <protection locked="0"/>
    </xf>
    <xf numFmtId="174" fontId="63" fillId="16" borderId="36" xfId="57" applyNumberFormat="1" applyFont="1" applyFill="1" applyBorder="1" applyAlignment="1" applyProtection="1">
      <alignment horizontal="center"/>
      <protection/>
    </xf>
    <xf numFmtId="0" fontId="3" fillId="32" borderId="36" xfId="57" applyFill="1" applyBorder="1">
      <alignment/>
      <protection/>
    </xf>
    <xf numFmtId="22" fontId="13" fillId="0" borderId="37" xfId="57" applyNumberFormat="1" applyFont="1" applyBorder="1" applyAlignment="1" applyProtection="1">
      <alignment horizontal="center"/>
      <protection locked="0"/>
    </xf>
    <xf numFmtId="22" fontId="13" fillId="0" borderId="57" xfId="57" applyNumberFormat="1" applyFont="1" applyBorder="1" applyAlignment="1" applyProtection="1">
      <alignment horizontal="center"/>
      <protection locked="0"/>
    </xf>
    <xf numFmtId="2" fontId="13" fillId="0" borderId="36" xfId="57" applyNumberFormat="1" applyFont="1" applyFill="1" applyBorder="1" applyAlignment="1" applyProtection="1" quotePrefix="1">
      <alignment horizontal="center"/>
      <protection/>
    </xf>
    <xf numFmtId="164" fontId="13" fillId="0" borderId="36" xfId="57" applyNumberFormat="1" applyFont="1" applyFill="1" applyBorder="1" applyAlignment="1" applyProtection="1" quotePrefix="1">
      <alignment horizontal="center"/>
      <protection/>
    </xf>
    <xf numFmtId="168" fontId="13" fillId="0" borderId="50" xfId="57" applyNumberFormat="1" applyFont="1" applyBorder="1" applyAlignment="1" applyProtection="1">
      <alignment horizontal="center"/>
      <protection locked="0"/>
    </xf>
    <xf numFmtId="173" fontId="13" fillId="0" borderId="50" xfId="57" applyNumberFormat="1" applyFont="1" applyBorder="1" applyAlignment="1" applyProtection="1" quotePrefix="1">
      <alignment horizontal="center"/>
      <protection/>
    </xf>
    <xf numFmtId="164" fontId="63" fillId="16" borderId="63" xfId="57" applyNumberFormat="1" applyFont="1" applyFill="1" applyBorder="1" applyAlignment="1" applyProtection="1">
      <alignment horizontal="center"/>
      <protection/>
    </xf>
    <xf numFmtId="2" fontId="80" fillId="3" borderId="36" xfId="57" applyNumberFormat="1" applyFont="1" applyFill="1" applyBorder="1" applyAlignment="1" applyProtection="1">
      <alignment horizontal="center"/>
      <protection/>
    </xf>
    <xf numFmtId="168" fontId="50" fillId="12" borderId="51" xfId="57" applyNumberFormat="1" applyFont="1" applyFill="1" applyBorder="1" applyAlignment="1" applyProtection="1" quotePrefix="1">
      <alignment horizontal="center"/>
      <protection/>
    </xf>
    <xf numFmtId="168" fontId="50" fillId="12" borderId="52" xfId="57" applyNumberFormat="1" applyFont="1" applyFill="1" applyBorder="1" applyAlignment="1" applyProtection="1" quotePrefix="1">
      <alignment horizontal="center"/>
      <protection/>
    </xf>
    <xf numFmtId="168" fontId="53" fillId="23" borderId="34" xfId="57" applyNumberFormat="1" applyFont="1" applyFill="1" applyBorder="1" applyAlignment="1" applyProtection="1" quotePrefix="1">
      <alignment horizontal="center"/>
      <protection/>
    </xf>
    <xf numFmtId="0" fontId="3" fillId="0" borderId="63" xfId="57" applyBorder="1">
      <alignment/>
      <protection/>
    </xf>
    <xf numFmtId="4" fontId="77" fillId="0" borderId="36" xfId="57" applyNumberFormat="1" applyFont="1" applyFill="1" applyBorder="1" applyAlignment="1">
      <alignment horizontal="right"/>
      <protection/>
    </xf>
    <xf numFmtId="168" fontId="13" fillId="0" borderId="0" xfId="57" applyNumberFormat="1" applyFont="1" applyBorder="1" applyAlignment="1" applyProtection="1" quotePrefix="1">
      <alignment horizontal="centerContinuous"/>
      <protection/>
    </xf>
    <xf numFmtId="4" fontId="77" fillId="0" borderId="0" xfId="57" applyNumberFormat="1" applyFont="1" applyFill="1" applyBorder="1" applyAlignment="1">
      <alignment horizontal="right"/>
      <protection/>
    </xf>
    <xf numFmtId="2" fontId="94" fillId="0" borderId="0" xfId="57" applyNumberFormat="1" applyFont="1" applyBorder="1" applyAlignment="1" applyProtection="1">
      <alignment horizontal="left"/>
      <protection/>
    </xf>
    <xf numFmtId="168" fontId="94" fillId="0" borderId="0" xfId="57" applyNumberFormat="1" applyFont="1" applyBorder="1" applyAlignment="1" applyProtection="1">
      <alignment horizontal="center"/>
      <protection/>
    </xf>
    <xf numFmtId="0" fontId="94" fillId="0" borderId="0" xfId="57" applyFont="1" applyBorder="1" applyAlignment="1" applyProtection="1">
      <alignment horizontal="center"/>
      <protection/>
    </xf>
    <xf numFmtId="165" fontId="94" fillId="0" borderId="0" xfId="57" applyNumberFormat="1" applyFont="1" applyBorder="1" applyAlignment="1" applyProtection="1">
      <alignment horizontal="center"/>
      <protection/>
    </xf>
    <xf numFmtId="0" fontId="95" fillId="0" borderId="0" xfId="57" applyFont="1">
      <alignment/>
      <protection/>
    </xf>
    <xf numFmtId="173" fontId="94" fillId="0" borderId="0" xfId="57" applyNumberFormat="1" applyFont="1" applyBorder="1" applyAlignment="1" applyProtection="1" quotePrefix="1">
      <alignment horizontal="center"/>
      <protection/>
    </xf>
    <xf numFmtId="0" fontId="94" fillId="0" borderId="0" xfId="57" applyFont="1">
      <alignment/>
      <protection/>
    </xf>
    <xf numFmtId="2" fontId="94" fillId="0" borderId="0" xfId="57" applyNumberFormat="1" applyFont="1" applyBorder="1" applyAlignment="1" applyProtection="1">
      <alignment horizontal="center"/>
      <protection/>
    </xf>
    <xf numFmtId="168" fontId="94" fillId="0" borderId="0" xfId="57" applyNumberFormat="1" applyFont="1" applyBorder="1" applyAlignment="1" applyProtection="1" quotePrefix="1">
      <alignment horizontal="center"/>
      <protection/>
    </xf>
    <xf numFmtId="4" fontId="21" fillId="0" borderId="15" xfId="57" applyNumberFormat="1" applyFont="1" applyFill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2" fontId="96" fillId="0" borderId="0" xfId="57" applyNumberFormat="1" applyFont="1" applyBorder="1" applyAlignment="1" applyProtection="1">
      <alignment horizontal="left"/>
      <protection/>
    </xf>
    <xf numFmtId="0" fontId="21" fillId="0" borderId="0" xfId="57" applyFont="1" applyAlignment="1">
      <alignment horizontal="centerContinuous"/>
      <protection/>
    </xf>
    <xf numFmtId="1" fontId="21" fillId="0" borderId="0" xfId="57" applyNumberFormat="1" applyFont="1" applyBorder="1" applyAlignment="1" applyProtection="1">
      <alignment horizontal="center"/>
      <protection/>
    </xf>
    <xf numFmtId="183" fontId="21" fillId="0" borderId="0" xfId="57" applyNumberFormat="1" applyFont="1" applyBorder="1" applyAlignment="1" applyProtection="1">
      <alignment horizontal="centerContinuous"/>
      <protection/>
    </xf>
    <xf numFmtId="168" fontId="21" fillId="0" borderId="0" xfId="57" applyNumberFormat="1" applyFont="1" applyBorder="1" applyAlignment="1" applyProtection="1">
      <alignment horizontal="centerContinuous"/>
      <protection/>
    </xf>
    <xf numFmtId="168" fontId="94" fillId="0" borderId="0" xfId="57" applyNumberFormat="1" applyFont="1" applyBorder="1" applyAlignment="1" applyProtection="1" quotePrefix="1">
      <alignment horizontal="left"/>
      <protection/>
    </xf>
    <xf numFmtId="168" fontId="94" fillId="0" borderId="0" xfId="57" applyNumberFormat="1" applyFont="1" applyBorder="1" applyAlignment="1" applyProtection="1" quotePrefix="1">
      <alignment horizontal="right"/>
      <protection/>
    </xf>
    <xf numFmtId="4" fontId="91" fillId="0" borderId="0" xfId="57" applyNumberFormat="1" applyFont="1" applyBorder="1" applyAlignment="1" applyProtection="1">
      <alignment horizontal="center"/>
      <protection/>
    </xf>
    <xf numFmtId="7" fontId="21" fillId="0" borderId="0" xfId="57" applyNumberFormat="1" applyFont="1" applyBorder="1" applyAlignment="1">
      <alignment horizontal="centerContinuous"/>
      <protection/>
    </xf>
    <xf numFmtId="173" fontId="4" fillId="0" borderId="0" xfId="57" applyNumberFormat="1" applyFont="1" applyBorder="1" applyAlignment="1" applyProtection="1">
      <alignment horizontal="left"/>
      <protection/>
    </xf>
    <xf numFmtId="2" fontId="97" fillId="0" borderId="0" xfId="57" applyNumberFormat="1" applyFont="1" applyBorder="1" applyAlignment="1" applyProtection="1">
      <alignment horizontal="center"/>
      <protection/>
    </xf>
    <xf numFmtId="168" fontId="91" fillId="0" borderId="0" xfId="57" applyNumberFormat="1" applyFont="1" applyBorder="1" applyAlignment="1" applyProtection="1" quotePrefix="1">
      <alignment horizontal="center"/>
      <protection/>
    </xf>
    <xf numFmtId="183" fontId="94" fillId="0" borderId="0" xfId="57" applyNumberFormat="1" applyFont="1" applyBorder="1" applyAlignment="1" applyProtection="1">
      <alignment horizontal="centerContinuous"/>
      <protection/>
    </xf>
    <xf numFmtId="4" fontId="94" fillId="0" borderId="0" xfId="57" applyNumberFormat="1" applyFont="1" applyBorder="1" applyAlignment="1" applyProtection="1">
      <alignment horizontal="center"/>
      <protection/>
    </xf>
    <xf numFmtId="7" fontId="94" fillId="0" borderId="0" xfId="57" applyNumberFormat="1" applyFont="1" applyFill="1" applyBorder="1" applyAlignment="1">
      <alignment horizontal="center"/>
      <protection/>
    </xf>
    <xf numFmtId="7" fontId="94" fillId="0" borderId="61" xfId="57" applyNumberFormat="1" applyFont="1" applyFill="1" applyBorder="1" applyAlignment="1">
      <alignment horizontal="center"/>
      <protection/>
    </xf>
    <xf numFmtId="7" fontId="21" fillId="0" borderId="0" xfId="57" applyNumberFormat="1" applyFont="1" applyBorder="1" applyAlignment="1">
      <alignment horizontal="right"/>
      <protection/>
    </xf>
    <xf numFmtId="0" fontId="128" fillId="0" borderId="16" xfId="57" applyFont="1" applyBorder="1" applyAlignment="1">
      <alignment horizontal="center"/>
      <protection/>
    </xf>
    <xf numFmtId="7" fontId="4" fillId="0" borderId="17" xfId="57" applyNumberFormat="1" applyFont="1" applyBorder="1" applyAlignment="1">
      <alignment horizontal="center"/>
      <protection/>
    </xf>
    <xf numFmtId="168" fontId="13" fillId="0" borderId="47" xfId="60" applyNumberFormat="1" applyFont="1" applyBorder="1" applyAlignment="1" applyProtection="1">
      <alignment horizontal="center"/>
      <protection/>
    </xf>
    <xf numFmtId="10" fontId="21" fillId="0" borderId="0" xfId="57" applyNumberFormat="1" applyFont="1" applyBorder="1" applyAlignment="1" applyProtection="1">
      <alignment horizontal="center"/>
      <protection/>
    </xf>
    <xf numFmtId="168" fontId="22" fillId="0" borderId="0" xfId="57" applyNumberFormat="1" applyFont="1" applyBorder="1" applyAlignment="1" applyProtection="1">
      <alignment horizontal="left"/>
      <protection/>
    </xf>
    <xf numFmtId="7" fontId="21" fillId="0" borderId="0" xfId="57" applyNumberFormat="1" applyFont="1" applyAlignment="1">
      <alignment horizontal="right"/>
      <protection/>
    </xf>
    <xf numFmtId="0" fontId="21" fillId="0" borderId="0" xfId="57" applyFont="1" quotePrefix="1">
      <alignment/>
      <protection/>
    </xf>
    <xf numFmtId="168" fontId="21" fillId="0" borderId="0" xfId="57" applyNumberFormat="1" applyFont="1" applyBorder="1" applyAlignment="1" applyProtection="1" quotePrefix="1">
      <alignment horizontal="center"/>
      <protection/>
    </xf>
    <xf numFmtId="7" fontId="21" fillId="0" borderId="0" xfId="57" applyNumberFormat="1" applyFont="1" applyBorder="1" applyAlignment="1" applyProtection="1">
      <alignment horizontal="left"/>
      <protection/>
    </xf>
    <xf numFmtId="0" fontId="95" fillId="0" borderId="0" xfId="57" applyFont="1" quotePrefix="1">
      <alignment/>
      <protection/>
    </xf>
    <xf numFmtId="168" fontId="4" fillId="0" borderId="0" xfId="57" applyNumberFormat="1" applyFont="1" applyBorder="1" applyAlignment="1" applyProtection="1">
      <alignment horizontal="left"/>
      <protection/>
    </xf>
    <xf numFmtId="0" fontId="98" fillId="0" borderId="0" xfId="57" applyFont="1" applyAlignment="1">
      <alignment vertical="center"/>
      <protection/>
    </xf>
    <xf numFmtId="0" fontId="23" fillId="0" borderId="14" xfId="57" applyFont="1" applyBorder="1" applyAlignment="1">
      <alignment vertical="center"/>
      <protection/>
    </xf>
    <xf numFmtId="0" fontId="23" fillId="0" borderId="0" xfId="57" applyFont="1" applyBorder="1" applyAlignment="1">
      <alignment horizontal="center" vertical="center"/>
      <protection/>
    </xf>
    <xf numFmtId="168" fontId="23" fillId="0" borderId="0" xfId="57" applyNumberFormat="1" applyFont="1" applyBorder="1" applyAlignment="1" applyProtection="1">
      <alignment horizontal="left" vertical="center"/>
      <protection/>
    </xf>
    <xf numFmtId="0" fontId="98" fillId="0" borderId="0" xfId="57" applyFont="1" applyAlignment="1" quotePrefix="1">
      <alignment vertical="center"/>
      <protection/>
    </xf>
    <xf numFmtId="0" fontId="23" fillId="0" borderId="0" xfId="57" applyFont="1" applyBorder="1" applyAlignment="1" applyProtection="1">
      <alignment horizontal="center" vertical="center"/>
      <protection/>
    </xf>
    <xf numFmtId="165" fontId="23" fillId="0" borderId="0" xfId="57" applyNumberFormat="1" applyFont="1" applyBorder="1" applyAlignment="1" applyProtection="1">
      <alignment horizontal="center" vertical="center"/>
      <protection/>
    </xf>
    <xf numFmtId="4" fontId="10" fillId="0" borderId="16" xfId="57" applyNumberFormat="1" applyFont="1" applyBorder="1" applyAlignment="1" applyProtection="1">
      <alignment horizontal="center" vertical="center"/>
      <protection/>
    </xf>
    <xf numFmtId="7" fontId="99" fillId="0" borderId="17" xfId="57" applyNumberFormat="1" applyFont="1" applyFill="1" applyBorder="1" applyAlignment="1">
      <alignment horizontal="center" vertical="center"/>
      <protection/>
    </xf>
    <xf numFmtId="0" fontId="102" fillId="0" borderId="0" xfId="57" applyFont="1" applyBorder="1">
      <alignment/>
      <protection/>
    </xf>
    <xf numFmtId="168" fontId="23" fillId="0" borderId="0" xfId="57" applyNumberFormat="1" applyFont="1" applyBorder="1" applyAlignment="1" applyProtection="1">
      <alignment horizontal="center" vertical="center"/>
      <protection/>
    </xf>
    <xf numFmtId="2" fontId="100" fillId="0" borderId="0" xfId="57" applyNumberFormat="1" applyFont="1" applyBorder="1" applyAlignment="1" applyProtection="1">
      <alignment horizontal="center" vertical="center"/>
      <protection/>
    </xf>
    <xf numFmtId="168" fontId="101" fillId="0" borderId="0" xfId="57" applyNumberFormat="1" applyFont="1" applyBorder="1" applyAlignment="1" applyProtection="1" quotePrefix="1">
      <alignment horizontal="center" vertical="center"/>
      <protection/>
    </xf>
    <xf numFmtId="4" fontId="23" fillId="0" borderId="15" xfId="57" applyNumberFormat="1" applyFont="1" applyFill="1" applyBorder="1" applyAlignment="1">
      <alignment horizontal="center" vertical="center"/>
      <protection/>
    </xf>
    <xf numFmtId="0" fontId="21" fillId="0" borderId="18" xfId="57" applyFont="1" applyBorder="1">
      <alignment/>
      <protection/>
    </xf>
    <xf numFmtId="0" fontId="21" fillId="0" borderId="19" xfId="57" applyFont="1" applyBorder="1">
      <alignment/>
      <protection/>
    </xf>
    <xf numFmtId="0" fontId="3" fillId="0" borderId="19" xfId="57" applyBorder="1">
      <alignment/>
      <protection/>
    </xf>
    <xf numFmtId="0" fontId="21" fillId="0" borderId="20" xfId="57" applyFont="1" applyFill="1" applyBorder="1">
      <alignment/>
      <protection/>
    </xf>
    <xf numFmtId="0" fontId="13" fillId="0" borderId="0" xfId="57" applyFont="1" applyBorder="1" applyAlignment="1">
      <alignment horizontal="left"/>
      <protection/>
    </xf>
    <xf numFmtId="0" fontId="129" fillId="0" borderId="41" xfId="64" applyFont="1" applyBorder="1" applyAlignment="1">
      <alignment horizontal="left"/>
      <protection/>
    </xf>
    <xf numFmtId="0" fontId="129" fillId="0" borderId="41" xfId="64" applyFont="1" applyBorder="1" applyAlignment="1">
      <alignment horizontal="center"/>
      <protection/>
    </xf>
    <xf numFmtId="0" fontId="13" fillId="0" borderId="49" xfId="64" applyNumberFormat="1" applyFont="1" applyBorder="1" applyAlignment="1" applyProtection="1">
      <alignment horizontal="center"/>
      <protection locked="0"/>
    </xf>
    <xf numFmtId="0" fontId="13" fillId="0" borderId="0" xfId="60" applyFont="1" applyFill="1">
      <alignment/>
      <protection/>
    </xf>
    <xf numFmtId="0" fontId="13" fillId="0" borderId="0" xfId="60" applyFont="1">
      <alignment/>
      <protection/>
    </xf>
    <xf numFmtId="0" fontId="3" fillId="0" borderId="0" xfId="60">
      <alignment/>
      <protection/>
    </xf>
    <xf numFmtId="0" fontId="11" fillId="0" borderId="0" xfId="60" applyFont="1" applyAlignment="1">
      <alignment horizontal="right" vertical="top"/>
      <protection/>
    </xf>
    <xf numFmtId="0" fontId="81" fillId="0" borderId="0" xfId="60" applyFont="1" applyFill="1">
      <alignment/>
      <protection/>
    </xf>
    <xf numFmtId="0" fontId="82" fillId="0" borderId="0" xfId="60" applyFont="1" applyAlignment="1">
      <alignment horizontal="centerContinuous"/>
      <protection/>
    </xf>
    <xf numFmtId="0" fontId="81" fillId="0" borderId="0" xfId="60" applyFont="1" applyAlignment="1">
      <alignment horizontal="centerContinuous"/>
      <protection/>
    </xf>
    <xf numFmtId="0" fontId="81" fillId="0" borderId="0" xfId="60" applyFont="1">
      <alignment/>
      <protection/>
    </xf>
    <xf numFmtId="0" fontId="6" fillId="0" borderId="0" xfId="60" applyFont="1" applyFill="1" applyBorder="1" applyAlignment="1" applyProtection="1">
      <alignment horizontal="centerContinuous"/>
      <protection/>
    </xf>
    <xf numFmtId="0" fontId="14" fillId="0" borderId="0" xfId="60" applyFont="1">
      <alignment/>
      <protection/>
    </xf>
    <xf numFmtId="0" fontId="13" fillId="0" borderId="11" xfId="60" applyFont="1" applyBorder="1">
      <alignment/>
      <protection/>
    </xf>
    <xf numFmtId="0" fontId="13" fillId="0" borderId="12" xfId="60" applyFont="1" applyBorder="1">
      <alignment/>
      <protection/>
    </xf>
    <xf numFmtId="0" fontId="13" fillId="0" borderId="12" xfId="60" applyFont="1" applyBorder="1" applyAlignment="1" applyProtection="1">
      <alignment horizontal="left"/>
      <protection/>
    </xf>
    <xf numFmtId="0" fontId="3" fillId="0" borderId="12" xfId="60" applyBorder="1">
      <alignment/>
      <protection/>
    </xf>
    <xf numFmtId="0" fontId="13" fillId="0" borderId="13" xfId="60" applyFont="1" applyFill="1" applyBorder="1">
      <alignment/>
      <protection/>
    </xf>
    <xf numFmtId="0" fontId="13" fillId="0" borderId="14" xfId="60" applyFont="1" applyBorder="1">
      <alignment/>
      <protection/>
    </xf>
    <xf numFmtId="0" fontId="13" fillId="0" borderId="0" xfId="60" applyFont="1" applyBorder="1">
      <alignment/>
      <protection/>
    </xf>
    <xf numFmtId="0" fontId="20" fillId="0" borderId="0" xfId="60" applyFont="1" applyBorder="1" applyAlignment="1">
      <alignment horizontal="left"/>
      <protection/>
    </xf>
    <xf numFmtId="0" fontId="19" fillId="0" borderId="0" xfId="60" applyFont="1" applyBorder="1">
      <alignment/>
      <protection/>
    </xf>
    <xf numFmtId="0" fontId="13" fillId="0" borderId="15" xfId="60" applyFont="1" applyFill="1" applyBorder="1">
      <alignment/>
      <protection/>
    </xf>
    <xf numFmtId="0" fontId="23" fillId="0" borderId="0" xfId="60" applyFont="1">
      <alignment/>
      <protection/>
    </xf>
    <xf numFmtId="0" fontId="23" fillId="0" borderId="14" xfId="60" applyFont="1" applyBorder="1">
      <alignment/>
      <protection/>
    </xf>
    <xf numFmtId="0" fontId="23" fillId="0" borderId="0" xfId="60" applyFont="1" applyBorder="1">
      <alignment/>
      <protection/>
    </xf>
    <xf numFmtId="0" fontId="17" fillId="0" borderId="0" xfId="60" applyFont="1" applyBorder="1">
      <alignment/>
      <protection/>
    </xf>
    <xf numFmtId="0" fontId="23" fillId="0" borderId="15" xfId="60" applyFont="1" applyFill="1" applyBorder="1">
      <alignment/>
      <protection/>
    </xf>
    <xf numFmtId="0" fontId="13" fillId="0" borderId="0" xfId="60" applyFont="1" applyBorder="1" applyProtection="1">
      <alignment/>
      <protection/>
    </xf>
    <xf numFmtId="0" fontId="24" fillId="0" borderId="14" xfId="60" applyFont="1" applyBorder="1" applyAlignment="1">
      <alignment horizontal="centerContinuous"/>
      <protection/>
    </xf>
    <xf numFmtId="0" fontId="3" fillId="0" borderId="0" xfId="60" applyNumberFormat="1" applyAlignment="1">
      <alignment horizontal="centerContinuous"/>
      <protection/>
    </xf>
    <xf numFmtId="0" fontId="24" fillId="0" borderId="0" xfId="60" applyFont="1" applyBorder="1" applyAlignment="1">
      <alignment horizontal="centerContinuous"/>
      <protection/>
    </xf>
    <xf numFmtId="0" fontId="23" fillId="0" borderId="0" xfId="60" applyFont="1" applyBorder="1" applyAlignment="1">
      <alignment horizontal="centerContinuous"/>
      <protection/>
    </xf>
    <xf numFmtId="0" fontId="3" fillId="0" borderId="0" xfId="60" applyAlignment="1">
      <alignment horizontal="centerContinuous"/>
      <protection/>
    </xf>
    <xf numFmtId="0" fontId="23" fillId="0" borderId="0" xfId="60" applyFont="1" applyAlignment="1">
      <alignment horizontal="centerContinuous"/>
      <protection/>
    </xf>
    <xf numFmtId="0" fontId="23" fillId="0" borderId="0" xfId="60" applyFont="1" applyAlignment="1">
      <alignment/>
      <protection/>
    </xf>
    <xf numFmtId="0" fontId="23" fillId="0" borderId="15" xfId="60" applyFont="1" applyBorder="1" applyAlignment="1">
      <alignment horizontal="centerContinuous"/>
      <protection/>
    </xf>
    <xf numFmtId="0" fontId="13" fillId="0" borderId="0" xfId="60" applyFont="1" applyBorder="1" applyAlignment="1">
      <alignment horizontal="center"/>
      <protection/>
    </xf>
    <xf numFmtId="0" fontId="83" fillId="0" borderId="0" xfId="60" applyFont="1" applyBorder="1" applyAlignment="1" quotePrefix="1">
      <alignment horizontal="left"/>
      <protection/>
    </xf>
    <xf numFmtId="168" fontId="48" fillId="0" borderId="0" xfId="60" applyNumberFormat="1" applyFont="1" applyBorder="1" applyAlignment="1" applyProtection="1">
      <alignment horizontal="left"/>
      <protection/>
    </xf>
    <xf numFmtId="0" fontId="3" fillId="0" borderId="0" xfId="60" applyBorder="1">
      <alignment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Border="1">
      <alignment/>
      <protection/>
    </xf>
    <xf numFmtId="0" fontId="21" fillId="0" borderId="0" xfId="60" applyFont="1">
      <alignment/>
      <protection/>
    </xf>
    <xf numFmtId="0" fontId="21" fillId="0" borderId="14" xfId="60" applyFont="1" applyBorder="1">
      <alignment/>
      <protection/>
    </xf>
    <xf numFmtId="0" fontId="21" fillId="0" borderId="0" xfId="60" applyFont="1" applyBorder="1">
      <alignment/>
      <protection/>
    </xf>
    <xf numFmtId="0" fontId="21" fillId="0" borderId="0" xfId="60" applyFont="1" applyBorder="1" applyAlignment="1">
      <alignment horizontal="right"/>
      <protection/>
    </xf>
    <xf numFmtId="7" fontId="21" fillId="0" borderId="0" xfId="60" applyNumberFormat="1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  <xf numFmtId="0" fontId="84" fillId="0" borderId="0" xfId="60" applyFont="1" applyBorder="1" applyAlignment="1" quotePrefix="1">
      <alignment horizontal="left"/>
      <protection/>
    </xf>
    <xf numFmtId="0" fontId="21" fillId="0" borderId="15" xfId="60" applyFont="1" applyFill="1" applyBorder="1">
      <alignment/>
      <protection/>
    </xf>
    <xf numFmtId="0" fontId="21" fillId="0" borderId="0" xfId="60" applyFont="1" applyBorder="1" applyAlignment="1" applyProtection="1">
      <alignment horizontal="left"/>
      <protection/>
    </xf>
    <xf numFmtId="174" fontId="21" fillId="0" borderId="0" xfId="60" applyNumberFormat="1" applyFont="1" applyBorder="1" applyAlignment="1">
      <alignment horizontal="center"/>
      <protection/>
    </xf>
    <xf numFmtId="168" fontId="21" fillId="0" borderId="0" xfId="60" applyNumberFormat="1" applyFont="1" applyBorder="1" applyAlignment="1" applyProtection="1">
      <alignment horizontal="left"/>
      <protection/>
    </xf>
    <xf numFmtId="0" fontId="21" fillId="0" borderId="0" xfId="60" applyFont="1" applyAlignment="1">
      <alignment horizontal="right"/>
      <protection/>
    </xf>
    <xf numFmtId="10" fontId="21" fillId="0" borderId="0" xfId="60" applyNumberFormat="1" applyFont="1" applyBorder="1" applyAlignment="1" applyProtection="1">
      <alignment horizontal="right"/>
      <protection/>
    </xf>
    <xf numFmtId="0" fontId="21" fillId="0" borderId="0" xfId="60" applyFont="1" applyBorder="1" applyAlignment="1">
      <alignment horizontal="left"/>
      <protection/>
    </xf>
    <xf numFmtId="174" fontId="21" fillId="0" borderId="0" xfId="60" applyNumberFormat="1" applyFont="1" applyBorder="1" applyAlignment="1" applyProtection="1">
      <alignment horizontal="center"/>
      <protection/>
    </xf>
    <xf numFmtId="7" fontId="21" fillId="0" borderId="0" xfId="60" applyNumberFormat="1" applyFont="1" applyBorder="1" applyAlignment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174" fontId="3" fillId="0" borderId="0" xfId="60" applyNumberFormat="1" applyFont="1" applyBorder="1" applyAlignment="1">
      <alignment horizontal="centerContinuous"/>
      <protection/>
    </xf>
    <xf numFmtId="1" fontId="48" fillId="0" borderId="0" xfId="60" applyNumberFormat="1" applyFont="1" applyBorder="1" applyAlignment="1" applyProtection="1">
      <alignment horizontal="center"/>
      <protection/>
    </xf>
    <xf numFmtId="0" fontId="21" fillId="0" borderId="0" xfId="60" applyFont="1" applyBorder="1" applyAlignment="1" applyProtection="1">
      <alignment horizontal="center"/>
      <protection/>
    </xf>
    <xf numFmtId="0" fontId="22" fillId="0" borderId="0" xfId="60" applyFont="1" applyBorder="1">
      <alignment/>
      <protection/>
    </xf>
    <xf numFmtId="168" fontId="10" fillId="0" borderId="16" xfId="60" applyNumberFormat="1" applyFont="1" applyBorder="1" applyAlignment="1" applyProtection="1">
      <alignment horizontal="center"/>
      <protection/>
    </xf>
    <xf numFmtId="183" fontId="10" fillId="0" borderId="17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"/>
      <protection/>
    </xf>
    <xf numFmtId="0" fontId="30" fillId="0" borderId="21" xfId="60" applyFont="1" applyBorder="1" applyAlignment="1">
      <alignment horizontal="center" vertical="center"/>
      <protection/>
    </xf>
    <xf numFmtId="164" fontId="30" fillId="0" borderId="17" xfId="60" applyNumberFormat="1" applyFont="1" applyBorder="1" applyAlignment="1" applyProtection="1">
      <alignment horizontal="center" vertical="center" wrapText="1"/>
      <protection/>
    </xf>
    <xf numFmtId="0" fontId="30" fillId="0" borderId="22" xfId="60" applyFont="1" applyBorder="1" applyAlignment="1" applyProtection="1">
      <alignment horizontal="center" vertical="center" wrapText="1"/>
      <protection/>
    </xf>
    <xf numFmtId="168" fontId="30" fillId="0" borderId="21" xfId="60" applyNumberFormat="1" applyFont="1" applyBorder="1" applyAlignment="1" applyProtection="1">
      <alignment horizontal="center" vertical="center"/>
      <protection/>
    </xf>
    <xf numFmtId="168" fontId="60" fillId="16" borderId="21" xfId="60" applyNumberFormat="1" applyFont="1" applyFill="1" applyBorder="1" applyAlignment="1" applyProtection="1">
      <alignment horizontal="center" vertical="center"/>
      <protection/>
    </xf>
    <xf numFmtId="0" fontId="62" fillId="25" borderId="21" xfId="60" applyFont="1" applyFill="1" applyBorder="1" applyAlignment="1" applyProtection="1">
      <alignment horizontal="center" vertical="center"/>
      <protection/>
    </xf>
    <xf numFmtId="0" fontId="30" fillId="0" borderId="21" xfId="60" applyFont="1" applyBorder="1" applyAlignment="1" applyProtection="1">
      <alignment horizontal="center" vertical="center"/>
      <protection/>
    </xf>
    <xf numFmtId="0" fontId="30" fillId="0" borderId="16" xfId="60" applyFont="1" applyBorder="1" applyAlignment="1" applyProtection="1">
      <alignment horizontal="center" vertical="center"/>
      <protection/>
    </xf>
    <xf numFmtId="0" fontId="30" fillId="0" borderId="16" xfId="60" applyFont="1" applyBorder="1" applyAlignment="1" applyProtection="1">
      <alignment horizontal="center" vertical="center" wrapText="1"/>
      <protection/>
    </xf>
    <xf numFmtId="0" fontId="30" fillId="0" borderId="21" xfId="60" applyFont="1" applyBorder="1" applyAlignment="1" applyProtection="1">
      <alignment horizontal="center" vertical="center" wrapText="1"/>
      <protection/>
    </xf>
    <xf numFmtId="0" fontId="62" fillId="29" borderId="21" xfId="60" applyFont="1" applyFill="1" applyBorder="1" applyAlignment="1">
      <alignment horizontal="center" vertical="center" wrapText="1"/>
      <protection/>
    </xf>
    <xf numFmtId="0" fontId="61" fillId="6" borderId="21" xfId="60" applyFont="1" applyFill="1" applyBorder="1" applyAlignment="1">
      <alignment horizontal="center" vertical="center" wrapText="1"/>
      <protection/>
    </xf>
    <xf numFmtId="0" fontId="85" fillId="26" borderId="16" xfId="60" applyFont="1" applyFill="1" applyBorder="1" applyAlignment="1" applyProtection="1">
      <alignment horizontal="centerContinuous" vertical="center" wrapText="1"/>
      <protection/>
    </xf>
    <xf numFmtId="0" fontId="86" fillId="26" borderId="22" xfId="60" applyFont="1" applyFill="1" applyBorder="1" applyAlignment="1">
      <alignment horizontal="centerContinuous"/>
      <protection/>
    </xf>
    <xf numFmtId="0" fontId="85" fillId="26" borderId="17" xfId="60" applyFont="1" applyFill="1" applyBorder="1" applyAlignment="1">
      <alignment horizontal="centerContinuous" vertical="center"/>
      <protection/>
    </xf>
    <xf numFmtId="0" fontId="62" fillId="11" borderId="16" xfId="60" applyFont="1" applyFill="1" applyBorder="1" applyAlignment="1">
      <alignment horizontal="centerContinuous" vertical="center" wrapText="1"/>
      <protection/>
    </xf>
    <xf numFmtId="0" fontId="87" fillId="11" borderId="22" xfId="60" applyFont="1" applyFill="1" applyBorder="1" applyAlignment="1">
      <alignment horizontal="centerContinuous"/>
      <protection/>
    </xf>
    <xf numFmtId="0" fontId="62" fillId="11" borderId="17" xfId="60" applyFont="1" applyFill="1" applyBorder="1" applyAlignment="1">
      <alignment horizontal="centerContinuous" vertical="center"/>
      <protection/>
    </xf>
    <xf numFmtId="0" fontId="62" fillId="3" borderId="21" xfId="60" applyFont="1" applyFill="1" applyBorder="1" applyAlignment="1">
      <alignment horizontal="centerContinuous" vertical="center" wrapText="1"/>
      <protection/>
    </xf>
    <xf numFmtId="0" fontId="62" fillId="9" borderId="21" xfId="60" applyFont="1" applyFill="1" applyBorder="1" applyAlignment="1">
      <alignment horizontal="centerContinuous" vertical="center" wrapText="1"/>
      <protection/>
    </xf>
    <xf numFmtId="0" fontId="30" fillId="0" borderId="17" xfId="60" applyFont="1" applyBorder="1" applyAlignment="1">
      <alignment horizontal="center" vertical="center" wrapText="1"/>
      <protection/>
    </xf>
    <xf numFmtId="0" fontId="30" fillId="0" borderId="21" xfId="60" applyFont="1" applyFill="1" applyBorder="1" applyAlignment="1">
      <alignment horizontal="center" vertical="center" wrapText="1"/>
      <protection/>
    </xf>
    <xf numFmtId="0" fontId="13" fillId="0" borderId="15" xfId="60" applyFont="1" applyFill="1" applyBorder="1" applyAlignment="1">
      <alignment horizontal="center"/>
      <protection/>
    </xf>
    <xf numFmtId="0" fontId="13" fillId="0" borderId="28" xfId="60" applyFont="1" applyBorder="1" applyAlignment="1">
      <alignment horizontal="center"/>
      <protection/>
    </xf>
    <xf numFmtId="0" fontId="21" fillId="0" borderId="28" xfId="60" applyFont="1" applyBorder="1">
      <alignment/>
      <protection/>
    </xf>
    <xf numFmtId="164" fontId="21" fillId="0" borderId="29" xfId="60" applyNumberFormat="1" applyFont="1" applyBorder="1" applyProtection="1">
      <alignment/>
      <protection/>
    </xf>
    <xf numFmtId="164" fontId="21" fillId="0" borderId="28" xfId="60" applyNumberFormat="1" applyFont="1" applyBorder="1" applyAlignment="1" applyProtection="1">
      <alignment horizontal="center"/>
      <protection/>
    </xf>
    <xf numFmtId="164" fontId="21" fillId="0" borderId="23" xfId="60" applyNumberFormat="1" applyFont="1" applyBorder="1" applyAlignment="1" applyProtection="1">
      <alignment horizontal="center"/>
      <protection/>
    </xf>
    <xf numFmtId="164" fontId="88" fillId="16" borderId="23" xfId="60" applyNumberFormat="1" applyFont="1" applyFill="1" applyBorder="1" applyAlignment="1" applyProtection="1">
      <alignment horizontal="center"/>
      <protection/>
    </xf>
    <xf numFmtId="0" fontId="89" fillId="25" borderId="23" xfId="60" applyFont="1" applyFill="1" applyBorder="1" applyAlignment="1">
      <alignment horizontal="center"/>
      <protection/>
    </xf>
    <xf numFmtId="0" fontId="21" fillId="0" borderId="23" xfId="60" applyFont="1" applyBorder="1" applyAlignment="1">
      <alignment horizontal="center"/>
      <protection/>
    </xf>
    <xf numFmtId="0" fontId="21" fillId="0" borderId="70" xfId="60" applyFont="1" applyBorder="1" applyAlignment="1">
      <alignment horizontal="center"/>
      <protection/>
    </xf>
    <xf numFmtId="0" fontId="13" fillId="0" borderId="29" xfId="60" applyFont="1" applyBorder="1" applyAlignment="1">
      <alignment horizontal="center"/>
      <protection/>
    </xf>
    <xf numFmtId="0" fontId="13" fillId="0" borderId="23" xfId="60" applyFont="1" applyBorder="1" applyAlignment="1">
      <alignment horizontal="center"/>
      <protection/>
    </xf>
    <xf numFmtId="0" fontId="64" fillId="29" borderId="23" xfId="60" applyFont="1" applyFill="1" applyBorder="1" applyAlignment="1">
      <alignment horizontal="center"/>
      <protection/>
    </xf>
    <xf numFmtId="0" fontId="80" fillId="6" borderId="23" xfId="60" applyFont="1" applyFill="1" applyBorder="1" applyAlignment="1">
      <alignment horizontal="center"/>
      <protection/>
    </xf>
    <xf numFmtId="168" fontId="90" fillId="26" borderId="24" xfId="60" applyNumberFormat="1" applyFont="1" applyFill="1" applyBorder="1" applyAlignment="1" applyProtection="1" quotePrefix="1">
      <alignment horizontal="center"/>
      <protection/>
    </xf>
    <xf numFmtId="168" fontId="90" fillId="26" borderId="71" xfId="60" applyNumberFormat="1" applyFont="1" applyFill="1" applyBorder="1" applyAlignment="1" applyProtection="1" quotePrefix="1">
      <alignment horizontal="center"/>
      <protection/>
    </xf>
    <xf numFmtId="4" fontId="90" fillId="26" borderId="72" xfId="60" applyNumberFormat="1" applyFont="1" applyFill="1" applyBorder="1" applyAlignment="1" applyProtection="1">
      <alignment horizontal="center"/>
      <protection/>
    </xf>
    <xf numFmtId="168" fontId="64" fillId="11" borderId="24" xfId="60" applyNumberFormat="1" applyFont="1" applyFill="1" applyBorder="1" applyAlignment="1" applyProtection="1" quotePrefix="1">
      <alignment horizontal="center"/>
      <protection/>
    </xf>
    <xf numFmtId="168" fontId="64" fillId="11" borderId="71" xfId="60" applyNumberFormat="1" applyFont="1" applyFill="1" applyBorder="1" applyAlignment="1" applyProtection="1" quotePrefix="1">
      <alignment horizontal="center"/>
      <protection/>
    </xf>
    <xf numFmtId="4" fontId="64" fillId="11" borderId="72" xfId="60" applyNumberFormat="1" applyFont="1" applyFill="1" applyBorder="1" applyAlignment="1" applyProtection="1">
      <alignment horizontal="center"/>
      <protection/>
    </xf>
    <xf numFmtId="4" fontId="64" fillId="3" borderId="23" xfId="60" applyNumberFormat="1" applyFont="1" applyFill="1" applyBorder="1" applyAlignment="1" applyProtection="1">
      <alignment horizontal="center"/>
      <protection/>
    </xf>
    <xf numFmtId="4" fontId="64" fillId="9" borderId="23" xfId="60" applyNumberFormat="1" applyFont="1" applyFill="1" applyBorder="1" applyAlignment="1" applyProtection="1">
      <alignment horizontal="center"/>
      <protection/>
    </xf>
    <xf numFmtId="0" fontId="13" fillId="0" borderId="72" xfId="60" applyFont="1" applyBorder="1" applyAlignment="1">
      <alignment horizontal="left"/>
      <protection/>
    </xf>
    <xf numFmtId="0" fontId="48" fillId="0" borderId="72" xfId="60" applyFont="1" applyBorder="1" applyAlignment="1">
      <alignment horizontal="center"/>
      <protection/>
    </xf>
    <xf numFmtId="164" fontId="13" fillId="0" borderId="28" xfId="60" applyNumberFormat="1" applyFont="1" applyBorder="1" applyAlignment="1" applyProtection="1">
      <alignment horizontal="center"/>
      <protection/>
    </xf>
    <xf numFmtId="0" fontId="88" fillId="16" borderId="28" xfId="60" applyFont="1" applyFill="1" applyBorder="1" applyAlignment="1" applyProtection="1">
      <alignment horizontal="center"/>
      <protection/>
    </xf>
    <xf numFmtId="168" fontId="89" fillId="25" borderId="28" xfId="60" applyNumberFormat="1" applyFont="1" applyFill="1" applyBorder="1" applyAlignment="1" applyProtection="1">
      <alignment horizontal="center"/>
      <protection/>
    </xf>
    <xf numFmtId="4" fontId="13" fillId="0" borderId="28" xfId="60" applyNumberFormat="1" applyFont="1" applyFill="1" applyBorder="1" applyAlignment="1" applyProtection="1" quotePrefix="1">
      <alignment horizontal="center"/>
      <protection/>
    </xf>
    <xf numFmtId="164" fontId="13" fillId="0" borderId="28" xfId="60" applyNumberFormat="1" applyFont="1" applyFill="1" applyBorder="1" applyAlignment="1" applyProtection="1" quotePrefix="1">
      <alignment horizontal="center"/>
      <protection/>
    </xf>
    <xf numFmtId="168" fontId="13" fillId="0" borderId="29" xfId="60" applyNumberFormat="1" applyFont="1" applyBorder="1" applyAlignment="1" applyProtection="1">
      <alignment horizontal="center"/>
      <protection/>
    </xf>
    <xf numFmtId="173" fontId="13" fillId="0" borderId="29" xfId="60" applyNumberFormat="1" applyFont="1" applyBorder="1" applyAlignment="1" applyProtection="1" quotePrefix="1">
      <alignment horizontal="center"/>
      <protection/>
    </xf>
    <xf numFmtId="168" fontId="13" fillId="0" borderId="28" xfId="60" applyNumberFormat="1" applyFont="1" applyBorder="1" applyAlignment="1" applyProtection="1">
      <alignment horizontal="center"/>
      <protection/>
    </xf>
    <xf numFmtId="2" fontId="64" fillId="29" borderId="28" xfId="60" applyNumberFormat="1" applyFont="1" applyFill="1" applyBorder="1" applyAlignment="1" applyProtection="1">
      <alignment horizontal="center"/>
      <protection/>
    </xf>
    <xf numFmtId="2" fontId="80" fillId="6" borderId="28" xfId="60" applyNumberFormat="1" applyFont="1" applyFill="1" applyBorder="1" applyAlignment="1" applyProtection="1">
      <alignment horizontal="center"/>
      <protection/>
    </xf>
    <xf numFmtId="168" fontId="90" fillId="26" borderId="30" xfId="60" applyNumberFormat="1" applyFont="1" applyFill="1" applyBorder="1" applyAlignment="1" applyProtection="1" quotePrefix="1">
      <alignment horizontal="center"/>
      <protection/>
    </xf>
    <xf numFmtId="168" fontId="90" fillId="26" borderId="31" xfId="60" applyNumberFormat="1" applyFont="1" applyFill="1" applyBorder="1" applyAlignment="1" applyProtection="1" quotePrefix="1">
      <alignment horizontal="center"/>
      <protection/>
    </xf>
    <xf numFmtId="4" fontId="90" fillId="26" borderId="29" xfId="60" applyNumberFormat="1" applyFont="1" applyFill="1" applyBorder="1" applyAlignment="1" applyProtection="1">
      <alignment horizontal="center"/>
      <protection/>
    </xf>
    <xf numFmtId="168" fontId="64" fillId="11" borderId="30" xfId="60" applyNumberFormat="1" applyFont="1" applyFill="1" applyBorder="1" applyAlignment="1" applyProtection="1" quotePrefix="1">
      <alignment horizontal="center"/>
      <protection/>
    </xf>
    <xf numFmtId="168" fontId="64" fillId="11" borderId="31" xfId="60" applyNumberFormat="1" applyFont="1" applyFill="1" applyBorder="1" applyAlignment="1" applyProtection="1" quotePrefix="1">
      <alignment horizontal="center"/>
      <protection/>
    </xf>
    <xf numFmtId="4" fontId="64" fillId="11" borderId="29" xfId="60" applyNumberFormat="1" applyFont="1" applyFill="1" applyBorder="1" applyAlignment="1" applyProtection="1">
      <alignment horizontal="center"/>
      <protection/>
    </xf>
    <xf numFmtId="4" fontId="64" fillId="3" borderId="28" xfId="60" applyNumberFormat="1" applyFont="1" applyFill="1" applyBorder="1" applyAlignment="1" applyProtection="1">
      <alignment horizontal="center"/>
      <protection/>
    </xf>
    <xf numFmtId="4" fontId="64" fillId="9" borderId="28" xfId="60" applyNumberFormat="1" applyFont="1" applyFill="1" applyBorder="1" applyAlignment="1" applyProtection="1">
      <alignment horizontal="center"/>
      <protection/>
    </xf>
    <xf numFmtId="4" fontId="13" fillId="0" borderId="29" xfId="60" applyNumberFormat="1" applyFont="1" applyBorder="1" applyAlignment="1" applyProtection="1">
      <alignment horizontal="center"/>
      <protection/>
    </xf>
    <xf numFmtId="4" fontId="48" fillId="0" borderId="29" xfId="60" applyNumberFormat="1" applyFont="1" applyFill="1" applyBorder="1" applyAlignment="1">
      <alignment horizontal="right"/>
      <protection/>
    </xf>
    <xf numFmtId="0" fontId="13" fillId="0" borderId="27" xfId="63" applyFont="1" applyFill="1" applyBorder="1" applyAlignment="1" applyProtection="1">
      <alignment horizontal="center"/>
      <protection locked="0"/>
    </xf>
    <xf numFmtId="164" fontId="13" fillId="0" borderId="27" xfId="63" applyNumberFormat="1" applyFont="1" applyFill="1" applyBorder="1" applyAlignment="1" applyProtection="1">
      <alignment horizontal="center"/>
      <protection locked="0"/>
    </xf>
    <xf numFmtId="170" fontId="13" fillId="0" borderId="27" xfId="63" applyNumberFormat="1" applyFont="1" applyFill="1" applyBorder="1" applyAlignment="1" applyProtection="1">
      <alignment horizontal="center"/>
      <protection locked="0"/>
    </xf>
    <xf numFmtId="0" fontId="13" fillId="0" borderId="36" xfId="60" applyFont="1" applyBorder="1" applyAlignment="1">
      <alignment horizontal="center"/>
      <protection/>
    </xf>
    <xf numFmtId="0" fontId="21" fillId="0" borderId="36" xfId="60" applyFont="1" applyBorder="1" applyAlignment="1">
      <alignment horizontal="center"/>
      <protection/>
    </xf>
    <xf numFmtId="164" fontId="91" fillId="0" borderId="36" xfId="60" applyNumberFormat="1" applyFont="1" applyBorder="1" applyAlignment="1" applyProtection="1">
      <alignment horizontal="center"/>
      <protection/>
    </xf>
    <xf numFmtId="0" fontId="21" fillId="0" borderId="36" xfId="60" applyFont="1" applyBorder="1" applyAlignment="1" applyProtection="1">
      <alignment horizontal="center"/>
      <protection/>
    </xf>
    <xf numFmtId="165" fontId="21" fillId="0" borderId="36" xfId="60" applyNumberFormat="1" applyFont="1" applyBorder="1" applyAlignment="1" applyProtection="1">
      <alignment horizontal="center"/>
      <protection/>
    </xf>
    <xf numFmtId="165" fontId="88" fillId="16" borderId="36" xfId="60" applyNumberFormat="1" applyFont="1" applyFill="1" applyBorder="1" applyAlignment="1" applyProtection="1">
      <alignment horizontal="center"/>
      <protection/>
    </xf>
    <xf numFmtId="168" fontId="89" fillId="25" borderId="36" xfId="60" applyNumberFormat="1" applyFont="1" applyFill="1" applyBorder="1" applyAlignment="1" applyProtection="1">
      <alignment horizontal="center"/>
      <protection/>
    </xf>
    <xf numFmtId="168" fontId="21" fillId="0" borderId="36" xfId="60" applyNumberFormat="1" applyFont="1" applyBorder="1" applyAlignment="1" applyProtection="1">
      <alignment horizontal="center"/>
      <protection/>
    </xf>
    <xf numFmtId="168" fontId="13" fillId="0" borderId="36" xfId="60" applyNumberFormat="1" applyFont="1" applyBorder="1" applyAlignment="1" applyProtection="1">
      <alignment horizontal="center"/>
      <protection/>
    </xf>
    <xf numFmtId="173" fontId="13" fillId="0" borderId="36" xfId="60" applyNumberFormat="1" applyFont="1" applyBorder="1" applyAlignment="1" applyProtection="1" quotePrefix="1">
      <alignment horizontal="center"/>
      <protection/>
    </xf>
    <xf numFmtId="2" fontId="64" fillId="29" borderId="36" xfId="60" applyNumberFormat="1" applyFont="1" applyFill="1" applyBorder="1" applyAlignment="1" applyProtection="1">
      <alignment horizontal="center"/>
      <protection/>
    </xf>
    <xf numFmtId="2" fontId="80" fillId="6" borderId="36" xfId="60" applyNumberFormat="1" applyFont="1" applyFill="1" applyBorder="1" applyAlignment="1" applyProtection="1">
      <alignment horizontal="center"/>
      <protection/>
    </xf>
    <xf numFmtId="168" fontId="90" fillId="26" borderId="37" xfId="60" applyNumberFormat="1" applyFont="1" applyFill="1" applyBorder="1" applyAlignment="1" applyProtection="1" quotePrefix="1">
      <alignment horizontal="center"/>
      <protection/>
    </xf>
    <xf numFmtId="168" fontId="90" fillId="26" borderId="73" xfId="60" applyNumberFormat="1" applyFont="1" applyFill="1" applyBorder="1" applyAlignment="1" applyProtection="1" quotePrefix="1">
      <alignment horizontal="center"/>
      <protection/>
    </xf>
    <xf numFmtId="4" fontId="90" fillId="26" borderId="50" xfId="60" applyNumberFormat="1" applyFont="1" applyFill="1" applyBorder="1" applyAlignment="1" applyProtection="1">
      <alignment horizontal="center"/>
      <protection/>
    </xf>
    <xf numFmtId="168" fontId="64" fillId="11" borderId="37" xfId="60" applyNumberFormat="1" applyFont="1" applyFill="1" applyBorder="1" applyAlignment="1" applyProtection="1" quotePrefix="1">
      <alignment horizontal="center"/>
      <protection/>
    </xf>
    <xf numFmtId="168" fontId="64" fillId="11" borderId="73" xfId="60" applyNumberFormat="1" applyFont="1" applyFill="1" applyBorder="1" applyAlignment="1" applyProtection="1" quotePrefix="1">
      <alignment horizontal="center"/>
      <protection/>
    </xf>
    <xf numFmtId="4" fontId="64" fillId="11" borderId="50" xfId="60" applyNumberFormat="1" applyFont="1" applyFill="1" applyBorder="1" applyAlignment="1" applyProtection="1">
      <alignment horizontal="center"/>
      <protection/>
    </xf>
    <xf numFmtId="4" fontId="64" fillId="3" borderId="36" xfId="60" applyNumberFormat="1" applyFont="1" applyFill="1" applyBorder="1" applyAlignment="1" applyProtection="1">
      <alignment horizontal="center"/>
      <protection/>
    </xf>
    <xf numFmtId="4" fontId="64" fillId="9" borderId="36" xfId="60" applyNumberFormat="1" applyFont="1" applyFill="1" applyBorder="1" applyAlignment="1" applyProtection="1">
      <alignment horizontal="center"/>
      <protection/>
    </xf>
    <xf numFmtId="4" fontId="49" fillId="0" borderId="36" xfId="60" applyNumberFormat="1" applyFont="1" applyBorder="1" applyAlignment="1" applyProtection="1">
      <alignment horizontal="center"/>
      <protection/>
    </xf>
    <xf numFmtId="168" fontId="65" fillId="0" borderId="36" xfId="60" applyNumberFormat="1" applyFont="1" applyFill="1" applyBorder="1" applyAlignment="1">
      <alignment horizontal="center"/>
      <protection/>
    </xf>
    <xf numFmtId="4" fontId="13" fillId="0" borderId="15" xfId="60" applyNumberFormat="1" applyFont="1" applyFill="1" applyBorder="1" applyAlignment="1">
      <alignment horizontal="center"/>
      <protection/>
    </xf>
    <xf numFmtId="164" fontId="91" fillId="0" borderId="0" xfId="60" applyNumberFormat="1" applyFont="1" applyBorder="1" applyAlignment="1" applyProtection="1">
      <alignment horizontal="center"/>
      <protection/>
    </xf>
    <xf numFmtId="165" fontId="21" fillId="0" borderId="0" xfId="60" applyNumberFormat="1" applyFont="1" applyBorder="1" applyAlignment="1" applyProtection="1">
      <alignment horizontal="center"/>
      <protection/>
    </xf>
    <xf numFmtId="168" fontId="21" fillId="0" borderId="0" xfId="60" applyNumberFormat="1" applyFont="1" applyBorder="1" applyAlignment="1" applyProtection="1">
      <alignment horizontal="center"/>
      <protection/>
    </xf>
    <xf numFmtId="173" fontId="21" fillId="0" borderId="0" xfId="60" applyNumberFormat="1" applyFont="1" applyBorder="1" applyAlignment="1" applyProtection="1" quotePrefix="1">
      <alignment horizontal="center"/>
      <protection/>
    </xf>
    <xf numFmtId="2" fontId="89" fillId="29" borderId="21" xfId="60" applyNumberFormat="1" applyFont="1" applyFill="1" applyBorder="1" applyAlignment="1" applyProtection="1">
      <alignment horizontal="center"/>
      <protection/>
    </xf>
    <xf numFmtId="2" fontId="76" fillId="6" borderId="21" xfId="60" applyNumberFormat="1" applyFont="1" applyFill="1" applyBorder="1" applyAlignment="1" applyProtection="1">
      <alignment horizontal="center"/>
      <protection/>
    </xf>
    <xf numFmtId="2" fontId="92" fillId="26" borderId="21" xfId="60" applyNumberFormat="1" applyFont="1" applyFill="1" applyBorder="1" applyAlignment="1" applyProtection="1">
      <alignment horizontal="center"/>
      <protection/>
    </xf>
    <xf numFmtId="2" fontId="89" fillId="11" borderId="21" xfId="60" applyNumberFormat="1" applyFont="1" applyFill="1" applyBorder="1" applyAlignment="1" applyProtection="1">
      <alignment horizontal="center"/>
      <protection/>
    </xf>
    <xf numFmtId="2" fontId="89" fillId="3" borderId="21" xfId="60" applyNumberFormat="1" applyFont="1" applyFill="1" applyBorder="1" applyAlignment="1" applyProtection="1">
      <alignment horizontal="center"/>
      <protection/>
    </xf>
    <xf numFmtId="2" fontId="89" fillId="9" borderId="21" xfId="60" applyNumberFormat="1" applyFont="1" applyFill="1" applyBorder="1" applyAlignment="1" applyProtection="1">
      <alignment horizontal="center"/>
      <protection/>
    </xf>
    <xf numFmtId="2" fontId="21" fillId="0" borderId="44" xfId="60" applyNumberFormat="1" applyFont="1" applyBorder="1" applyAlignment="1" applyProtection="1">
      <alignment horizontal="center"/>
      <protection/>
    </xf>
    <xf numFmtId="7" fontId="48" fillId="0" borderId="21" xfId="60" applyNumberFormat="1" applyFont="1" applyBorder="1" applyAlignment="1" applyProtection="1">
      <alignment horizontal="right"/>
      <protection/>
    </xf>
    <xf numFmtId="0" fontId="48" fillId="0" borderId="0" xfId="60" applyFont="1" applyBorder="1" applyAlignment="1">
      <alignment horizontal="left"/>
      <protection/>
    </xf>
    <xf numFmtId="0" fontId="48" fillId="0" borderId="0" xfId="60" applyFont="1" applyBorder="1" applyAlignment="1">
      <alignment horizontal="center"/>
      <protection/>
    </xf>
    <xf numFmtId="165" fontId="48" fillId="0" borderId="0" xfId="60" applyNumberFormat="1" applyFont="1" applyBorder="1" applyAlignment="1" applyProtection="1">
      <alignment horizontal="center"/>
      <protection/>
    </xf>
    <xf numFmtId="0" fontId="30" fillId="0" borderId="0" xfId="60" applyFont="1">
      <alignment/>
      <protection/>
    </xf>
    <xf numFmtId="168" fontId="48" fillId="0" borderId="0" xfId="60" applyNumberFormat="1" applyFont="1" applyBorder="1" applyAlignment="1" applyProtection="1">
      <alignment horizontal="center"/>
      <protection/>
    </xf>
    <xf numFmtId="2" fontId="89" fillId="0" borderId="22" xfId="60" applyNumberFormat="1" applyFont="1" applyFill="1" applyBorder="1" applyAlignment="1" applyProtection="1">
      <alignment horizontal="center"/>
      <protection/>
    </xf>
    <xf numFmtId="2" fontId="76" fillId="0" borderId="22" xfId="60" applyNumberFormat="1" applyFont="1" applyFill="1" applyBorder="1" applyAlignment="1" applyProtection="1">
      <alignment horizontal="center"/>
      <protection/>
    </xf>
    <xf numFmtId="2" fontId="92" fillId="0" borderId="22" xfId="60" applyNumberFormat="1" applyFont="1" applyFill="1" applyBorder="1" applyAlignment="1" applyProtection="1">
      <alignment horizontal="center"/>
      <protection/>
    </xf>
    <xf numFmtId="2" fontId="21" fillId="0" borderId="0" xfId="60" applyNumberFormat="1" applyFont="1" applyBorder="1" applyAlignment="1" applyProtection="1">
      <alignment horizontal="center"/>
      <protection/>
    </xf>
    <xf numFmtId="7" fontId="21" fillId="0" borderId="0" xfId="60" applyNumberFormat="1" applyFont="1" applyBorder="1" applyAlignment="1" applyProtection="1">
      <alignment horizontal="center"/>
      <protection/>
    </xf>
    <xf numFmtId="0" fontId="13" fillId="0" borderId="14" xfId="60" applyFont="1" applyFill="1" applyBorder="1">
      <alignment/>
      <protection/>
    </xf>
    <xf numFmtId="0" fontId="30" fillId="0" borderId="21" xfId="60" applyFont="1" applyFill="1" applyBorder="1" applyAlignment="1">
      <alignment horizontal="center" vertical="center"/>
      <protection/>
    </xf>
    <xf numFmtId="0" fontId="30" fillId="0" borderId="21" xfId="60" applyFont="1" applyFill="1" applyBorder="1" applyAlignment="1" applyProtection="1">
      <alignment horizontal="center" vertical="center" wrapText="1"/>
      <protection/>
    </xf>
    <xf numFmtId="0" fontId="60" fillId="16" borderId="21" xfId="60" applyFont="1" applyFill="1" applyBorder="1" applyAlignment="1" applyProtection="1">
      <alignment horizontal="center" vertical="center"/>
      <protection/>
    </xf>
    <xf numFmtId="0" fontId="30" fillId="0" borderId="21" xfId="60" applyFont="1" applyBorder="1" applyAlignment="1">
      <alignment horizontal="center" vertical="center" wrapText="1"/>
      <protection/>
    </xf>
    <xf numFmtId="0" fontId="13" fillId="0" borderId="28" xfId="60" applyFont="1" applyFill="1" applyBorder="1" applyAlignment="1">
      <alignment horizontal="center"/>
      <protection/>
    </xf>
    <xf numFmtId="0" fontId="93" fillId="32" borderId="28" xfId="60" applyFont="1" applyFill="1" applyBorder="1" applyAlignment="1">
      <alignment horizontal="center"/>
      <protection/>
    </xf>
    <xf numFmtId="0" fontId="29" fillId="32" borderId="0" xfId="60" applyFont="1" applyFill="1" applyBorder="1" applyAlignment="1">
      <alignment horizontal="left"/>
      <protection/>
    </xf>
    <xf numFmtId="0" fontId="29" fillId="32" borderId="58" xfId="60" applyFont="1" applyFill="1" applyBorder="1" applyAlignment="1">
      <alignment horizontal="left"/>
      <protection/>
    </xf>
    <xf numFmtId="0" fontId="48" fillId="0" borderId="29" xfId="60" applyFont="1" applyFill="1" applyBorder="1" applyAlignment="1">
      <alignment horizontal="center"/>
      <protection/>
    </xf>
    <xf numFmtId="22" fontId="13" fillId="0" borderId="30" xfId="60" applyNumberFormat="1" applyFont="1" applyBorder="1" applyAlignment="1" applyProtection="1">
      <alignment horizontal="center"/>
      <protection locked="0"/>
    </xf>
    <xf numFmtId="22" fontId="13" fillId="0" borderId="33" xfId="60" applyNumberFormat="1" applyFont="1" applyBorder="1" applyAlignment="1" applyProtection="1">
      <alignment horizontal="center"/>
      <protection locked="0"/>
    </xf>
    <xf numFmtId="168" fontId="13" fillId="0" borderId="29" xfId="60" applyNumberFormat="1" applyFont="1" applyFill="1" applyBorder="1" applyAlignment="1">
      <alignment horizontal="center"/>
      <protection/>
    </xf>
    <xf numFmtId="0" fontId="13" fillId="0" borderId="36" xfId="60" applyFont="1" applyFill="1" applyBorder="1" applyAlignment="1">
      <alignment horizontal="center"/>
      <protection/>
    </xf>
    <xf numFmtId="0" fontId="13" fillId="0" borderId="34" xfId="60" applyFont="1" applyBorder="1" applyAlignment="1" applyProtection="1">
      <alignment horizontal="center"/>
      <protection/>
    </xf>
    <xf numFmtId="0" fontId="13" fillId="0" borderId="68" xfId="60" applyFont="1" applyBorder="1" applyAlignment="1" applyProtection="1">
      <alignment horizontal="center"/>
      <protection/>
    </xf>
    <xf numFmtId="168" fontId="93" fillId="32" borderId="36" xfId="60" applyNumberFormat="1" applyFont="1" applyFill="1" applyBorder="1" applyAlignment="1" applyProtection="1">
      <alignment horizontal="center"/>
      <protection/>
    </xf>
    <xf numFmtId="22" fontId="13" fillId="0" borderId="36" xfId="60" applyNumberFormat="1" applyFont="1" applyFill="1" applyBorder="1" applyAlignment="1">
      <alignment horizontal="center"/>
      <protection/>
    </xf>
    <xf numFmtId="22" fontId="13" fillId="0" borderId="36" xfId="60" applyNumberFormat="1" applyFont="1" applyFill="1" applyBorder="1" applyAlignment="1" applyProtection="1">
      <alignment horizontal="center"/>
      <protection/>
    </xf>
    <xf numFmtId="4" fontId="13" fillId="0" borderId="36" xfId="60" applyNumberFormat="1" applyFont="1" applyFill="1" applyBorder="1" applyAlignment="1" applyProtection="1">
      <alignment horizontal="center"/>
      <protection/>
    </xf>
    <xf numFmtId="3" fontId="13" fillId="0" borderId="36" xfId="60" applyNumberFormat="1" applyFont="1" applyFill="1" applyBorder="1" applyAlignment="1" applyProtection="1">
      <alignment horizontal="center"/>
      <protection/>
    </xf>
    <xf numFmtId="168" fontId="29" fillId="32" borderId="63" xfId="60" applyNumberFormat="1" applyFont="1" applyFill="1" applyBorder="1" applyAlignment="1" applyProtection="1" quotePrefix="1">
      <alignment horizontal="center"/>
      <protection/>
    </xf>
    <xf numFmtId="168" fontId="29" fillId="32" borderId="50" xfId="60" applyNumberFormat="1" applyFont="1" applyFill="1" applyBorder="1" applyAlignment="1" applyProtection="1" quotePrefix="1">
      <alignment horizontal="center"/>
      <protection/>
    </xf>
    <xf numFmtId="168" fontId="13" fillId="0" borderId="50" xfId="60" applyNumberFormat="1" applyFont="1" applyFill="1" applyBorder="1" applyAlignment="1">
      <alignment horizontal="center"/>
      <protection/>
    </xf>
    <xf numFmtId="4" fontId="77" fillId="0" borderId="50" xfId="60" applyNumberFormat="1" applyFont="1" applyFill="1" applyBorder="1" applyAlignment="1">
      <alignment horizontal="right"/>
      <protection/>
    </xf>
    <xf numFmtId="0" fontId="13" fillId="0" borderId="0" xfId="60" applyFont="1" applyFill="1" applyBorder="1" applyAlignment="1">
      <alignment horizontal="center"/>
      <protection/>
    </xf>
    <xf numFmtId="164" fontId="13" fillId="0" borderId="0" xfId="60" applyNumberFormat="1" applyFont="1" applyBorder="1" applyAlignment="1" applyProtection="1">
      <alignment horizontal="center"/>
      <protection/>
    </xf>
    <xf numFmtId="1" fontId="13" fillId="0" borderId="0" xfId="60" applyNumberFormat="1" applyFont="1" applyBorder="1" applyAlignment="1" applyProtection="1" quotePrefix="1">
      <alignment horizontal="center"/>
      <protection/>
    </xf>
    <xf numFmtId="168" fontId="13" fillId="0" borderId="0" xfId="60" applyNumberFormat="1" applyFont="1" applyFill="1" applyBorder="1" applyAlignment="1" applyProtection="1">
      <alignment horizontal="center"/>
      <protection/>
    </xf>
    <xf numFmtId="22" fontId="13" fillId="0" borderId="0" xfId="60" applyNumberFormat="1" applyFont="1" applyFill="1" applyBorder="1" applyAlignment="1">
      <alignment horizontal="center"/>
      <protection/>
    </xf>
    <xf numFmtId="22" fontId="13" fillId="0" borderId="0" xfId="60" applyNumberFormat="1" applyFont="1" applyFill="1" applyBorder="1" applyAlignment="1" applyProtection="1">
      <alignment horizontal="center"/>
      <protection/>
    </xf>
    <xf numFmtId="4" fontId="13" fillId="0" borderId="0" xfId="60" applyNumberFormat="1" applyFont="1" applyFill="1" applyBorder="1" applyAlignment="1" applyProtection="1">
      <alignment horizontal="center"/>
      <protection/>
    </xf>
    <xf numFmtId="3" fontId="13" fillId="0" borderId="0" xfId="60" applyNumberFormat="1" applyFont="1" applyFill="1" applyBorder="1" applyAlignment="1" applyProtection="1">
      <alignment horizontal="center"/>
      <protection/>
    </xf>
    <xf numFmtId="168" fontId="13" fillId="0" borderId="0" xfId="60" applyNumberFormat="1" applyFont="1" applyBorder="1" applyAlignment="1" applyProtection="1" quotePrefix="1">
      <alignment horizontal="center"/>
      <protection/>
    </xf>
    <xf numFmtId="168" fontId="13" fillId="0" borderId="0" xfId="60" applyNumberFormat="1" applyFont="1" applyBorder="1" applyAlignment="1" applyProtection="1">
      <alignment horizontal="center"/>
      <protection/>
    </xf>
    <xf numFmtId="164" fontId="13" fillId="0" borderId="0" xfId="60" applyNumberFormat="1" applyFont="1" applyFill="1" applyBorder="1" applyAlignment="1" applyProtection="1">
      <alignment horizontal="center"/>
      <protection/>
    </xf>
    <xf numFmtId="168" fontId="49" fillId="0" borderId="41" xfId="60" applyNumberFormat="1" applyFont="1" applyFill="1" applyBorder="1" applyAlignment="1" applyProtection="1" quotePrefix="1">
      <alignment horizontal="center"/>
      <protection/>
    </xf>
    <xf numFmtId="168" fontId="13" fillId="0" borderId="41" xfId="60" applyNumberFormat="1" applyFont="1" applyFill="1" applyBorder="1" applyAlignment="1">
      <alignment horizontal="center"/>
      <protection/>
    </xf>
    <xf numFmtId="4" fontId="77" fillId="0" borderId="21" xfId="60" applyNumberFormat="1" applyFont="1" applyFill="1" applyBorder="1" applyAlignment="1">
      <alignment horizontal="right"/>
      <protection/>
    </xf>
    <xf numFmtId="168" fontId="29" fillId="32" borderId="0" xfId="60" applyNumberFormat="1" applyFont="1" applyFill="1" applyBorder="1" applyAlignment="1" applyProtection="1" quotePrefix="1">
      <alignment horizontal="center"/>
      <protection/>
    </xf>
    <xf numFmtId="0" fontId="30" fillId="0" borderId="17" xfId="60" applyFont="1" applyBorder="1" applyAlignment="1" applyProtection="1">
      <alignment horizontal="center" vertical="center"/>
      <protection/>
    </xf>
    <xf numFmtId="0" fontId="60" fillId="16" borderId="17" xfId="60" applyFont="1" applyFill="1" applyBorder="1" applyAlignment="1" applyProtection="1">
      <alignment horizontal="center" vertical="center"/>
      <protection/>
    </xf>
    <xf numFmtId="0" fontId="61" fillId="3" borderId="21" xfId="60" applyFont="1" applyFill="1" applyBorder="1" applyAlignment="1">
      <alignment horizontal="center" vertical="center" wrapText="1"/>
      <protection/>
    </xf>
    <xf numFmtId="0" fontId="34" fillId="12" borderId="16" xfId="60" applyFont="1" applyFill="1" applyBorder="1" applyAlignment="1" applyProtection="1">
      <alignment horizontal="centerContinuous" vertical="center" wrapText="1"/>
      <protection/>
    </xf>
    <xf numFmtId="0" fontId="34" fillId="12" borderId="17" xfId="60" applyFont="1" applyFill="1" applyBorder="1" applyAlignment="1">
      <alignment horizontal="centerContinuous" vertical="center"/>
      <protection/>
    </xf>
    <xf numFmtId="0" fontId="68" fillId="8" borderId="16" xfId="60" applyFont="1" applyFill="1" applyBorder="1" applyAlignment="1" applyProtection="1">
      <alignment horizontal="centerContinuous" vertical="center" wrapText="1"/>
      <protection/>
    </xf>
    <xf numFmtId="0" fontId="68" fillId="8" borderId="17" xfId="60" applyFont="1" applyFill="1" applyBorder="1" applyAlignment="1">
      <alignment horizontal="centerContinuous" vertical="center"/>
      <protection/>
    </xf>
    <xf numFmtId="0" fontId="37" fillId="23" borderId="21" xfId="60" applyFont="1" applyFill="1" applyBorder="1" applyAlignment="1">
      <alignment horizontal="center" vertical="center" wrapText="1"/>
      <protection/>
    </xf>
    <xf numFmtId="0" fontId="67" fillId="23" borderId="21" xfId="60" applyFont="1" applyFill="1" applyBorder="1" applyAlignment="1">
      <alignment horizontal="center" vertical="center" wrapText="1"/>
      <protection/>
    </xf>
    <xf numFmtId="0" fontId="61" fillId="0" borderId="21" xfId="60" applyFont="1" applyFill="1" applyBorder="1" applyAlignment="1">
      <alignment horizontal="center" vertical="center" wrapText="1"/>
      <protection/>
    </xf>
    <xf numFmtId="0" fontId="13" fillId="0" borderId="23" xfId="60" applyFont="1" applyFill="1" applyBorder="1" applyAlignment="1">
      <alignment/>
      <protection/>
    </xf>
    <xf numFmtId="0" fontId="13" fillId="0" borderId="74" xfId="60" applyFont="1" applyFill="1" applyBorder="1" applyAlignment="1">
      <alignment/>
      <protection/>
    </xf>
    <xf numFmtId="0" fontId="13" fillId="0" borderId="72" xfId="60" applyFont="1" applyFill="1" applyBorder="1" applyAlignment="1">
      <alignment/>
      <protection/>
    </xf>
    <xf numFmtId="0" fontId="13" fillId="0" borderId="61" xfId="60" applyFont="1" applyBorder="1" applyAlignment="1" applyProtection="1">
      <alignment horizontal="center"/>
      <protection locked="0"/>
    </xf>
    <xf numFmtId="0" fontId="13" fillId="0" borderId="33" xfId="60" applyFont="1" applyBorder="1" applyAlignment="1" applyProtection="1">
      <alignment horizontal="center"/>
      <protection locked="0"/>
    </xf>
    <xf numFmtId="174" fontId="63" fillId="16" borderId="28" xfId="60" applyNumberFormat="1" applyFont="1" applyFill="1" applyBorder="1" applyAlignment="1" applyProtection="1">
      <alignment horizontal="center"/>
      <protection/>
    </xf>
    <xf numFmtId="2" fontId="13" fillId="0" borderId="28" xfId="60" applyNumberFormat="1" applyFont="1" applyFill="1" applyBorder="1" applyAlignment="1" applyProtection="1" quotePrefix="1">
      <alignment horizontal="center"/>
      <protection/>
    </xf>
    <xf numFmtId="168" fontId="13" fillId="0" borderId="29" xfId="60" applyNumberFormat="1" applyFont="1" applyBorder="1" applyAlignment="1" applyProtection="1">
      <alignment horizontal="center"/>
      <protection locked="0"/>
    </xf>
    <xf numFmtId="164" fontId="63" fillId="16" borderId="61" xfId="60" applyNumberFormat="1" applyFont="1" applyFill="1" applyBorder="1" applyAlignment="1" applyProtection="1">
      <alignment horizontal="center"/>
      <protection/>
    </xf>
    <xf numFmtId="2" fontId="80" fillId="3" borderId="28" xfId="60" applyNumberFormat="1" applyFont="1" applyFill="1" applyBorder="1" applyAlignment="1" applyProtection="1">
      <alignment horizontal="center"/>
      <protection/>
    </xf>
    <xf numFmtId="168" fontId="50" fillId="12" borderId="48" xfId="60" applyNumberFormat="1" applyFont="1" applyFill="1" applyBorder="1" applyAlignment="1" applyProtection="1" quotePrefix="1">
      <alignment horizontal="center"/>
      <protection/>
    </xf>
    <xf numFmtId="168" fontId="50" fillId="12" borderId="49" xfId="60" applyNumberFormat="1" applyFont="1" applyFill="1" applyBorder="1" applyAlignment="1" applyProtection="1" quotePrefix="1">
      <alignment horizontal="center"/>
      <protection/>
    </xf>
    <xf numFmtId="168" fontId="72" fillId="8" borderId="48" xfId="60" applyNumberFormat="1" applyFont="1" applyFill="1" applyBorder="1" applyAlignment="1" applyProtection="1" quotePrefix="1">
      <alignment horizontal="center"/>
      <protection/>
    </xf>
    <xf numFmtId="168" fontId="72" fillId="8" borderId="49" xfId="60" applyNumberFormat="1" applyFont="1" applyFill="1" applyBorder="1" applyAlignment="1" applyProtection="1" quotePrefix="1">
      <alignment horizontal="center"/>
      <protection/>
    </xf>
    <xf numFmtId="168" fontId="53" fillId="23" borderId="27" xfId="60" applyNumberFormat="1" applyFont="1" applyFill="1" applyBorder="1" applyAlignment="1" applyProtection="1" quotePrefix="1">
      <alignment horizontal="center"/>
      <protection/>
    </xf>
    <xf numFmtId="2" fontId="71" fillId="23" borderId="28" xfId="60" applyNumberFormat="1" applyFont="1" applyFill="1" applyBorder="1" applyAlignment="1" applyProtection="1">
      <alignment horizontal="center"/>
      <protection/>
    </xf>
    <xf numFmtId="4" fontId="77" fillId="0" borderId="28" xfId="60" applyNumberFormat="1" applyFont="1" applyFill="1" applyBorder="1" applyAlignment="1">
      <alignment horizontal="right"/>
      <protection/>
    </xf>
    <xf numFmtId="4" fontId="21" fillId="0" borderId="15" xfId="60" applyNumberFormat="1" applyFont="1" applyFill="1" applyBorder="1" applyAlignment="1">
      <alignment horizontal="center"/>
      <protection/>
    </xf>
    <xf numFmtId="168" fontId="13" fillId="0" borderId="34" xfId="60" applyNumberFormat="1" applyFont="1" applyFill="1" applyBorder="1" applyAlignment="1" applyProtection="1">
      <alignment/>
      <protection/>
    </xf>
    <xf numFmtId="168" fontId="13" fillId="0" borderId="68" xfId="60" applyNumberFormat="1" applyFont="1" applyFill="1" applyBorder="1" applyAlignment="1" applyProtection="1">
      <alignment/>
      <protection/>
    </xf>
    <xf numFmtId="168" fontId="13" fillId="0" borderId="75" xfId="60" applyNumberFormat="1" applyFont="1" applyFill="1" applyBorder="1" applyAlignment="1" applyProtection="1">
      <alignment/>
      <protection/>
    </xf>
    <xf numFmtId="2" fontId="59" fillId="0" borderId="0" xfId="60" applyNumberFormat="1" applyFont="1" applyFill="1" applyBorder="1" applyAlignment="1">
      <alignment horizontal="center"/>
      <protection/>
    </xf>
    <xf numFmtId="168" fontId="13" fillId="0" borderId="0" xfId="60" applyNumberFormat="1" applyFont="1" applyFill="1" applyBorder="1" applyAlignment="1">
      <alignment horizontal="center"/>
      <protection/>
    </xf>
    <xf numFmtId="168" fontId="13" fillId="0" borderId="0" xfId="60" applyNumberFormat="1" applyFont="1" applyBorder="1" applyAlignment="1" applyProtection="1" quotePrefix="1">
      <alignment horizontal="centerContinuous"/>
      <protection/>
    </xf>
    <xf numFmtId="168" fontId="13" fillId="0" borderId="0" xfId="60" applyNumberFormat="1" applyFont="1" applyBorder="1" applyAlignment="1" applyProtection="1">
      <alignment horizontal="centerContinuous"/>
      <protection/>
    </xf>
    <xf numFmtId="168" fontId="49" fillId="0" borderId="0" xfId="60" applyNumberFormat="1" applyFont="1" applyFill="1" applyBorder="1" applyAlignment="1" applyProtection="1" quotePrefix="1">
      <alignment horizontal="center"/>
      <protection/>
    </xf>
    <xf numFmtId="4" fontId="77" fillId="0" borderId="0" xfId="60" applyNumberFormat="1" applyFont="1" applyFill="1" applyBorder="1" applyAlignment="1">
      <alignment horizontal="right"/>
      <protection/>
    </xf>
    <xf numFmtId="2" fontId="94" fillId="0" borderId="0" xfId="60" applyNumberFormat="1" applyFont="1" applyBorder="1" applyAlignment="1" applyProtection="1">
      <alignment horizontal="left"/>
      <protection/>
    </xf>
    <xf numFmtId="168" fontId="94" fillId="0" borderId="0" xfId="60" applyNumberFormat="1" applyFont="1" applyBorder="1" applyAlignment="1" applyProtection="1">
      <alignment horizontal="center"/>
      <protection/>
    </xf>
    <xf numFmtId="0" fontId="94" fillId="0" borderId="0" xfId="60" applyFont="1" applyBorder="1" applyAlignment="1" applyProtection="1">
      <alignment horizontal="center"/>
      <protection/>
    </xf>
    <xf numFmtId="165" fontId="94" fillId="0" borderId="0" xfId="60" applyNumberFormat="1" applyFont="1" applyBorder="1" applyAlignment="1" applyProtection="1">
      <alignment horizontal="center"/>
      <protection/>
    </xf>
    <xf numFmtId="0" fontId="95" fillId="0" borderId="0" xfId="60" applyFont="1">
      <alignment/>
      <protection/>
    </xf>
    <xf numFmtId="173" fontId="94" fillId="0" borderId="0" xfId="60" applyNumberFormat="1" applyFont="1" applyBorder="1" applyAlignment="1" applyProtection="1" quotePrefix="1">
      <alignment horizontal="center"/>
      <protection/>
    </xf>
    <xf numFmtId="0" fontId="94" fillId="0" borderId="0" xfId="60" applyFont="1">
      <alignment/>
      <protection/>
    </xf>
    <xf numFmtId="2" fontId="94" fillId="0" borderId="0" xfId="60" applyNumberFormat="1" applyFont="1" applyBorder="1" applyAlignment="1" applyProtection="1">
      <alignment horizontal="center"/>
      <protection/>
    </xf>
    <xf numFmtId="168" fontId="94" fillId="0" borderId="0" xfId="60" applyNumberFormat="1" applyFont="1" applyBorder="1" applyAlignment="1" applyProtection="1" quotePrefix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96" fillId="0" borderId="0" xfId="60" applyNumberFormat="1" applyFont="1" applyBorder="1" applyAlignment="1" applyProtection="1">
      <alignment horizontal="left"/>
      <protection/>
    </xf>
    <xf numFmtId="0" fontId="21" fillId="0" borderId="0" xfId="60" applyFont="1" applyAlignment="1">
      <alignment horizontal="center"/>
      <protection/>
    </xf>
    <xf numFmtId="173" fontId="4" fillId="0" borderId="0" xfId="60" applyNumberFormat="1" applyFont="1" applyBorder="1" applyAlignment="1" applyProtection="1">
      <alignment horizontal="left"/>
      <protection/>
    </xf>
    <xf numFmtId="168" fontId="4" fillId="0" borderId="0" xfId="60" applyNumberFormat="1" applyFont="1" applyBorder="1" applyAlignment="1" applyProtection="1">
      <alignment horizontal="left"/>
      <protection/>
    </xf>
    <xf numFmtId="2" fontId="97" fillId="0" borderId="0" xfId="60" applyNumberFormat="1" applyFont="1" applyBorder="1" applyAlignment="1" applyProtection="1">
      <alignment horizontal="center"/>
      <protection/>
    </xf>
    <xf numFmtId="168" fontId="91" fillId="0" borderId="0" xfId="60" applyNumberFormat="1" applyFont="1" applyBorder="1" applyAlignment="1" applyProtection="1" quotePrefix="1">
      <alignment horizontal="center"/>
      <protection/>
    </xf>
    <xf numFmtId="4" fontId="91" fillId="0" borderId="0" xfId="60" applyNumberFormat="1" applyFont="1" applyBorder="1" applyAlignment="1" applyProtection="1">
      <alignment horizontal="center"/>
      <protection/>
    </xf>
    <xf numFmtId="7" fontId="4" fillId="0" borderId="0" xfId="60" applyNumberFormat="1" applyFont="1" applyBorder="1" applyAlignment="1">
      <alignment horizontal="centerContinuous"/>
      <protection/>
    </xf>
    <xf numFmtId="170" fontId="21" fillId="0" borderId="0" xfId="60" applyNumberFormat="1" applyFont="1" applyBorder="1" applyAlignment="1" applyProtection="1">
      <alignment horizontal="center"/>
      <protection/>
    </xf>
    <xf numFmtId="1" fontId="21" fillId="0" borderId="0" xfId="60" applyNumberFormat="1" applyFont="1" applyBorder="1" applyAlignment="1" applyProtection="1">
      <alignment horizontal="center"/>
      <protection/>
    </xf>
    <xf numFmtId="183" fontId="21" fillId="0" borderId="0" xfId="60" applyNumberFormat="1" applyFont="1" applyBorder="1" applyAlignment="1" applyProtection="1">
      <alignment horizontal="centerContinuous"/>
      <protection/>
    </xf>
    <xf numFmtId="183" fontId="94" fillId="0" borderId="0" xfId="60" applyNumberFormat="1" applyFont="1" applyBorder="1" applyAlignment="1" applyProtection="1">
      <alignment horizontal="centerContinuous"/>
      <protection/>
    </xf>
    <xf numFmtId="168" fontId="21" fillId="0" borderId="0" xfId="60" applyNumberFormat="1" applyFont="1" applyBorder="1">
      <alignment/>
      <protection/>
    </xf>
    <xf numFmtId="0" fontId="21" fillId="0" borderId="0" xfId="60" applyFont="1" applyAlignment="1">
      <alignment horizontal="centerContinuous"/>
      <protection/>
    </xf>
    <xf numFmtId="168" fontId="21" fillId="0" borderId="0" xfId="60" applyNumberFormat="1" applyFont="1" applyBorder="1" applyAlignment="1" applyProtection="1">
      <alignment horizontal="centerContinuous"/>
      <protection/>
    </xf>
    <xf numFmtId="168" fontId="94" fillId="0" borderId="0" xfId="60" applyNumberFormat="1" applyFont="1" applyBorder="1" applyAlignment="1" applyProtection="1" quotePrefix="1">
      <alignment horizontal="right"/>
      <protection/>
    </xf>
    <xf numFmtId="7" fontId="21" fillId="0" borderId="61" xfId="60" applyNumberFormat="1" applyFont="1" applyBorder="1" applyAlignment="1">
      <alignment horizontal="centerContinuous"/>
      <protection/>
    </xf>
    <xf numFmtId="168" fontId="94" fillId="0" borderId="0" xfId="60" applyNumberFormat="1" applyFont="1" applyBorder="1" applyAlignment="1" applyProtection="1" quotePrefix="1">
      <alignment horizontal="left"/>
      <protection/>
    </xf>
    <xf numFmtId="7" fontId="21" fillId="0" borderId="0" xfId="60" applyNumberFormat="1" applyFont="1" applyBorder="1" applyAlignment="1">
      <alignment horizontal="right"/>
      <protection/>
    </xf>
    <xf numFmtId="0" fontId="10" fillId="0" borderId="16" xfId="60" applyFont="1" applyBorder="1" applyAlignment="1">
      <alignment horizontal="center"/>
      <protection/>
    </xf>
    <xf numFmtId="7" fontId="10" fillId="0" borderId="17" xfId="60" applyNumberFormat="1" applyFont="1" applyBorder="1" applyAlignment="1">
      <alignment horizontal="center"/>
      <protection/>
    </xf>
    <xf numFmtId="168" fontId="22" fillId="0" borderId="0" xfId="60" applyNumberFormat="1" applyFont="1" applyBorder="1" applyAlignment="1" applyProtection="1">
      <alignment horizontal="left"/>
      <protection/>
    </xf>
    <xf numFmtId="10" fontId="21" fillId="0" borderId="0" xfId="60" applyNumberFormat="1" applyFont="1" applyBorder="1" applyAlignment="1" applyProtection="1">
      <alignment horizontal="center"/>
      <protection/>
    </xf>
    <xf numFmtId="7" fontId="21" fillId="0" borderId="0" xfId="60" applyNumberFormat="1" applyFont="1" applyAlignment="1">
      <alignment horizontal="right"/>
      <protection/>
    </xf>
    <xf numFmtId="0" fontId="21" fillId="0" borderId="0" xfId="60" applyFont="1" quotePrefix="1">
      <alignment/>
      <protection/>
    </xf>
    <xf numFmtId="168" fontId="21" fillId="0" borderId="0" xfId="60" applyNumberFormat="1" applyFont="1" applyBorder="1" applyAlignment="1" applyProtection="1" quotePrefix="1">
      <alignment horizontal="center"/>
      <protection/>
    </xf>
    <xf numFmtId="7" fontId="21" fillId="0" borderId="0" xfId="60" applyNumberFormat="1" applyFont="1" applyBorder="1" applyAlignment="1" applyProtection="1">
      <alignment horizontal="left"/>
      <protection/>
    </xf>
    <xf numFmtId="0" fontId="95" fillId="0" borderId="0" xfId="60" applyFont="1" quotePrefix="1">
      <alignment/>
      <protection/>
    </xf>
    <xf numFmtId="0" fontId="98" fillId="0" borderId="0" xfId="60" applyFont="1" applyAlignment="1">
      <alignment vertical="center"/>
      <protection/>
    </xf>
    <xf numFmtId="0" fontId="23" fillId="0" borderId="14" xfId="60" applyFont="1" applyBorder="1" applyAlignment="1">
      <alignment vertical="center"/>
      <protection/>
    </xf>
    <xf numFmtId="0" fontId="23" fillId="0" borderId="0" xfId="60" applyFont="1" applyBorder="1" applyAlignment="1">
      <alignment horizontal="center" vertical="center"/>
      <protection/>
    </xf>
    <xf numFmtId="168" fontId="23" fillId="0" borderId="0" xfId="60" applyNumberFormat="1" applyFont="1" applyBorder="1" applyAlignment="1" applyProtection="1">
      <alignment horizontal="left" vertical="center"/>
      <protection/>
    </xf>
    <xf numFmtId="0" fontId="98" fillId="0" borderId="0" xfId="60" applyFont="1" applyAlignment="1" quotePrefix="1">
      <alignment vertical="center"/>
      <protection/>
    </xf>
    <xf numFmtId="0" fontId="23" fillId="0" borderId="0" xfId="60" applyFont="1" applyBorder="1" applyAlignment="1" applyProtection="1">
      <alignment horizontal="center" vertical="center"/>
      <protection/>
    </xf>
    <xf numFmtId="165" fontId="23" fillId="0" borderId="0" xfId="60" applyNumberFormat="1" applyFont="1" applyBorder="1" applyAlignment="1" applyProtection="1">
      <alignment horizontal="center" vertical="center"/>
      <protection/>
    </xf>
    <xf numFmtId="4" fontId="10" fillId="0" borderId="16" xfId="60" applyNumberFormat="1" applyFont="1" applyBorder="1" applyAlignment="1" applyProtection="1">
      <alignment horizontal="center" vertical="center"/>
      <protection/>
    </xf>
    <xf numFmtId="7" fontId="99" fillId="0" borderId="17" xfId="60" applyNumberFormat="1" applyFont="1" applyFill="1" applyBorder="1" applyAlignment="1">
      <alignment horizontal="center" vertical="center"/>
      <protection/>
    </xf>
    <xf numFmtId="168" fontId="23" fillId="0" borderId="0" xfId="60" applyNumberFormat="1" applyFont="1" applyBorder="1" applyAlignment="1" applyProtection="1">
      <alignment horizontal="center" vertical="center"/>
      <protection/>
    </xf>
    <xf numFmtId="168" fontId="10" fillId="0" borderId="0" xfId="60" applyNumberFormat="1" applyFont="1" applyBorder="1" applyAlignment="1" applyProtection="1">
      <alignment horizontal="left" vertical="center"/>
      <protection/>
    </xf>
    <xf numFmtId="173" fontId="23" fillId="0" borderId="0" xfId="60" applyNumberFormat="1" applyFont="1" applyBorder="1" applyAlignment="1" applyProtection="1" quotePrefix="1">
      <alignment horizontal="center" vertical="center"/>
      <protection/>
    </xf>
    <xf numFmtId="2" fontId="100" fillId="0" borderId="0" xfId="60" applyNumberFormat="1" applyFont="1" applyBorder="1" applyAlignment="1" applyProtection="1">
      <alignment horizontal="center" vertical="center"/>
      <protection/>
    </xf>
    <xf numFmtId="168" fontId="101" fillId="0" borderId="0" xfId="60" applyNumberFormat="1" applyFont="1" applyBorder="1" applyAlignment="1" applyProtection="1" quotePrefix="1">
      <alignment horizontal="center" vertical="center"/>
      <protection/>
    </xf>
    <xf numFmtId="4" fontId="23" fillId="0" borderId="15" xfId="60" applyNumberFormat="1" applyFont="1" applyFill="1" applyBorder="1" applyAlignment="1">
      <alignment horizontal="center" vertical="center"/>
      <protection/>
    </xf>
    <xf numFmtId="0" fontId="21" fillId="0" borderId="18" xfId="60" applyFont="1" applyBorder="1">
      <alignment/>
      <protection/>
    </xf>
    <xf numFmtId="0" fontId="21" fillId="0" borderId="19" xfId="60" applyFont="1" applyBorder="1">
      <alignment/>
      <protection/>
    </xf>
    <xf numFmtId="0" fontId="3" fillId="0" borderId="19" xfId="60" applyBorder="1">
      <alignment/>
      <protection/>
    </xf>
    <xf numFmtId="0" fontId="21" fillId="0" borderId="20" xfId="60" applyFont="1" applyFill="1" applyBorder="1">
      <alignment/>
      <protection/>
    </xf>
    <xf numFmtId="0" fontId="13" fillId="0" borderId="0" xfId="60" applyFont="1" applyBorder="1" applyAlignment="1">
      <alignment horizontal="left"/>
      <protection/>
    </xf>
    <xf numFmtId="168" fontId="13" fillId="0" borderId="58" xfId="57" applyNumberFormat="1" applyFont="1" applyFill="1" applyBorder="1" applyAlignment="1">
      <alignment horizontal="center"/>
      <protection/>
    </xf>
    <xf numFmtId="4" fontId="77" fillId="0" borderId="41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0" xfId="60" applyFont="1" applyFill="1">
      <alignment/>
      <protection/>
    </xf>
    <xf numFmtId="0" fontId="9" fillId="0" borderId="0" xfId="60" applyFont="1" applyAlignment="1">
      <alignment horizontal="centerContinuous"/>
      <protection/>
    </xf>
    <xf numFmtId="0" fontId="14" fillId="0" borderId="0" xfId="60" applyFont="1" applyAlignment="1">
      <alignment horizontal="centerContinuous"/>
      <protection/>
    </xf>
    <xf numFmtId="0" fontId="13" fillId="0" borderId="13" xfId="60" applyFont="1" applyBorder="1">
      <alignment/>
      <protection/>
    </xf>
    <xf numFmtId="0" fontId="16" fillId="0" borderId="0" xfId="60" applyFont="1">
      <alignment/>
      <protection/>
    </xf>
    <xf numFmtId="0" fontId="16" fillId="0" borderId="14" xfId="60" applyFont="1" applyBorder="1">
      <alignment/>
      <protection/>
    </xf>
    <xf numFmtId="0" fontId="16" fillId="0" borderId="0" xfId="60" applyFont="1" applyBorder="1">
      <alignment/>
      <protection/>
    </xf>
    <xf numFmtId="0" fontId="20" fillId="0" borderId="0" xfId="60" applyFont="1" applyFill="1" applyBorder="1">
      <alignment/>
      <protection/>
    </xf>
    <xf numFmtId="0" fontId="16" fillId="0" borderId="0" xfId="60" applyFont="1" applyFill="1">
      <alignment/>
      <protection/>
    </xf>
    <xf numFmtId="0" fontId="16" fillId="0" borderId="0" xfId="60" applyFont="1" applyFill="1" applyBorder="1">
      <alignment/>
      <protection/>
    </xf>
    <xf numFmtId="0" fontId="16" fillId="0" borderId="15" xfId="60" applyFont="1" applyBorder="1">
      <alignment/>
      <protection/>
    </xf>
    <xf numFmtId="0" fontId="13" fillId="0" borderId="0" xfId="60" applyFont="1" applyFill="1" applyBorder="1">
      <alignment/>
      <protection/>
    </xf>
    <xf numFmtId="0" fontId="13" fillId="0" borderId="15" xfId="60" applyFont="1" applyBorder="1">
      <alignment/>
      <protection/>
    </xf>
    <xf numFmtId="0" fontId="20" fillId="0" borderId="0" xfId="60" applyFont="1" applyFill="1">
      <alignment/>
      <protection/>
    </xf>
    <xf numFmtId="0" fontId="78" fillId="0" borderId="0" xfId="60" applyFont="1" applyFill="1">
      <alignment/>
      <protection/>
    </xf>
    <xf numFmtId="0" fontId="16" fillId="0" borderId="0" xfId="60" applyFont="1" applyFill="1" applyBorder="1" applyProtection="1">
      <alignment/>
      <protection/>
    </xf>
    <xf numFmtId="0" fontId="5" fillId="0" borderId="0" xfId="60" applyFont="1" applyFill="1">
      <alignment/>
      <protection/>
    </xf>
    <xf numFmtId="0" fontId="13" fillId="0" borderId="0" xfId="60" applyFont="1" applyFill="1" applyBorder="1" applyProtection="1">
      <alignment/>
      <protection/>
    </xf>
    <xf numFmtId="0" fontId="25" fillId="0" borderId="0" xfId="60" applyFont="1" applyBorder="1">
      <alignment/>
      <protection/>
    </xf>
    <xf numFmtId="0" fontId="24" fillId="0" borderId="0" xfId="60" applyFont="1" applyBorder="1" applyAlignment="1" applyProtection="1">
      <alignment horizontal="centerContinuous"/>
      <protection/>
    </xf>
    <xf numFmtId="0" fontId="24" fillId="0" borderId="15" xfId="60" applyFont="1" applyBorder="1" applyAlignment="1">
      <alignment horizontal="centerContinuous"/>
      <protection/>
    </xf>
    <xf numFmtId="0" fontId="25" fillId="0" borderId="14" xfId="60" applyFont="1" applyBorder="1" applyAlignment="1">
      <alignment horizontal="centerContinuous"/>
      <protection/>
    </xf>
    <xf numFmtId="0" fontId="25" fillId="0" borderId="0" xfId="60" applyFont="1" applyBorder="1" applyAlignment="1">
      <alignment horizontal="centerContinuous"/>
      <protection/>
    </xf>
    <xf numFmtId="0" fontId="25" fillId="0" borderId="0" xfId="60" applyFont="1" applyBorder="1" applyAlignment="1" applyProtection="1">
      <alignment horizontal="centerContinuous"/>
      <protection/>
    </xf>
    <xf numFmtId="0" fontId="25" fillId="0" borderId="15" xfId="60" applyFont="1" applyBorder="1" applyAlignment="1">
      <alignment horizontal="centerContinuous"/>
      <protection/>
    </xf>
    <xf numFmtId="0" fontId="3" fillId="0" borderId="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16" xfId="60" applyFont="1" applyBorder="1" applyAlignment="1" applyProtection="1">
      <alignment horizontal="left" vertical="center"/>
      <protection/>
    </xf>
    <xf numFmtId="174" fontId="3" fillId="0" borderId="17" xfId="60" applyNumberFormat="1" applyFont="1" applyBorder="1" applyAlignment="1" applyProtection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22" fontId="13" fillId="0" borderId="0" xfId="60" applyNumberFormat="1" applyFont="1" applyBorder="1">
      <alignment/>
      <protection/>
    </xf>
    <xf numFmtId="0" fontId="3" fillId="0" borderId="16" xfId="60" applyFont="1" applyBorder="1" applyAlignment="1">
      <alignment vertical="center"/>
      <protection/>
    </xf>
    <xf numFmtId="174" fontId="3" fillId="0" borderId="17" xfId="60" applyNumberFormat="1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29" fillId="0" borderId="0" xfId="60" applyFont="1" applyBorder="1">
      <alignment/>
      <protection/>
    </xf>
    <xf numFmtId="0" fontId="30" fillId="0" borderId="22" xfId="60" applyFont="1" applyBorder="1" applyAlignment="1">
      <alignment horizontal="center" vertical="center" wrapText="1"/>
      <protection/>
    </xf>
    <xf numFmtId="0" fontId="30" fillId="0" borderId="17" xfId="60" applyFont="1" applyBorder="1" applyAlignment="1" applyProtection="1">
      <alignment horizontal="center" vertical="center" wrapText="1"/>
      <protection/>
    </xf>
    <xf numFmtId="0" fontId="68" fillId="8" borderId="21" xfId="60" applyFont="1" applyFill="1" applyBorder="1" applyAlignment="1">
      <alignment horizontal="center" vertical="center" wrapText="1"/>
      <protection/>
    </xf>
    <xf numFmtId="0" fontId="35" fillId="23" borderId="16" xfId="60" applyFont="1" applyFill="1" applyBorder="1" applyAlignment="1" applyProtection="1">
      <alignment horizontal="centerContinuous" vertical="center" wrapText="1"/>
      <protection/>
    </xf>
    <xf numFmtId="0" fontId="35" fillId="23" borderId="17" xfId="60" applyFont="1" applyFill="1" applyBorder="1" applyAlignment="1">
      <alignment horizontal="centerContinuous" vertical="center"/>
      <protection/>
    </xf>
    <xf numFmtId="0" fontId="62" fillId="26" borderId="21" xfId="60" applyFont="1" applyFill="1" applyBorder="1" applyAlignment="1">
      <alignment horizontal="center" vertical="center" wrapText="1"/>
      <protection/>
    </xf>
    <xf numFmtId="0" fontId="13" fillId="0" borderId="43" xfId="60" applyFont="1" applyFill="1" applyBorder="1" applyAlignment="1">
      <alignment horizontal="center"/>
      <protection/>
    </xf>
    <xf numFmtId="0" fontId="74" fillId="0" borderId="28" xfId="60" applyFont="1" applyBorder="1" applyAlignment="1" applyProtection="1">
      <alignment horizontal="center"/>
      <protection/>
    </xf>
    <xf numFmtId="0" fontId="63" fillId="16" borderId="28" xfId="60" applyFont="1" applyFill="1" applyBorder="1" applyAlignment="1" applyProtection="1">
      <alignment horizontal="center"/>
      <protection/>
    </xf>
    <xf numFmtId="0" fontId="29" fillId="25" borderId="23" xfId="60" applyFont="1" applyFill="1" applyBorder="1" applyAlignment="1" applyProtection="1">
      <alignment horizontal="center"/>
      <protection/>
    </xf>
    <xf numFmtId="0" fontId="72" fillId="8" borderId="23" xfId="60" applyFont="1" applyFill="1" applyBorder="1" applyAlignment="1" applyProtection="1">
      <alignment horizontal="center"/>
      <protection/>
    </xf>
    <xf numFmtId="168" fontId="51" fillId="23" borderId="24" xfId="60" applyNumberFormat="1" applyFont="1" applyFill="1" applyBorder="1" applyAlignment="1" applyProtection="1" quotePrefix="1">
      <alignment horizontal="center"/>
      <protection/>
    </xf>
    <xf numFmtId="168" fontId="51" fillId="23" borderId="26" xfId="60" applyNumberFormat="1" applyFont="1" applyFill="1" applyBorder="1" applyAlignment="1" applyProtection="1" quotePrefix="1">
      <alignment horizontal="center"/>
      <protection/>
    </xf>
    <xf numFmtId="168" fontId="64" fillId="26" borderId="23" xfId="60" applyNumberFormat="1" applyFont="1" applyFill="1" applyBorder="1" applyAlignment="1" applyProtection="1" quotePrefix="1">
      <alignment horizontal="center"/>
      <protection/>
    </xf>
    <xf numFmtId="7" fontId="79" fillId="0" borderId="28" xfId="60" applyNumberFormat="1" applyFont="1" applyBorder="1" applyAlignment="1" applyProtection="1">
      <alignment/>
      <protection/>
    </xf>
    <xf numFmtId="0" fontId="13" fillId="0" borderId="27" xfId="60" applyFont="1" applyFill="1" applyBorder="1" applyAlignment="1">
      <alignment horizontal="center"/>
      <protection/>
    </xf>
    <xf numFmtId="0" fontId="74" fillId="0" borderId="33" xfId="60" applyFont="1" applyBorder="1" applyAlignment="1" applyProtection="1">
      <alignment horizontal="center"/>
      <protection/>
    </xf>
    <xf numFmtId="0" fontId="63" fillId="16" borderId="33" xfId="60" applyFont="1" applyFill="1" applyBorder="1" applyAlignment="1" applyProtection="1">
      <alignment horizontal="center"/>
      <protection/>
    </xf>
    <xf numFmtId="0" fontId="29" fillId="25" borderId="28" xfId="60" applyFont="1" applyFill="1" applyBorder="1" applyAlignment="1" applyProtection="1">
      <alignment horizontal="center"/>
      <protection/>
    </xf>
    <xf numFmtId="0" fontId="72" fillId="8" borderId="28" xfId="60" applyFont="1" applyFill="1" applyBorder="1" applyAlignment="1" applyProtection="1">
      <alignment horizontal="center"/>
      <protection/>
    </xf>
    <xf numFmtId="168" fontId="51" fillId="23" borderId="30" xfId="60" applyNumberFormat="1" applyFont="1" applyFill="1" applyBorder="1" applyAlignment="1" applyProtection="1" quotePrefix="1">
      <alignment horizontal="center"/>
      <protection/>
    </xf>
    <xf numFmtId="168" fontId="51" fillId="23" borderId="56" xfId="60" applyNumberFormat="1" applyFont="1" applyFill="1" applyBorder="1" applyAlignment="1" applyProtection="1" quotePrefix="1">
      <alignment horizontal="center"/>
      <protection/>
    </xf>
    <xf numFmtId="168" fontId="64" fillId="26" borderId="28" xfId="60" applyNumberFormat="1" applyFont="1" applyFill="1" applyBorder="1" applyAlignment="1" applyProtection="1" quotePrefix="1">
      <alignment horizontal="center"/>
      <protection/>
    </xf>
    <xf numFmtId="168" fontId="77" fillId="0" borderId="28" xfId="60" applyNumberFormat="1" applyFont="1" applyFill="1" applyBorder="1" applyAlignment="1">
      <alignment horizontal="center"/>
      <protection/>
    </xf>
    <xf numFmtId="0" fontId="13" fillId="0" borderId="28" xfId="60" applyFont="1" applyFill="1" applyBorder="1" applyAlignment="1" applyProtection="1">
      <alignment horizontal="center"/>
      <protection locked="0"/>
    </xf>
    <xf numFmtId="164" fontId="13" fillId="0" borderId="28" xfId="60" applyNumberFormat="1" applyFont="1" applyBorder="1" applyAlignment="1" applyProtection="1" quotePrefix="1">
      <alignment horizontal="center"/>
      <protection locked="0"/>
    </xf>
    <xf numFmtId="168" fontId="63" fillId="16" borderId="28" xfId="60" applyNumberFormat="1" applyFont="1" applyFill="1" applyBorder="1" applyAlignment="1" applyProtection="1">
      <alignment horizontal="center"/>
      <protection/>
    </xf>
    <xf numFmtId="22" fontId="13" fillId="0" borderId="28" xfId="60" applyNumberFormat="1" applyFont="1" applyBorder="1" applyAlignment="1" applyProtection="1">
      <alignment horizontal="center"/>
      <protection locked="0"/>
    </xf>
    <xf numFmtId="164" fontId="29" fillId="25" borderId="28" xfId="60" applyNumberFormat="1" applyFont="1" applyFill="1" applyBorder="1" applyAlignment="1" applyProtection="1">
      <alignment horizontal="center"/>
      <protection/>
    </xf>
    <xf numFmtId="2" fontId="72" fillId="8" borderId="28" xfId="60" applyNumberFormat="1" applyFont="1" applyFill="1" applyBorder="1" applyAlignment="1" applyProtection="1">
      <alignment horizontal="center"/>
      <protection/>
    </xf>
    <xf numFmtId="0" fontId="74" fillId="0" borderId="33" xfId="60" applyFont="1" applyBorder="1" applyAlignment="1" applyProtection="1">
      <alignment horizontal="center"/>
      <protection locked="0"/>
    </xf>
    <xf numFmtId="164" fontId="49" fillId="0" borderId="28" xfId="60" applyNumberFormat="1" applyFont="1" applyBorder="1" applyAlignment="1" applyProtection="1" quotePrefix="1">
      <alignment horizontal="center"/>
      <protection locked="0"/>
    </xf>
    <xf numFmtId="164" fontId="49" fillId="0" borderId="36" xfId="60" applyNumberFormat="1" applyFont="1" applyBorder="1" applyAlignment="1" applyProtection="1">
      <alignment horizontal="center"/>
      <protection locked="0"/>
    </xf>
    <xf numFmtId="168" fontId="63" fillId="16" borderId="36" xfId="60" applyNumberFormat="1" applyFont="1" applyFill="1" applyBorder="1" applyAlignment="1" applyProtection="1">
      <alignment horizontal="center"/>
      <protection/>
    </xf>
    <xf numFmtId="168" fontId="13" fillId="0" borderId="50" xfId="60" applyNumberFormat="1" applyFont="1" applyBorder="1" applyAlignment="1" applyProtection="1">
      <alignment horizontal="center"/>
      <protection locked="0"/>
    </xf>
    <xf numFmtId="168" fontId="13" fillId="0" borderId="50" xfId="60" applyNumberFormat="1" applyFont="1" applyBorder="1" applyAlignment="1" applyProtection="1">
      <alignment horizontal="center"/>
      <protection/>
    </xf>
    <xf numFmtId="168" fontId="13" fillId="0" borderId="36" xfId="60" applyNumberFormat="1" applyFont="1" applyBorder="1" applyAlignment="1" applyProtection="1">
      <alignment horizontal="center"/>
      <protection locked="0"/>
    </xf>
    <xf numFmtId="164" fontId="29" fillId="25" borderId="36" xfId="60" applyNumberFormat="1" applyFont="1" applyFill="1" applyBorder="1" applyAlignment="1" applyProtection="1">
      <alignment horizontal="center"/>
      <protection locked="0"/>
    </xf>
    <xf numFmtId="2" fontId="72" fillId="8" borderId="36" xfId="60" applyNumberFormat="1" applyFont="1" applyFill="1" applyBorder="1" applyAlignment="1" applyProtection="1">
      <alignment horizontal="center"/>
      <protection locked="0"/>
    </xf>
    <xf numFmtId="168" fontId="51" fillId="23" borderId="37" xfId="60" applyNumberFormat="1" applyFont="1" applyFill="1" applyBorder="1" applyAlignment="1" applyProtection="1" quotePrefix="1">
      <alignment horizontal="center"/>
      <protection locked="0"/>
    </xf>
    <xf numFmtId="168" fontId="51" fillId="23" borderId="39" xfId="60" applyNumberFormat="1" applyFont="1" applyFill="1" applyBorder="1" applyAlignment="1" applyProtection="1" quotePrefix="1">
      <alignment horizontal="center"/>
      <protection locked="0"/>
    </xf>
    <xf numFmtId="168" fontId="64" fillId="26" borderId="36" xfId="60" applyNumberFormat="1" applyFont="1" applyFill="1" applyBorder="1" applyAlignment="1" applyProtection="1" quotePrefix="1">
      <alignment horizontal="center"/>
      <protection locked="0"/>
    </xf>
    <xf numFmtId="7" fontId="65" fillId="0" borderId="40" xfId="60" applyNumberFormat="1" applyFont="1" applyFill="1" applyBorder="1" applyAlignment="1">
      <alignment horizontal="right"/>
      <protection/>
    </xf>
    <xf numFmtId="0" fontId="129" fillId="0" borderId="41" xfId="60" applyFont="1" applyBorder="1" applyAlignment="1">
      <alignment horizontal="center"/>
      <protection/>
    </xf>
    <xf numFmtId="0" fontId="129" fillId="0" borderId="0" xfId="60" applyFont="1" applyBorder="1" applyAlignment="1">
      <alignment horizontal="left"/>
      <protection/>
    </xf>
    <xf numFmtId="0" fontId="57" fillId="0" borderId="41" xfId="60" applyFont="1" applyBorder="1" applyAlignment="1">
      <alignment horizontal="center"/>
      <protection/>
    </xf>
    <xf numFmtId="0" fontId="58" fillId="0" borderId="0" xfId="60" applyFont="1" applyBorder="1" applyAlignment="1" applyProtection="1">
      <alignment horizontal="left"/>
      <protection/>
    </xf>
    <xf numFmtId="4" fontId="72" fillId="8" borderId="21" xfId="60" applyNumberFormat="1" applyFont="1" applyFill="1" applyBorder="1" applyAlignment="1">
      <alignment horizontal="center"/>
      <protection/>
    </xf>
    <xf numFmtId="4" fontId="51" fillId="23" borderId="54" xfId="60" applyNumberFormat="1" applyFont="1" applyFill="1" applyBorder="1" applyAlignment="1">
      <alignment horizontal="center"/>
      <protection/>
    </xf>
    <xf numFmtId="4" fontId="51" fillId="23" borderId="55" xfId="60" applyNumberFormat="1" applyFont="1" applyFill="1" applyBorder="1" applyAlignment="1">
      <alignment horizontal="center"/>
      <protection/>
    </xf>
    <xf numFmtId="4" fontId="64" fillId="26" borderId="21" xfId="60" applyNumberFormat="1" applyFont="1" applyFill="1" applyBorder="1" applyAlignment="1">
      <alignment horizontal="center"/>
      <protection/>
    </xf>
    <xf numFmtId="4" fontId="19" fillId="0" borderId="0" xfId="60" applyNumberFormat="1" applyFont="1" applyFill="1" applyBorder="1" applyAlignment="1">
      <alignment horizontal="center"/>
      <protection/>
    </xf>
    <xf numFmtId="7" fontId="4" fillId="0" borderId="21" xfId="60" applyNumberFormat="1" applyFont="1" applyFill="1" applyBorder="1" applyAlignment="1">
      <alignment horizontal="right"/>
      <protection/>
    </xf>
    <xf numFmtId="0" fontId="13" fillId="0" borderId="18" xfId="60" applyFont="1" applyBorder="1">
      <alignment/>
      <protection/>
    </xf>
    <xf numFmtId="0" fontId="13" fillId="0" borderId="19" xfId="60" applyFont="1" applyBorder="1">
      <alignment/>
      <protection/>
    </xf>
    <xf numFmtId="0" fontId="13" fillId="0" borderId="20" xfId="60" applyFont="1" applyBorder="1">
      <alignment/>
      <protection/>
    </xf>
    <xf numFmtId="0" fontId="0" fillId="0" borderId="0" xfId="60" applyFont="1">
      <alignment/>
      <protection/>
    </xf>
    <xf numFmtId="0" fontId="6" fillId="0" borderId="0" xfId="60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 applyProtection="1">
      <alignment horizontal="left"/>
      <protection/>
    </xf>
    <xf numFmtId="183" fontId="21" fillId="0" borderId="0" xfId="60" applyNumberFormat="1" applyFont="1" applyBorder="1">
      <alignment/>
      <protection/>
    </xf>
    <xf numFmtId="168" fontId="4" fillId="0" borderId="16" xfId="60" applyNumberFormat="1" applyFont="1" applyBorder="1" applyAlignment="1" applyProtection="1">
      <alignment horizontal="center"/>
      <protection/>
    </xf>
    <xf numFmtId="183" fontId="21" fillId="0" borderId="17" xfId="60" applyNumberFormat="1" applyFont="1" applyBorder="1" applyAlignment="1" applyProtection="1">
      <alignment horizontal="centerContinuous"/>
      <protection/>
    </xf>
    <xf numFmtId="174" fontId="89" fillId="25" borderId="23" xfId="60" applyNumberFormat="1" applyFont="1" applyFill="1" applyBorder="1" applyAlignment="1">
      <alignment horizontal="center"/>
      <protection/>
    </xf>
    <xf numFmtId="164" fontId="13" fillId="0" borderId="29" xfId="60" applyNumberFormat="1" applyFont="1" applyBorder="1" applyAlignment="1" applyProtection="1">
      <alignment horizontal="center"/>
      <protection/>
    </xf>
    <xf numFmtId="165" fontId="13" fillId="0" borderId="28" xfId="60" applyNumberFormat="1" applyFont="1" applyBorder="1" applyAlignment="1" applyProtection="1">
      <alignment horizontal="center"/>
      <protection/>
    </xf>
    <xf numFmtId="174" fontId="89" fillId="25" borderId="28" xfId="60" applyNumberFormat="1" applyFont="1" applyFill="1" applyBorder="1" applyAlignment="1" applyProtection="1">
      <alignment horizontal="center"/>
      <protection/>
    </xf>
    <xf numFmtId="22" fontId="13" fillId="0" borderId="28" xfId="60" applyNumberFormat="1" applyFont="1" applyBorder="1" applyAlignment="1">
      <alignment horizontal="center"/>
      <protection/>
    </xf>
    <xf numFmtId="22" fontId="13" fillId="0" borderId="32" xfId="60" applyNumberFormat="1" applyFont="1" applyBorder="1" applyAlignment="1">
      <alignment horizontal="center"/>
      <protection/>
    </xf>
    <xf numFmtId="0" fontId="13" fillId="0" borderId="27" xfId="60" applyFont="1" applyBorder="1" applyAlignment="1" applyProtection="1">
      <alignment horizontal="center"/>
      <protection/>
    </xf>
    <xf numFmtId="0" fontId="13" fillId="0" borderId="28" xfId="60" applyFont="1" applyBorder="1" applyAlignment="1" applyProtection="1">
      <alignment horizontal="center"/>
      <protection/>
    </xf>
    <xf numFmtId="174" fontId="89" fillId="25" borderId="36" xfId="60" applyNumberFormat="1" applyFont="1" applyFill="1" applyBorder="1" applyAlignment="1" applyProtection="1">
      <alignment horizontal="center"/>
      <protection/>
    </xf>
    <xf numFmtId="0" fontId="30" fillId="0" borderId="21" xfId="60" applyFont="1" applyFill="1" applyBorder="1" applyAlignment="1" applyProtection="1">
      <alignment horizontal="center" vertical="center"/>
      <protection/>
    </xf>
    <xf numFmtId="0" fontId="30" fillId="0" borderId="21" xfId="60" applyFont="1" applyFill="1" applyBorder="1" applyAlignment="1" applyProtection="1" quotePrefix="1">
      <alignment horizontal="center" vertical="center" wrapText="1"/>
      <protection/>
    </xf>
    <xf numFmtId="0" fontId="60" fillId="32" borderId="21" xfId="60" applyFont="1" applyFill="1" applyBorder="1" applyAlignment="1" applyProtection="1">
      <alignment horizontal="center" vertical="center"/>
      <protection/>
    </xf>
    <xf numFmtId="0" fontId="30" fillId="0" borderId="16" xfId="60" applyFont="1" applyFill="1" applyBorder="1" applyAlignment="1" applyProtection="1">
      <alignment horizontal="centerContinuous" vertical="center"/>
      <protection/>
    </xf>
    <xf numFmtId="0" fontId="30" fillId="0" borderId="22" xfId="60" applyFont="1" applyFill="1" applyBorder="1" applyAlignment="1" applyProtection="1">
      <alignment horizontal="centerContinuous" vertical="center"/>
      <protection/>
    </xf>
    <xf numFmtId="0" fontId="62" fillId="33" borderId="21" xfId="60" applyFont="1" applyFill="1" applyBorder="1" applyAlignment="1">
      <alignment horizontal="center" vertical="center" wrapText="1"/>
      <protection/>
    </xf>
    <xf numFmtId="0" fontId="62" fillId="34" borderId="16" xfId="60" applyFont="1" applyFill="1" applyBorder="1" applyAlignment="1" applyProtection="1">
      <alignment horizontal="centerContinuous" vertical="center" wrapText="1"/>
      <protection/>
    </xf>
    <xf numFmtId="0" fontId="62" fillId="34" borderId="17" xfId="60" applyFont="1" applyFill="1" applyBorder="1" applyAlignment="1">
      <alignment horizontal="centerContinuous" vertical="center"/>
      <protection/>
    </xf>
    <xf numFmtId="0" fontId="62" fillId="26" borderId="21" xfId="60" applyFont="1" applyFill="1" applyBorder="1" applyAlignment="1">
      <alignment horizontal="centerContinuous" vertical="center" wrapText="1"/>
      <protection/>
    </xf>
    <xf numFmtId="0" fontId="62" fillId="32" borderId="67" xfId="60" applyFont="1" applyFill="1" applyBorder="1" applyAlignment="1">
      <alignment vertical="center" wrapText="1"/>
      <protection/>
    </xf>
    <xf numFmtId="0" fontId="62" fillId="32" borderId="41" xfId="60" applyFont="1" applyFill="1" applyBorder="1" applyAlignment="1">
      <alignment vertical="center" wrapText="1"/>
      <protection/>
    </xf>
    <xf numFmtId="0" fontId="62" fillId="32" borderId="44" xfId="60" applyFont="1" applyFill="1" applyBorder="1" applyAlignment="1">
      <alignment vertical="center" wrapText="1"/>
      <protection/>
    </xf>
    <xf numFmtId="164" fontId="13" fillId="0" borderId="28" xfId="60" applyNumberFormat="1" applyFont="1" applyFill="1" applyBorder="1" applyAlignment="1" applyProtection="1">
      <alignment horizontal="center"/>
      <protection/>
    </xf>
    <xf numFmtId="0" fontId="93" fillId="16" borderId="28" xfId="60" applyFont="1" applyFill="1" applyBorder="1" applyAlignment="1">
      <alignment horizontal="center"/>
      <protection/>
    </xf>
    <xf numFmtId="0" fontId="13" fillId="0" borderId="29" xfId="60" applyFont="1" applyFill="1" applyBorder="1" applyAlignment="1">
      <alignment horizontal="center"/>
      <protection/>
    </xf>
    <xf numFmtId="0" fontId="63" fillId="16" borderId="23" xfId="60" applyFont="1" applyFill="1" applyBorder="1" applyAlignment="1">
      <alignment horizontal="center"/>
      <protection/>
    </xf>
    <xf numFmtId="0" fontId="29" fillId="33" borderId="23" xfId="60" applyFont="1" applyFill="1" applyBorder="1" applyAlignment="1">
      <alignment horizontal="center"/>
      <protection/>
    </xf>
    <xf numFmtId="0" fontId="29" fillId="34" borderId="24" xfId="60" applyFont="1" applyFill="1" applyBorder="1" applyAlignment="1">
      <alignment horizontal="center"/>
      <protection/>
    </xf>
    <xf numFmtId="0" fontId="29" fillId="34" borderId="26" xfId="60" applyFont="1" applyFill="1" applyBorder="1" applyAlignment="1">
      <alignment horizontal="left"/>
      <protection/>
    </xf>
    <xf numFmtId="0" fontId="29" fillId="26" borderId="23" xfId="60" applyFont="1" applyFill="1" applyBorder="1" applyAlignment="1">
      <alignment horizontal="left"/>
      <protection/>
    </xf>
    <xf numFmtId="0" fontId="29" fillId="32" borderId="59" xfId="60" applyFont="1" applyFill="1" applyBorder="1" applyAlignment="1">
      <alignment horizontal="left"/>
      <protection/>
    </xf>
    <xf numFmtId="0" fontId="13" fillId="0" borderId="32" xfId="60" applyFont="1" applyBorder="1" applyAlignment="1" applyProtection="1">
      <alignment horizontal="center"/>
      <protection/>
    </xf>
    <xf numFmtId="164" fontId="13" fillId="0" borderId="27" xfId="60" applyNumberFormat="1" applyFont="1" applyBorder="1" applyAlignment="1" applyProtection="1">
      <alignment horizontal="center"/>
      <protection/>
    </xf>
    <xf numFmtId="1" fontId="13" fillId="0" borderId="49" xfId="60" applyNumberFormat="1" applyFont="1" applyBorder="1" applyAlignment="1" applyProtection="1" quotePrefix="1">
      <alignment horizontal="center"/>
      <protection/>
    </xf>
    <xf numFmtId="168" fontId="93" fillId="16" borderId="28" xfId="60" applyNumberFormat="1" applyFont="1" applyFill="1" applyBorder="1" applyAlignment="1" applyProtection="1">
      <alignment horizontal="center"/>
      <protection/>
    </xf>
    <xf numFmtId="168" fontId="93" fillId="32" borderId="28" xfId="60" applyNumberFormat="1" applyFont="1" applyFill="1" applyBorder="1" applyAlignment="1" applyProtection="1">
      <alignment horizontal="center"/>
      <protection/>
    </xf>
    <xf numFmtId="22" fontId="13" fillId="0" borderId="28" xfId="60" applyNumberFormat="1" applyFont="1" applyFill="1" applyBorder="1" applyAlignment="1" applyProtection="1">
      <alignment horizontal="center"/>
      <protection/>
    </xf>
    <xf numFmtId="4" fontId="13" fillId="0" borderId="28" xfId="60" applyNumberFormat="1" applyFont="1" applyFill="1" applyBorder="1" applyAlignment="1" applyProtection="1">
      <alignment horizontal="center"/>
      <protection/>
    </xf>
    <xf numFmtId="3" fontId="13" fillId="0" borderId="28" xfId="60" applyNumberFormat="1" applyFont="1" applyFill="1" applyBorder="1" applyAlignment="1" applyProtection="1">
      <alignment horizontal="center"/>
      <protection/>
    </xf>
    <xf numFmtId="168" fontId="13" fillId="0" borderId="28" xfId="60" applyNumberFormat="1" applyFont="1" applyFill="1" applyBorder="1" applyAlignment="1" applyProtection="1">
      <alignment horizontal="center"/>
      <protection/>
    </xf>
    <xf numFmtId="168" fontId="13" fillId="0" borderId="28" xfId="60" applyNumberFormat="1" applyFont="1" applyBorder="1" applyAlignment="1" applyProtection="1" quotePrefix="1">
      <alignment horizontal="center"/>
      <protection/>
    </xf>
    <xf numFmtId="164" fontId="63" fillId="16" borderId="28" xfId="60" applyNumberFormat="1" applyFont="1" applyFill="1" applyBorder="1" applyAlignment="1" applyProtection="1">
      <alignment horizontal="center"/>
      <protection/>
    </xf>
    <xf numFmtId="2" fontId="64" fillId="33" borderId="28" xfId="60" applyNumberFormat="1" applyFont="1" applyFill="1" applyBorder="1" applyAlignment="1">
      <alignment horizontal="center"/>
      <protection/>
    </xf>
    <xf numFmtId="168" fontId="64" fillId="34" borderId="48" xfId="60" applyNumberFormat="1" applyFont="1" applyFill="1" applyBorder="1" applyAlignment="1" applyProtection="1" quotePrefix="1">
      <alignment horizontal="center"/>
      <protection/>
    </xf>
    <xf numFmtId="168" fontId="64" fillId="34" borderId="49" xfId="60" applyNumberFormat="1" applyFont="1" applyFill="1" applyBorder="1" applyAlignment="1" applyProtection="1" quotePrefix="1">
      <alignment horizontal="center"/>
      <protection/>
    </xf>
    <xf numFmtId="168" fontId="64" fillId="32" borderId="59" xfId="60" applyNumberFormat="1" applyFont="1" applyFill="1" applyBorder="1" applyAlignment="1" applyProtection="1" quotePrefix="1">
      <alignment horizontal="center"/>
      <protection/>
    </xf>
    <xf numFmtId="168" fontId="64" fillId="32" borderId="0" xfId="60" applyNumberFormat="1" applyFont="1" applyFill="1" applyBorder="1" applyAlignment="1" applyProtection="1" quotePrefix="1">
      <alignment horizontal="center"/>
      <protection/>
    </xf>
    <xf numFmtId="168" fontId="64" fillId="32" borderId="58" xfId="60" applyNumberFormat="1" applyFont="1" applyFill="1" applyBorder="1" applyAlignment="1" applyProtection="1" quotePrefix="1">
      <alignment horizontal="center"/>
      <protection/>
    </xf>
    <xf numFmtId="4" fontId="77" fillId="0" borderId="29" xfId="60" applyNumberFormat="1" applyFont="1" applyFill="1" applyBorder="1" applyAlignment="1">
      <alignment horizontal="right"/>
      <protection/>
    </xf>
    <xf numFmtId="164" fontId="13" fillId="0" borderId="34" xfId="60" applyNumberFormat="1" applyFont="1" applyBorder="1" applyAlignment="1" applyProtection="1">
      <alignment horizontal="center"/>
      <protection/>
    </xf>
    <xf numFmtId="1" fontId="13" fillId="0" borderId="52" xfId="60" applyNumberFormat="1" applyFont="1" applyBorder="1" applyAlignment="1" applyProtection="1" quotePrefix="1">
      <alignment horizontal="center"/>
      <protection/>
    </xf>
    <xf numFmtId="168" fontId="93" fillId="16" borderId="36" xfId="60" applyNumberFormat="1" applyFont="1" applyFill="1" applyBorder="1" applyAlignment="1" applyProtection="1">
      <alignment horizontal="center"/>
      <protection/>
    </xf>
    <xf numFmtId="168" fontId="13" fillId="0" borderId="36" xfId="60" applyNumberFormat="1" applyFont="1" applyFill="1" applyBorder="1" applyAlignment="1" applyProtection="1">
      <alignment horizontal="center"/>
      <protection/>
    </xf>
    <xf numFmtId="168" fontId="13" fillId="0" borderId="75" xfId="60" applyNumberFormat="1" applyFont="1" applyBorder="1" applyAlignment="1" applyProtection="1">
      <alignment horizontal="center"/>
      <protection/>
    </xf>
    <xf numFmtId="164" fontId="63" fillId="16" borderId="36" xfId="60" applyNumberFormat="1" applyFont="1" applyFill="1" applyBorder="1" applyAlignment="1" applyProtection="1">
      <alignment horizontal="center"/>
      <protection/>
    </xf>
    <xf numFmtId="2" fontId="29" fillId="33" borderId="36" xfId="60" applyNumberFormat="1" applyFont="1" applyFill="1" applyBorder="1" applyAlignment="1">
      <alignment horizontal="center"/>
      <protection/>
    </xf>
    <xf numFmtId="168" fontId="29" fillId="34" borderId="51" xfId="60" applyNumberFormat="1" applyFont="1" applyFill="1" applyBorder="1" applyAlignment="1" applyProtection="1" quotePrefix="1">
      <alignment horizontal="center"/>
      <protection/>
    </xf>
    <xf numFmtId="168" fontId="29" fillId="34" borderId="52" xfId="60" applyNumberFormat="1" applyFont="1" applyFill="1" applyBorder="1" applyAlignment="1" applyProtection="1" quotePrefix="1">
      <alignment horizontal="center"/>
      <protection/>
    </xf>
    <xf numFmtId="168" fontId="29" fillId="26" borderId="36" xfId="60" applyNumberFormat="1" applyFont="1" applyFill="1" applyBorder="1" applyAlignment="1" applyProtection="1" quotePrefix="1">
      <alignment horizontal="center"/>
      <protection/>
    </xf>
    <xf numFmtId="168" fontId="29" fillId="32" borderId="57" xfId="60" applyNumberFormat="1" applyFont="1" applyFill="1" applyBorder="1" applyAlignment="1" applyProtection="1" quotePrefix="1">
      <alignment horizontal="center"/>
      <protection/>
    </xf>
    <xf numFmtId="164" fontId="13" fillId="0" borderId="41" xfId="60" applyNumberFormat="1" applyFont="1" applyFill="1" applyBorder="1" applyAlignment="1" applyProtection="1">
      <alignment horizontal="center"/>
      <protection/>
    </xf>
    <xf numFmtId="2" fontId="59" fillId="0" borderId="41" xfId="60" applyNumberFormat="1" applyFont="1" applyFill="1" applyBorder="1" applyAlignment="1">
      <alignment horizontal="center"/>
      <protection/>
    </xf>
    <xf numFmtId="8" fontId="77" fillId="0" borderId="21" xfId="54" applyNumberFormat="1" applyFont="1" applyFill="1" applyBorder="1" applyAlignment="1">
      <alignment horizontal="right"/>
    </xf>
    <xf numFmtId="0" fontId="13" fillId="0" borderId="76" xfId="60" applyFont="1" applyBorder="1" applyAlignment="1" applyProtection="1">
      <alignment horizontal="center"/>
      <protection/>
    </xf>
    <xf numFmtId="0" fontId="13" fillId="0" borderId="69" xfId="60" applyFont="1" applyBorder="1" applyAlignment="1" applyProtection="1">
      <alignment horizontal="center"/>
      <protection/>
    </xf>
    <xf numFmtId="168" fontId="93" fillId="32" borderId="35" xfId="60" applyNumberFormat="1" applyFont="1" applyFill="1" applyBorder="1" applyAlignment="1" applyProtection="1">
      <alignment horizontal="center"/>
      <protection/>
    </xf>
    <xf numFmtId="8" fontId="77" fillId="0" borderId="22" xfId="54" applyNumberFormat="1" applyFont="1" applyFill="1" applyBorder="1" applyAlignment="1">
      <alignment horizontal="right"/>
    </xf>
    <xf numFmtId="0" fontId="13" fillId="0" borderId="60" xfId="60" applyFont="1" applyBorder="1" applyAlignment="1" applyProtection="1">
      <alignment horizontal="center"/>
      <protection/>
    </xf>
    <xf numFmtId="22" fontId="13" fillId="0" borderId="48" xfId="60" applyNumberFormat="1" applyFont="1" applyBorder="1" applyAlignment="1" applyProtection="1">
      <alignment horizontal="center"/>
      <protection locked="0"/>
    </xf>
    <xf numFmtId="22" fontId="13" fillId="0" borderId="27" xfId="60" applyNumberFormat="1" applyFont="1" applyBorder="1" applyAlignment="1" applyProtection="1">
      <alignment horizontal="center"/>
      <protection locked="0"/>
    </xf>
    <xf numFmtId="168" fontId="13" fillId="0" borderId="47" xfId="60" applyNumberFormat="1" applyFont="1" applyBorder="1" applyAlignment="1" applyProtection="1">
      <alignment horizontal="center"/>
      <protection locked="0"/>
    </xf>
    <xf numFmtId="0" fontId="13" fillId="0" borderId="61" xfId="60" applyFont="1" applyBorder="1" applyAlignment="1" applyProtection="1">
      <alignment horizontal="center"/>
      <protection/>
    </xf>
    <xf numFmtId="8" fontId="77" fillId="0" borderId="0" xfId="54" applyNumberFormat="1" applyFont="1" applyFill="1" applyBorder="1" applyAlignment="1">
      <alignment horizontal="right"/>
    </xf>
    <xf numFmtId="4" fontId="94" fillId="0" borderId="0" xfId="60" applyNumberFormat="1" applyFont="1" applyBorder="1" applyAlignment="1" applyProtection="1">
      <alignment horizontal="center"/>
      <protection/>
    </xf>
    <xf numFmtId="7" fontId="94" fillId="0" borderId="0" xfId="60" applyNumberFormat="1" applyFont="1" applyFill="1" applyBorder="1" applyAlignment="1">
      <alignment horizontal="center"/>
      <protection/>
    </xf>
    <xf numFmtId="1" fontId="21" fillId="0" borderId="0" xfId="60" applyNumberFormat="1" applyFont="1" applyBorder="1" applyAlignment="1" applyProtection="1">
      <alignment horizontal="centerContinuous"/>
      <protection/>
    </xf>
    <xf numFmtId="1" fontId="21" fillId="0" borderId="0" xfId="60" applyNumberFormat="1" applyFont="1" applyBorder="1" applyAlignment="1" applyProtection="1">
      <alignment horizontal="left"/>
      <protection/>
    </xf>
    <xf numFmtId="0" fontId="131" fillId="0" borderId="16" xfId="60" applyFont="1" applyBorder="1" applyAlignment="1">
      <alignment horizontal="center"/>
      <protection/>
    </xf>
    <xf numFmtId="7" fontId="4" fillId="0" borderId="17" xfId="60" applyNumberFormat="1" applyFont="1" applyBorder="1" applyAlignment="1">
      <alignment horizontal="center"/>
      <protection/>
    </xf>
    <xf numFmtId="0" fontId="11" fillId="0" borderId="0" xfId="60" applyFont="1" applyAlignment="1">
      <alignment horizontal="right" vertical="top"/>
      <protection/>
    </xf>
    <xf numFmtId="1" fontId="3" fillId="0" borderId="77" xfId="60" applyNumberFormat="1" applyBorder="1" applyAlignment="1">
      <alignment horizontal="center"/>
      <protection/>
    </xf>
    <xf numFmtId="0" fontId="21" fillId="0" borderId="0" xfId="60" applyFont="1" applyAlignment="1">
      <alignment/>
      <protection/>
    </xf>
    <xf numFmtId="0" fontId="48" fillId="0" borderId="78" xfId="60" applyFont="1" applyBorder="1" applyAlignment="1">
      <alignment horizontal="centerContinuous"/>
      <protection/>
    </xf>
    <xf numFmtId="0" fontId="48" fillId="0" borderId="79" xfId="60" applyFont="1" applyBorder="1" applyAlignment="1">
      <alignment horizontal="centerContinuous"/>
      <protection/>
    </xf>
    <xf numFmtId="174" fontId="48" fillId="0" borderId="80" xfId="60" applyNumberFormat="1" applyFont="1" applyBorder="1" applyAlignment="1">
      <alignment horizontal="center"/>
      <protection/>
    </xf>
    <xf numFmtId="1" fontId="48" fillId="0" borderId="80" xfId="60" applyNumberFormat="1" applyFont="1" applyBorder="1" applyAlignment="1">
      <alignment horizontal="center"/>
      <protection/>
    </xf>
    <xf numFmtId="0" fontId="48" fillId="0" borderId="81" xfId="60" applyFont="1" applyBorder="1" applyAlignment="1">
      <alignment horizontal="centerContinuous"/>
      <protection/>
    </xf>
    <xf numFmtId="0" fontId="48" fillId="0" borderId="65" xfId="60" applyFont="1" applyBorder="1" applyAlignment="1">
      <alignment horizontal="centerContinuous"/>
      <protection/>
    </xf>
    <xf numFmtId="174" fontId="48" fillId="0" borderId="82" xfId="60" applyNumberFormat="1" applyFont="1" applyBorder="1" applyAlignment="1">
      <alignment horizontal="center"/>
      <protection/>
    </xf>
    <xf numFmtId="1" fontId="48" fillId="0" borderId="82" xfId="60" applyNumberFormat="1" applyFont="1" applyBorder="1" applyAlignment="1">
      <alignment horizontal="center"/>
      <protection/>
    </xf>
    <xf numFmtId="0" fontId="48" fillId="0" borderId="83" xfId="60" applyFont="1" applyBorder="1" applyAlignment="1">
      <alignment horizontal="centerContinuous"/>
      <protection/>
    </xf>
    <xf numFmtId="0" fontId="48" fillId="0" borderId="84" xfId="60" applyFont="1" applyBorder="1" applyAlignment="1">
      <alignment horizontal="centerContinuous"/>
      <protection/>
    </xf>
    <xf numFmtId="174" fontId="48" fillId="0" borderId="85" xfId="60" applyNumberFormat="1" applyFont="1" applyFill="1" applyBorder="1" applyAlignment="1">
      <alignment horizontal="center"/>
      <protection/>
    </xf>
    <xf numFmtId="1" fontId="48" fillId="0" borderId="85" xfId="60" applyNumberFormat="1" applyFont="1" applyFill="1" applyBorder="1" applyAlignment="1">
      <alignment horizontal="center"/>
      <protection/>
    </xf>
    <xf numFmtId="2" fontId="89" fillId="0" borderId="63" xfId="60" applyNumberFormat="1" applyFont="1" applyFill="1" applyBorder="1" applyAlignment="1" applyProtection="1">
      <alignment horizontal="center"/>
      <protection/>
    </xf>
    <xf numFmtId="2" fontId="76" fillId="0" borderId="63" xfId="60" applyNumberFormat="1" applyFont="1" applyFill="1" applyBorder="1" applyAlignment="1" applyProtection="1">
      <alignment horizontal="center"/>
      <protection/>
    </xf>
    <xf numFmtId="2" fontId="92" fillId="0" borderId="63" xfId="60" applyNumberFormat="1" applyFont="1" applyFill="1" applyBorder="1" applyAlignment="1" applyProtection="1">
      <alignment horizontal="center"/>
      <protection/>
    </xf>
    <xf numFmtId="0" fontId="13" fillId="0" borderId="23" xfId="60" applyFont="1" applyFill="1" applyBorder="1" applyAlignment="1">
      <alignment horizontal="centerContinuous"/>
      <protection/>
    </xf>
    <xf numFmtId="168" fontId="13" fillId="0" borderId="28" xfId="60" applyNumberFormat="1" applyFont="1" applyBorder="1" applyAlignment="1" applyProtection="1">
      <alignment horizontal="centerContinuous"/>
      <protection/>
    </xf>
    <xf numFmtId="1" fontId="13" fillId="0" borderId="49" xfId="60" applyNumberFormat="1" applyFont="1" applyBorder="1" applyAlignment="1" applyProtection="1">
      <alignment horizontal="center"/>
      <protection/>
    </xf>
    <xf numFmtId="0" fontId="13" fillId="0" borderId="35" xfId="56" applyFont="1" applyBorder="1" applyAlignment="1" applyProtection="1">
      <alignment horizontal="center"/>
      <protection locked="0"/>
    </xf>
    <xf numFmtId="164" fontId="13" fillId="0" borderId="76" xfId="60" applyNumberFormat="1" applyFont="1" applyBorder="1" applyAlignment="1" applyProtection="1">
      <alignment horizontal="center"/>
      <protection/>
    </xf>
    <xf numFmtId="1" fontId="13" fillId="0" borderId="86" xfId="60" applyNumberFormat="1" applyFont="1" applyBorder="1" applyAlignment="1" applyProtection="1">
      <alignment horizontal="center"/>
      <protection/>
    </xf>
    <xf numFmtId="168" fontId="13" fillId="0" borderId="36" xfId="60" applyNumberFormat="1" applyFont="1" applyBorder="1" applyAlignment="1" applyProtection="1">
      <alignment horizontal="centerContinuous"/>
      <protection/>
    </xf>
    <xf numFmtId="0" fontId="13" fillId="0" borderId="33" xfId="64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4" fontId="13" fillId="0" borderId="28" xfId="64" applyNumberFormat="1" applyFont="1" applyBorder="1" applyAlignment="1" applyProtection="1" quotePrefix="1">
      <alignment horizontal="center"/>
      <protection locked="0"/>
    </xf>
    <xf numFmtId="2" fontId="72" fillId="8" borderId="28" xfId="60" applyNumberFormat="1" applyFont="1" applyFill="1" applyBorder="1" applyAlignment="1">
      <alignment horizontal="center"/>
      <protection/>
    </xf>
    <xf numFmtId="168" fontId="13" fillId="0" borderId="28" xfId="60" applyNumberFormat="1" applyFont="1" applyBorder="1" applyAlignment="1">
      <alignment horizontal="center"/>
      <protection/>
    </xf>
    <xf numFmtId="0" fontId="13" fillId="0" borderId="60" xfId="64" applyFont="1" applyBorder="1" applyAlignment="1" applyProtection="1">
      <alignment horizontal="center"/>
      <protection locked="0"/>
    </xf>
    <xf numFmtId="0" fontId="13" fillId="0" borderId="33" xfId="60" applyFont="1" applyBorder="1" applyAlignment="1" applyProtection="1">
      <alignment horizontal="center"/>
      <protection/>
    </xf>
    <xf numFmtId="22" fontId="13" fillId="0" borderId="30" xfId="60" applyNumberFormat="1" applyFont="1" applyBorder="1" applyAlignment="1">
      <alignment horizontal="center"/>
      <protection/>
    </xf>
    <xf numFmtId="22" fontId="13" fillId="0" borderId="28" xfId="60" applyNumberFormat="1" applyFont="1" applyBorder="1" applyAlignment="1" applyProtection="1">
      <alignment horizontal="center"/>
      <protection/>
    </xf>
    <xf numFmtId="22" fontId="13" fillId="0" borderId="48" xfId="60" applyNumberFormat="1" applyFont="1" applyBorder="1" applyAlignment="1">
      <alignment horizontal="center"/>
      <protection/>
    </xf>
    <xf numFmtId="22" fontId="13" fillId="0" borderId="27" xfId="60" applyNumberFormat="1" applyFont="1" applyBorder="1" applyAlignment="1" applyProtection="1">
      <alignment horizontal="center"/>
      <protection/>
    </xf>
    <xf numFmtId="2" fontId="13" fillId="0" borderId="27" xfId="60" applyNumberFormat="1" applyFont="1" applyFill="1" applyBorder="1" applyAlignment="1" applyProtection="1" quotePrefix="1">
      <alignment horizontal="center"/>
      <protection/>
    </xf>
    <xf numFmtId="0" fontId="0" fillId="0" borderId="47" xfId="0" applyBorder="1" applyAlignment="1">
      <alignment/>
    </xf>
    <xf numFmtId="164" fontId="13" fillId="0" borderId="28" xfId="60" applyNumberFormat="1" applyFont="1" applyBorder="1" applyAlignment="1" applyProtection="1" quotePrefix="1">
      <alignment horizontal="center"/>
      <protection/>
    </xf>
    <xf numFmtId="164" fontId="13" fillId="0" borderId="27" xfId="60" applyNumberFormat="1" applyFont="1" applyBorder="1" applyAlignment="1" applyProtection="1" quotePrefix="1">
      <alignment horizontal="center"/>
      <protection/>
    </xf>
    <xf numFmtId="168" fontId="63" fillId="16" borderId="27" xfId="60" applyNumberFormat="1" applyFont="1" applyFill="1" applyBorder="1" applyAlignment="1" applyProtection="1">
      <alignment horizontal="center"/>
      <protection/>
    </xf>
    <xf numFmtId="164" fontId="13" fillId="0" borderId="27" xfId="60" applyNumberFormat="1" applyFont="1" applyFill="1" applyBorder="1" applyAlignment="1" applyProtection="1" quotePrefix="1">
      <alignment horizontal="center"/>
      <protection/>
    </xf>
    <xf numFmtId="164" fontId="29" fillId="25" borderId="35" xfId="60" applyNumberFormat="1" applyFont="1" applyFill="1" applyBorder="1" applyAlignment="1" applyProtection="1">
      <alignment horizontal="center"/>
      <protection/>
    </xf>
    <xf numFmtId="2" fontId="72" fillId="8" borderId="35" xfId="60" applyNumberFormat="1" applyFont="1" applyFill="1" applyBorder="1" applyAlignment="1">
      <alignment horizontal="center"/>
      <protection/>
    </xf>
    <xf numFmtId="168" fontId="51" fillId="23" borderId="87" xfId="60" applyNumberFormat="1" applyFont="1" applyFill="1" applyBorder="1" applyAlignment="1" applyProtection="1" quotePrefix="1">
      <alignment horizontal="center"/>
      <protection/>
    </xf>
    <xf numFmtId="168" fontId="51" fillId="23" borderId="88" xfId="60" applyNumberFormat="1" applyFont="1" applyFill="1" applyBorder="1" applyAlignment="1" applyProtection="1" quotePrefix="1">
      <alignment horizontal="center"/>
      <protection/>
    </xf>
    <xf numFmtId="168" fontId="64" fillId="26" borderId="35" xfId="60" applyNumberFormat="1" applyFont="1" applyFill="1" applyBorder="1" applyAlignment="1" applyProtection="1" quotePrefix="1">
      <alignment horizontal="center"/>
      <protection/>
    </xf>
    <xf numFmtId="168" fontId="13" fillId="0" borderId="35" xfId="60" applyNumberFormat="1" applyFont="1" applyBorder="1" applyAlignment="1">
      <alignment horizontal="center"/>
      <protection/>
    </xf>
    <xf numFmtId="4" fontId="77" fillId="0" borderId="35" xfId="60" applyNumberFormat="1" applyFont="1" applyFill="1" applyBorder="1" applyAlignment="1">
      <alignment horizontal="right"/>
      <protection/>
    </xf>
    <xf numFmtId="0" fontId="74" fillId="0" borderId="89" xfId="60" applyFont="1" applyBorder="1" applyAlignment="1" applyProtection="1">
      <alignment horizontal="center"/>
      <protection/>
    </xf>
    <xf numFmtId="164" fontId="49" fillId="0" borderId="34" xfId="60" applyNumberFormat="1" applyFont="1" applyBorder="1" applyAlignment="1" applyProtection="1" quotePrefix="1">
      <alignment horizontal="center"/>
      <protection/>
    </xf>
    <xf numFmtId="168" fontId="63" fillId="16" borderId="34" xfId="60" applyNumberFormat="1" applyFont="1" applyFill="1" applyBorder="1" applyAlignment="1" applyProtection="1">
      <alignment horizontal="center"/>
      <protection/>
    </xf>
    <xf numFmtId="22" fontId="13" fillId="0" borderId="51" xfId="60" applyNumberFormat="1" applyFont="1" applyBorder="1" applyAlignment="1">
      <alignment horizontal="center"/>
      <protection/>
    </xf>
    <xf numFmtId="22" fontId="13" fillId="0" borderId="34" xfId="60" applyNumberFormat="1" applyFont="1" applyBorder="1" applyAlignment="1" applyProtection="1">
      <alignment horizontal="center"/>
      <protection/>
    </xf>
    <xf numFmtId="2" fontId="13" fillId="0" borderId="34" xfId="60" applyNumberFormat="1" applyFont="1" applyFill="1" applyBorder="1" applyAlignment="1" applyProtection="1" quotePrefix="1">
      <alignment horizontal="center"/>
      <protection/>
    </xf>
    <xf numFmtId="164" fontId="13" fillId="0" borderId="34" xfId="60" applyNumberFormat="1" applyFont="1" applyFill="1" applyBorder="1" applyAlignment="1" applyProtection="1" quotePrefix="1">
      <alignment horizontal="center"/>
      <protection/>
    </xf>
    <xf numFmtId="164" fontId="29" fillId="25" borderId="34" xfId="60" applyNumberFormat="1" applyFont="1" applyFill="1" applyBorder="1" applyAlignment="1" applyProtection="1">
      <alignment horizontal="center"/>
      <protection/>
    </xf>
    <xf numFmtId="2" fontId="72" fillId="8" borderId="34" xfId="60" applyNumberFormat="1" applyFont="1" applyFill="1" applyBorder="1" applyAlignment="1">
      <alignment horizontal="center"/>
      <protection/>
    </xf>
    <xf numFmtId="168" fontId="51" fillId="23" borderId="51" xfId="60" applyNumberFormat="1" applyFont="1" applyFill="1" applyBorder="1" applyAlignment="1" applyProtection="1" quotePrefix="1">
      <alignment horizontal="center"/>
      <protection/>
    </xf>
    <xf numFmtId="168" fontId="51" fillId="23" borderId="52" xfId="60" applyNumberFormat="1" applyFont="1" applyFill="1" applyBorder="1" applyAlignment="1" applyProtection="1" quotePrefix="1">
      <alignment horizontal="center"/>
      <protection/>
    </xf>
    <xf numFmtId="168" fontId="64" fillId="26" borderId="34" xfId="60" applyNumberFormat="1" applyFont="1" applyFill="1" applyBorder="1" applyAlignment="1" applyProtection="1" quotePrefix="1">
      <alignment horizontal="center"/>
      <protection/>
    </xf>
    <xf numFmtId="168" fontId="13" fillId="0" borderId="34" xfId="60" applyNumberFormat="1" applyFont="1" applyBorder="1" applyAlignment="1">
      <alignment horizontal="center"/>
      <protection/>
    </xf>
    <xf numFmtId="4" fontId="77" fillId="0" borderId="34" xfId="60" applyNumberFormat="1" applyFont="1" applyFill="1" applyBorder="1" applyAlignment="1">
      <alignment horizontal="right"/>
      <protection/>
    </xf>
    <xf numFmtId="0" fontId="48" fillId="0" borderId="0" xfId="60" applyFont="1" applyFill="1" applyBorder="1">
      <alignment/>
      <protection/>
    </xf>
    <xf numFmtId="0" fontId="48" fillId="0" borderId="0" xfId="60" applyFont="1" applyFill="1" applyBorder="1" applyAlignment="1">
      <alignment horizontal="center"/>
      <protection/>
    </xf>
    <xf numFmtId="164" fontId="48" fillId="0" borderId="0" xfId="60" applyNumberFormat="1" applyFont="1" applyBorder="1" applyAlignment="1" applyProtection="1" quotePrefix="1">
      <alignment horizontal="center"/>
      <protection/>
    </xf>
    <xf numFmtId="7" fontId="48" fillId="0" borderId="0" xfId="60" applyNumberFormat="1" applyFont="1" applyFill="1" applyBorder="1" applyAlignment="1">
      <alignment horizontal="center"/>
      <protection/>
    </xf>
    <xf numFmtId="0" fontId="48" fillId="0" borderId="0" xfId="60" applyFont="1" applyFill="1" applyBorder="1" applyAlignment="1">
      <alignment horizontal="centerContinuous"/>
      <protection/>
    </xf>
    <xf numFmtId="0" fontId="48" fillId="0" borderId="0" xfId="60" applyFont="1" applyBorder="1" applyAlignment="1" applyProtection="1">
      <alignment horizontal="center"/>
      <protection/>
    </xf>
    <xf numFmtId="6" fontId="48" fillId="0" borderId="0" xfId="54" applyFont="1" applyBorder="1" applyAlignment="1">
      <alignment horizontal="center"/>
    </xf>
    <xf numFmtId="221" fontId="3" fillId="0" borderId="17" xfId="64" applyNumberFormat="1" applyFont="1" applyBorder="1" applyAlignment="1">
      <alignment horizontal="center" vertical="center"/>
      <protection/>
    </xf>
    <xf numFmtId="0" fontId="27" fillId="0" borderId="0" xfId="62" applyNumberFormat="1" applyFont="1" applyBorder="1" applyAlignment="1">
      <alignment horizontal="left"/>
      <protection/>
    </xf>
    <xf numFmtId="0" fontId="27" fillId="0" borderId="0" xfId="0" applyNumberFormat="1" applyFont="1" applyBorder="1" applyAlignment="1">
      <alignment horizontal="left"/>
    </xf>
    <xf numFmtId="0" fontId="3" fillId="0" borderId="0" xfId="64" applyFont="1" applyBorder="1" applyAlignment="1" applyProtection="1">
      <alignment horizontal="left"/>
      <protection/>
    </xf>
    <xf numFmtId="221" fontId="3" fillId="0" borderId="0" xfId="64" applyNumberFormat="1" applyFont="1" applyBorder="1" applyAlignment="1">
      <alignment horizontal="center"/>
      <protection/>
    </xf>
    <xf numFmtId="0" fontId="74" fillId="0" borderId="89" xfId="64" applyFont="1" applyBorder="1" applyAlignment="1" applyProtection="1">
      <alignment horizontal="center"/>
      <protection locked="0"/>
    </xf>
    <xf numFmtId="0" fontId="132" fillId="0" borderId="0" xfId="64" applyFont="1" applyBorder="1" applyAlignment="1" applyProtection="1">
      <alignment horizontal="left"/>
      <protection/>
    </xf>
    <xf numFmtId="0" fontId="133" fillId="0" borderId="0" xfId="60" applyFont="1" applyAlignment="1">
      <alignment horizontal="right" vertical="top"/>
      <protection/>
    </xf>
    <xf numFmtId="0" fontId="13" fillId="0" borderId="0" xfId="60" applyFont="1" applyAlignment="1">
      <alignment/>
      <protection/>
    </xf>
    <xf numFmtId="0" fontId="9" fillId="0" borderId="0" xfId="60" applyFont="1" applyAlignment="1">
      <alignment horizontal="centerContinuous"/>
      <protection/>
    </xf>
    <xf numFmtId="0" fontId="8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13" fillId="0" borderId="0" xfId="60" applyFont="1" applyAlignment="1">
      <alignment horizontal="centerContinuous"/>
      <protection/>
    </xf>
    <xf numFmtId="0" fontId="134" fillId="0" borderId="0" xfId="60" applyFont="1">
      <alignment/>
      <protection/>
    </xf>
    <xf numFmtId="0" fontId="134" fillId="0" borderId="0" xfId="60" applyFont="1" applyAlignment="1">
      <alignment horizontal="centerContinuous"/>
      <protection/>
    </xf>
    <xf numFmtId="0" fontId="135" fillId="0" borderId="0" xfId="60" applyFont="1" applyAlignment="1">
      <alignment horizontal="centerContinuous"/>
      <protection/>
    </xf>
    <xf numFmtId="0" fontId="134" fillId="0" borderId="0" xfId="60" applyFont="1" applyAlignment="1">
      <alignment/>
      <protection/>
    </xf>
    <xf numFmtId="0" fontId="135" fillId="0" borderId="0" xfId="60" applyFont="1">
      <alignment/>
      <protection/>
    </xf>
    <xf numFmtId="0" fontId="135" fillId="0" borderId="0" xfId="60" applyFont="1" applyAlignment="1">
      <alignment/>
      <protection/>
    </xf>
    <xf numFmtId="0" fontId="21" fillId="0" borderId="11" xfId="60" applyFont="1" applyBorder="1" applyAlignment="1">
      <alignment horizontal="centerContinuous"/>
      <protection/>
    </xf>
    <xf numFmtId="0" fontId="21" fillId="0" borderId="12" xfId="60" applyFont="1" applyBorder="1" applyAlignment="1">
      <alignment horizontal="centerContinuous"/>
      <protection/>
    </xf>
    <xf numFmtId="0" fontId="21" fillId="0" borderId="13" xfId="60" applyFont="1" applyBorder="1" applyAlignment="1">
      <alignment horizontal="centerContinuous"/>
      <protection/>
    </xf>
    <xf numFmtId="0" fontId="21" fillId="0" borderId="0" xfId="60" applyFont="1" applyBorder="1" applyAlignment="1">
      <alignment horizontal="centerContinuous"/>
      <protection/>
    </xf>
    <xf numFmtId="0" fontId="21" fillId="0" borderId="15" xfId="60" applyFont="1" applyBorder="1" applyAlignment="1">
      <alignment/>
      <protection/>
    </xf>
    <xf numFmtId="0" fontId="21" fillId="0" borderId="15" xfId="60" applyFont="1" applyBorder="1">
      <alignment/>
      <protection/>
    </xf>
    <xf numFmtId="0" fontId="30" fillId="0" borderId="0" xfId="60" applyFont="1" applyAlignment="1">
      <alignment horizontal="center" vertical="center"/>
      <protection/>
    </xf>
    <xf numFmtId="0" fontId="30" fillId="0" borderId="14" xfId="60" applyFont="1" applyBorder="1" applyAlignment="1">
      <alignment horizontal="center" vertical="center"/>
      <protection/>
    </xf>
    <xf numFmtId="17" fontId="30" fillId="0" borderId="21" xfId="60" applyNumberFormat="1" applyFont="1" applyBorder="1" applyAlignment="1">
      <alignment horizontal="center" vertical="center"/>
      <protection/>
    </xf>
    <xf numFmtId="0" fontId="30" fillId="0" borderId="15" xfId="60" applyFont="1" applyBorder="1" applyAlignment="1">
      <alignment horizontal="center" vertical="center"/>
      <protection/>
    </xf>
    <xf numFmtId="0" fontId="136" fillId="0" borderId="0" xfId="60" applyFont="1" applyAlignment="1">
      <alignment vertical="center"/>
      <protection/>
    </xf>
    <xf numFmtId="0" fontId="136" fillId="0" borderId="14" xfId="60" applyFont="1" applyBorder="1" applyAlignment="1">
      <alignment vertical="center"/>
      <protection/>
    </xf>
    <xf numFmtId="0" fontId="136" fillId="0" borderId="33" xfId="60" applyFont="1" applyBorder="1" applyAlignment="1">
      <alignment vertical="center"/>
      <protection/>
    </xf>
    <xf numFmtId="0" fontId="136" fillId="0" borderId="28" xfId="60" applyFont="1" applyBorder="1" applyAlignment="1">
      <alignment vertical="center"/>
      <protection/>
    </xf>
    <xf numFmtId="0" fontId="136" fillId="0" borderId="28" xfId="60" applyFont="1" applyFill="1" applyBorder="1" applyAlignment="1">
      <alignment vertical="center"/>
      <protection/>
    </xf>
    <xf numFmtId="0" fontId="136" fillId="0" borderId="43" xfId="60" applyFont="1" applyBorder="1" applyAlignment="1">
      <alignment vertical="center"/>
      <protection/>
    </xf>
    <xf numFmtId="0" fontId="136" fillId="0" borderId="15" xfId="60" applyFont="1" applyBorder="1" applyAlignment="1">
      <alignment vertical="center"/>
      <protection/>
    </xf>
    <xf numFmtId="0" fontId="136" fillId="1" borderId="30" xfId="60" applyFont="1" applyFill="1" applyBorder="1" applyAlignment="1">
      <alignment horizontal="center" vertical="center"/>
      <protection/>
    </xf>
    <xf numFmtId="0" fontId="136" fillId="35" borderId="27" xfId="60" applyFont="1" applyFill="1" applyBorder="1" applyAlignment="1">
      <alignment horizontal="center" vertical="center"/>
      <protection/>
    </xf>
    <xf numFmtId="0" fontId="136" fillId="0" borderId="35" xfId="60" applyFont="1" applyBorder="1" applyAlignment="1">
      <alignment vertical="center"/>
      <protection/>
    </xf>
    <xf numFmtId="0" fontId="136" fillId="0" borderId="51" xfId="60" applyFont="1" applyFill="1" applyBorder="1" applyAlignment="1">
      <alignment horizontal="center" vertical="center"/>
      <protection/>
    </xf>
    <xf numFmtId="0" fontId="136" fillId="0" borderId="34" xfId="60" applyFont="1" applyFill="1" applyBorder="1" applyAlignment="1">
      <alignment horizontal="center" vertical="center"/>
      <protection/>
    </xf>
    <xf numFmtId="0" fontId="136" fillId="1" borderId="34" xfId="60" applyFont="1" applyFill="1" applyBorder="1" applyAlignment="1">
      <alignment horizontal="center" vertical="center"/>
      <protection/>
    </xf>
    <xf numFmtId="0" fontId="136" fillId="0" borderId="27" xfId="60" applyFont="1" applyFill="1" applyBorder="1" applyAlignment="1">
      <alignment horizontal="center" vertical="center"/>
      <protection/>
    </xf>
    <xf numFmtId="0" fontId="136" fillId="0" borderId="0" xfId="60" applyFont="1" applyFill="1" applyBorder="1" applyAlignment="1">
      <alignment horizontal="center" vertical="center"/>
      <protection/>
    </xf>
    <xf numFmtId="0" fontId="136" fillId="0" borderId="0" xfId="60" applyFont="1" applyFill="1" applyBorder="1" applyAlignment="1">
      <alignment vertical="center"/>
      <protection/>
    </xf>
    <xf numFmtId="0" fontId="137" fillId="0" borderId="0" xfId="60" applyFont="1" applyFill="1" applyBorder="1" applyAlignment="1">
      <alignment horizontal="right" vertical="center"/>
      <protection/>
    </xf>
    <xf numFmtId="0" fontId="136" fillId="1" borderId="21" xfId="60" applyFont="1" applyFill="1" applyBorder="1" applyAlignment="1">
      <alignment horizontal="center" vertical="center"/>
      <protection/>
    </xf>
    <xf numFmtId="0" fontId="136" fillId="0" borderId="16" xfId="60" applyFont="1" applyFill="1" applyBorder="1" applyAlignment="1">
      <alignment horizontal="center" vertical="center"/>
      <protection/>
    </xf>
    <xf numFmtId="0" fontId="136" fillId="0" borderId="22" xfId="60" applyFont="1" applyFill="1" applyBorder="1" applyAlignment="1">
      <alignment horizontal="center" vertical="center"/>
      <protection/>
    </xf>
    <xf numFmtId="0" fontId="136" fillId="0" borderId="0" xfId="60" applyFont="1" applyBorder="1" applyAlignment="1">
      <alignment horizontal="center" vertical="center"/>
      <protection/>
    </xf>
    <xf numFmtId="0" fontId="136" fillId="0" borderId="0" xfId="60" applyFont="1" applyBorder="1" applyAlignment="1">
      <alignment vertical="center"/>
      <protection/>
    </xf>
    <xf numFmtId="0" fontId="136" fillId="0" borderId="0" xfId="60" applyFont="1" applyBorder="1" applyAlignment="1">
      <alignment horizontal="right" vertical="center"/>
      <protection/>
    </xf>
    <xf numFmtId="0" fontId="137" fillId="0" borderId="0" xfId="60" applyFont="1" applyBorder="1" applyAlignment="1">
      <alignment horizontal="right" vertical="center"/>
      <protection/>
    </xf>
    <xf numFmtId="0" fontId="136" fillId="0" borderId="21" xfId="60" applyFont="1" applyBorder="1" applyAlignment="1">
      <alignment horizontal="center" vertical="center"/>
      <protection/>
    </xf>
    <xf numFmtId="0" fontId="136" fillId="0" borderId="36" xfId="60" applyFont="1" applyBorder="1" applyAlignment="1">
      <alignment vertical="center"/>
      <protection/>
    </xf>
    <xf numFmtId="2" fontId="137" fillId="35" borderId="21" xfId="60" applyNumberFormat="1" applyFont="1" applyFill="1" applyBorder="1" applyAlignment="1">
      <alignment horizontal="center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right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0" fontId="13" fillId="0" borderId="16" xfId="60" applyFont="1" applyBorder="1">
      <alignment/>
      <protection/>
    </xf>
    <xf numFmtId="0" fontId="13" fillId="0" borderId="22" xfId="60" applyFont="1" applyBorder="1" applyAlignment="1">
      <alignment horizontal="center"/>
      <protection/>
    </xf>
    <xf numFmtId="2" fontId="10" fillId="0" borderId="22" xfId="60" applyNumberFormat="1" applyFont="1" applyBorder="1" applyAlignment="1">
      <alignment horizontal="center"/>
      <protection/>
    </xf>
    <xf numFmtId="0" fontId="21" fillId="0" borderId="22" xfId="60" applyFont="1" applyBorder="1">
      <alignment/>
      <protection/>
    </xf>
    <xf numFmtId="0" fontId="13" fillId="0" borderId="22" xfId="60" applyFont="1" applyBorder="1">
      <alignment/>
      <protection/>
    </xf>
    <xf numFmtId="0" fontId="3" fillId="0" borderId="17" xfId="60" applyBorder="1">
      <alignment/>
      <protection/>
    </xf>
    <xf numFmtId="0" fontId="13" fillId="0" borderId="0" xfId="60" applyFont="1" applyAlignment="1">
      <alignment vertical="center"/>
      <protection/>
    </xf>
    <xf numFmtId="0" fontId="13" fillId="0" borderId="14" xfId="60" applyFont="1" applyBorder="1" applyAlignment="1">
      <alignment vertical="center"/>
      <protection/>
    </xf>
    <xf numFmtId="0" fontId="13" fillId="0" borderId="15" xfId="60" applyFont="1" applyBorder="1" applyAlignment="1">
      <alignment vertical="center"/>
      <protection/>
    </xf>
    <xf numFmtId="0" fontId="21" fillId="0" borderId="19" xfId="60" applyFont="1" applyBorder="1" applyAlignment="1">
      <alignment horizontal="center"/>
      <protection/>
    </xf>
    <xf numFmtId="0" fontId="21" fillId="0" borderId="20" xfId="60" applyFont="1" applyBorder="1">
      <alignment/>
      <protection/>
    </xf>
    <xf numFmtId="0" fontId="13" fillId="0" borderId="0" xfId="60" applyFont="1" applyAlignment="1">
      <alignment horizontal="center"/>
      <protection/>
    </xf>
    <xf numFmtId="2" fontId="13" fillId="0" borderId="0" xfId="60" applyNumberFormat="1" applyFont="1" applyBorder="1" applyAlignment="1">
      <alignment horizontal="center"/>
      <protection/>
    </xf>
    <xf numFmtId="174" fontId="13" fillId="0" borderId="0" xfId="60" applyNumberFormat="1" applyFont="1" applyBorder="1" applyAlignment="1">
      <alignment horizontal="center"/>
      <protection/>
    </xf>
    <xf numFmtId="164" fontId="13" fillId="0" borderId="89" xfId="60" applyNumberFormat="1" applyFont="1" applyBorder="1" applyAlignment="1" applyProtection="1">
      <alignment horizontal="center"/>
      <protection/>
    </xf>
    <xf numFmtId="164" fontId="13" fillId="0" borderId="75" xfId="60" applyNumberFormat="1" applyFont="1" applyBorder="1" applyAlignment="1" applyProtection="1">
      <alignment horizontal="center"/>
      <protection/>
    </xf>
    <xf numFmtId="0" fontId="13" fillId="0" borderId="60" xfId="60" applyFont="1" applyBorder="1" applyAlignment="1" applyProtection="1">
      <alignment horizontal="center"/>
      <protection locked="0"/>
    </xf>
    <xf numFmtId="0" fontId="13" fillId="0" borderId="47" xfId="60" applyFont="1" applyBorder="1" applyAlignment="1" applyProtection="1">
      <alignment horizontal="center"/>
      <protection locked="0"/>
    </xf>
    <xf numFmtId="168" fontId="13" fillId="0" borderId="60" xfId="60" applyNumberFormat="1" applyFont="1" applyBorder="1" applyAlignment="1" applyProtection="1">
      <alignment horizontal="center"/>
      <protection/>
    </xf>
    <xf numFmtId="168" fontId="13" fillId="0" borderId="47" xfId="60" applyNumberFormat="1" applyFont="1" applyBorder="1" applyAlignment="1" applyProtection="1">
      <alignment horizontal="center"/>
      <protection/>
    </xf>
    <xf numFmtId="0" fontId="30" fillId="0" borderId="16" xfId="60" applyFont="1" applyBorder="1" applyAlignment="1" applyProtection="1" quotePrefix="1">
      <alignment horizontal="center" vertical="center" wrapText="1"/>
      <protection/>
    </xf>
    <xf numFmtId="0" fontId="30" fillId="0" borderId="17" xfId="60" applyFont="1" applyBorder="1" applyAlignment="1" applyProtection="1" quotePrefix="1">
      <alignment horizontal="center" vertical="center" wrapText="1"/>
      <protection/>
    </xf>
    <xf numFmtId="0" fontId="30" fillId="0" borderId="16" xfId="60" applyFont="1" applyBorder="1" applyAlignment="1" applyProtection="1">
      <alignment horizontal="center" vertical="center"/>
      <protection/>
    </xf>
    <xf numFmtId="0" fontId="30" fillId="0" borderId="17" xfId="60" applyFont="1" applyBorder="1" applyAlignment="1" applyProtection="1">
      <alignment horizontal="center" vertical="center"/>
      <protection/>
    </xf>
    <xf numFmtId="0" fontId="13" fillId="0" borderId="70" xfId="60" applyFont="1" applyFill="1" applyBorder="1" applyAlignment="1">
      <alignment horizontal="center"/>
      <protection/>
    </xf>
    <xf numFmtId="0" fontId="13" fillId="0" borderId="72" xfId="60" applyFont="1" applyFill="1" applyBorder="1" applyAlignment="1">
      <alignment horizontal="center"/>
      <protection/>
    </xf>
    <xf numFmtId="164" fontId="13" fillId="0" borderId="60" xfId="57" applyNumberFormat="1" applyFont="1" applyBorder="1" applyAlignment="1" applyProtection="1">
      <alignment horizontal="center"/>
      <protection/>
    </xf>
    <xf numFmtId="164" fontId="13" fillId="0" borderId="47" xfId="57" applyNumberFormat="1" applyFont="1" applyBorder="1" applyAlignment="1" applyProtection="1">
      <alignment horizontal="center"/>
      <protection/>
    </xf>
    <xf numFmtId="164" fontId="13" fillId="0" borderId="89" xfId="57" applyNumberFormat="1" applyFont="1" applyBorder="1" applyAlignment="1" applyProtection="1">
      <alignment horizontal="center"/>
      <protection/>
    </xf>
    <xf numFmtId="164" fontId="13" fillId="0" borderId="75" xfId="57" applyNumberFormat="1" applyFont="1" applyBorder="1" applyAlignment="1" applyProtection="1">
      <alignment horizontal="center"/>
      <protection/>
    </xf>
    <xf numFmtId="1" fontId="21" fillId="0" borderId="0" xfId="57" applyNumberFormat="1" applyFont="1" applyBorder="1" applyAlignment="1" applyProtection="1">
      <alignment horizontal="center"/>
      <protection/>
    </xf>
    <xf numFmtId="0" fontId="30" fillId="0" borderId="16" xfId="57" applyFont="1" applyFill="1" applyBorder="1" applyAlignment="1" applyProtection="1">
      <alignment horizontal="center" vertical="center"/>
      <protection/>
    </xf>
    <xf numFmtId="0" fontId="30" fillId="0" borderId="22" xfId="57" applyFont="1" applyFill="1" applyBorder="1" applyAlignment="1" applyProtection="1">
      <alignment horizontal="center" vertical="center"/>
      <protection/>
    </xf>
    <xf numFmtId="0" fontId="30" fillId="0" borderId="17" xfId="57" applyFont="1" applyFill="1" applyBorder="1" applyAlignment="1" applyProtection="1">
      <alignment horizontal="center" vertical="center"/>
      <protection/>
    </xf>
    <xf numFmtId="0" fontId="13" fillId="0" borderId="70" xfId="57" applyFont="1" applyFill="1" applyBorder="1" applyAlignment="1">
      <alignment horizontal="center"/>
      <protection/>
    </xf>
    <xf numFmtId="0" fontId="13" fillId="0" borderId="74" xfId="57" applyFont="1" applyFill="1" applyBorder="1" applyAlignment="1">
      <alignment horizontal="center"/>
      <protection/>
    </xf>
    <xf numFmtId="0" fontId="13" fillId="0" borderId="72" xfId="57" applyFont="1" applyFill="1" applyBorder="1" applyAlignment="1">
      <alignment horizontal="center"/>
      <protection/>
    </xf>
    <xf numFmtId="168" fontId="13" fillId="0" borderId="60" xfId="57" applyNumberFormat="1" applyFont="1" applyBorder="1" applyAlignment="1" applyProtection="1" quotePrefix="1">
      <alignment horizontal="center"/>
      <protection/>
    </xf>
    <xf numFmtId="168" fontId="13" fillId="0" borderId="32" xfId="57" applyNumberFormat="1" applyFont="1" applyBorder="1" applyAlignment="1" applyProtection="1" quotePrefix="1">
      <alignment horizontal="center"/>
      <protection/>
    </xf>
    <xf numFmtId="168" fontId="13" fillId="0" borderId="47" xfId="57" applyNumberFormat="1" applyFont="1" applyBorder="1" applyAlignment="1" applyProtection="1" quotePrefix="1">
      <alignment horizontal="center"/>
      <protection/>
    </xf>
    <xf numFmtId="168" fontId="13" fillId="0" borderId="89" xfId="57" applyNumberFormat="1" applyFont="1" applyBorder="1" applyAlignment="1" applyProtection="1">
      <alignment horizontal="center"/>
      <protection/>
    </xf>
    <xf numFmtId="168" fontId="13" fillId="0" borderId="68" xfId="57" applyNumberFormat="1" applyFont="1" applyBorder="1" applyAlignment="1" applyProtection="1">
      <alignment horizontal="center"/>
      <protection/>
    </xf>
    <xf numFmtId="168" fontId="13" fillId="0" borderId="75" xfId="57" applyNumberFormat="1" applyFont="1" applyBorder="1" applyAlignment="1" applyProtection="1">
      <alignment horizontal="center"/>
      <protection/>
    </xf>
    <xf numFmtId="0" fontId="30" fillId="0" borderId="16" xfId="57" applyFont="1" applyFill="1" applyBorder="1" applyAlignment="1" applyProtection="1" quotePrefix="1">
      <alignment horizontal="center" vertical="center" wrapText="1"/>
      <protection/>
    </xf>
    <xf numFmtId="0" fontId="30" fillId="0" borderId="17" xfId="57" applyFont="1" applyFill="1" applyBorder="1" applyAlignment="1" applyProtection="1" quotePrefix="1">
      <alignment horizontal="center" vertical="center" wrapText="1"/>
      <protection/>
    </xf>
    <xf numFmtId="0" fontId="21" fillId="0" borderId="14" xfId="60" applyFont="1" applyBorder="1" applyAlignment="1" applyProtection="1">
      <alignment horizontal="right"/>
      <protection/>
    </xf>
    <xf numFmtId="0" fontId="21" fillId="0" borderId="0" xfId="60" applyFont="1" applyBorder="1" applyAlignment="1" applyProtection="1">
      <alignment horizontal="right"/>
      <protection/>
    </xf>
    <xf numFmtId="7" fontId="48" fillId="0" borderId="0" xfId="60" applyNumberFormat="1" applyFont="1" applyFill="1" applyBorder="1" applyAlignment="1">
      <alignment horizontal="center"/>
      <protection/>
    </xf>
    <xf numFmtId="7" fontId="48" fillId="0" borderId="61" xfId="60" applyNumberFormat="1" applyFont="1" applyFill="1" applyBorder="1" applyAlignment="1">
      <alignment horizontal="center"/>
      <protection/>
    </xf>
    <xf numFmtId="0" fontId="74" fillId="0" borderId="89" xfId="60" applyFont="1" applyBorder="1" applyAlignment="1" applyProtection="1">
      <alignment horizontal="center"/>
      <protection/>
    </xf>
    <xf numFmtId="0" fontId="74" fillId="0" borderId="75" xfId="60" applyFont="1" applyBorder="1" applyAlignment="1" applyProtection="1">
      <alignment horizontal="center"/>
      <protection/>
    </xf>
    <xf numFmtId="168" fontId="13" fillId="0" borderId="89" xfId="60" applyNumberFormat="1" applyFont="1" applyBorder="1" applyAlignment="1" applyProtection="1">
      <alignment horizontal="center"/>
      <protection/>
    </xf>
    <xf numFmtId="168" fontId="13" fillId="0" borderId="75" xfId="60" applyNumberFormat="1" applyFont="1" applyBorder="1" applyAlignment="1" applyProtection="1">
      <alignment horizontal="center"/>
      <protection/>
    </xf>
    <xf numFmtId="0" fontId="74" fillId="0" borderId="60" xfId="64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30" fillId="0" borderId="22" xfId="60" applyFont="1" applyBorder="1" applyAlignment="1" applyProtection="1">
      <alignment horizontal="center" vertical="center"/>
      <protection/>
    </xf>
    <xf numFmtId="0" fontId="74" fillId="0" borderId="60" xfId="60" applyFont="1" applyBorder="1" applyAlignment="1" applyProtection="1">
      <alignment horizontal="center"/>
      <protection/>
    </xf>
    <xf numFmtId="0" fontId="74" fillId="0" borderId="47" xfId="60" applyFont="1" applyBorder="1" applyAlignment="1" applyProtection="1">
      <alignment horizontal="center"/>
      <protection/>
    </xf>
    <xf numFmtId="0" fontId="74" fillId="0" borderId="70" xfId="60" applyFont="1" applyBorder="1" applyAlignment="1" applyProtection="1">
      <alignment horizontal="center"/>
      <protection/>
    </xf>
    <xf numFmtId="0" fontId="74" fillId="0" borderId="72" xfId="60" applyFont="1" applyBorder="1" applyAlignment="1" applyProtection="1">
      <alignment horizontal="center"/>
      <protection/>
    </xf>
    <xf numFmtId="164" fontId="13" fillId="0" borderId="60" xfId="60" applyNumberFormat="1" applyFont="1" applyBorder="1" applyAlignment="1" applyProtection="1">
      <alignment horizontal="center"/>
      <protection/>
    </xf>
    <xf numFmtId="164" fontId="13" fillId="0" borderId="47" xfId="60" applyNumberFormat="1" applyFont="1" applyBorder="1" applyAlignment="1" applyProtection="1">
      <alignment horizontal="center"/>
      <protection/>
    </xf>
    <xf numFmtId="0" fontId="30" fillId="0" borderId="16" xfId="60" applyFont="1" applyFill="1" applyBorder="1" applyAlignment="1" applyProtection="1" quotePrefix="1">
      <alignment horizontal="center" vertical="center" wrapText="1"/>
      <protection/>
    </xf>
    <xf numFmtId="0" fontId="3" fillId="0" borderId="17" xfId="60" applyBorder="1" applyAlignment="1">
      <alignment horizontal="center" vertical="center" wrapText="1"/>
      <protection/>
    </xf>
    <xf numFmtId="168" fontId="13" fillId="0" borderId="60" xfId="60" applyNumberFormat="1" applyFont="1" applyBorder="1" applyAlignment="1" applyProtection="1" quotePrefix="1">
      <alignment horizontal="center"/>
      <protection/>
    </xf>
    <xf numFmtId="168" fontId="13" fillId="0" borderId="32" xfId="60" applyNumberFormat="1" applyFont="1" applyBorder="1" applyAlignment="1" applyProtection="1" quotePrefix="1">
      <alignment horizontal="center"/>
      <protection/>
    </xf>
    <xf numFmtId="168" fontId="13" fillId="0" borderId="47" xfId="60" applyNumberFormat="1" applyFont="1" applyBorder="1" applyAlignment="1" applyProtection="1" quotePrefix="1">
      <alignment horizontal="center"/>
      <protection/>
    </xf>
    <xf numFmtId="168" fontId="13" fillId="0" borderId="68" xfId="60" applyNumberFormat="1" applyFont="1" applyBorder="1" applyAlignment="1" applyProtection="1">
      <alignment horizontal="center"/>
      <protection/>
    </xf>
    <xf numFmtId="0" fontId="30" fillId="0" borderId="16" xfId="60" applyFont="1" applyFill="1" applyBorder="1" applyAlignment="1" applyProtection="1">
      <alignment horizontal="center" vertical="center"/>
      <protection/>
    </xf>
    <xf numFmtId="0" fontId="30" fillId="0" borderId="22" xfId="60" applyFont="1" applyFill="1" applyBorder="1" applyAlignment="1" applyProtection="1">
      <alignment horizontal="center" vertical="center"/>
      <protection/>
    </xf>
    <xf numFmtId="0" fontId="30" fillId="0" borderId="17" xfId="60" applyFont="1" applyFill="1" applyBorder="1" applyAlignment="1" applyProtection="1">
      <alignment horizontal="center" vertical="center"/>
      <protection/>
    </xf>
    <xf numFmtId="0" fontId="13" fillId="0" borderId="74" xfId="60" applyFont="1" applyFill="1" applyBorder="1" applyAlignment="1">
      <alignment horizontal="center"/>
      <protection/>
    </xf>
    <xf numFmtId="0" fontId="30" fillId="0" borderId="17" xfId="60" applyFont="1" applyFill="1" applyBorder="1" applyAlignment="1" applyProtection="1" quotePrefix="1">
      <alignment horizontal="center" vertical="center" wrapText="1"/>
      <protection/>
    </xf>
    <xf numFmtId="0" fontId="13" fillId="0" borderId="60" xfId="60" applyFont="1" applyBorder="1" applyAlignment="1" applyProtection="1">
      <alignment horizontal="center"/>
      <protection/>
    </xf>
    <xf numFmtId="0" fontId="13" fillId="0" borderId="47" xfId="60" applyFont="1" applyBorder="1" applyAlignment="1" applyProtection="1">
      <alignment horizontal="center"/>
      <protection/>
    </xf>
    <xf numFmtId="0" fontId="3" fillId="0" borderId="70" xfId="60" applyBorder="1" applyAlignment="1">
      <alignment/>
      <protection/>
    </xf>
    <xf numFmtId="0" fontId="3" fillId="0" borderId="72" xfId="60" applyBorder="1" applyAlignment="1">
      <alignment/>
      <protection/>
    </xf>
    <xf numFmtId="0" fontId="3" fillId="0" borderId="75" xfId="60" applyBorder="1" applyAlignment="1">
      <alignment horizontal="center"/>
      <protection/>
    </xf>
    <xf numFmtId="0" fontId="21" fillId="0" borderId="0" xfId="57" applyFont="1" applyBorder="1" applyAlignment="1" applyProtection="1">
      <alignment horizontal="center"/>
      <protection/>
    </xf>
    <xf numFmtId="0" fontId="30" fillId="0" borderId="16" xfId="57" applyFont="1" applyBorder="1" applyAlignment="1" applyProtection="1" quotePrefix="1">
      <alignment horizontal="center" vertical="center" wrapText="1"/>
      <protection/>
    </xf>
    <xf numFmtId="0" fontId="30" fillId="0" borderId="17" xfId="57" applyFont="1" applyBorder="1" applyAlignment="1" applyProtection="1" quotePrefix="1">
      <alignment horizontal="center" vertical="center" wrapText="1"/>
      <protection/>
    </xf>
    <xf numFmtId="0" fontId="13" fillId="0" borderId="67" xfId="57" applyFont="1" applyBorder="1" applyAlignment="1">
      <alignment horizontal="center"/>
      <protection/>
    </xf>
    <xf numFmtId="0" fontId="13" fillId="0" borderId="44" xfId="57" applyFont="1" applyBorder="1" applyAlignment="1">
      <alignment horizontal="center"/>
      <protection/>
    </xf>
    <xf numFmtId="168" fontId="103" fillId="0" borderId="0" xfId="57" applyNumberFormat="1" applyFont="1" applyBorder="1" applyAlignment="1" applyProtection="1">
      <alignment horizontal="left" vertical="center"/>
      <protection/>
    </xf>
    <xf numFmtId="0" fontId="13" fillId="0" borderId="89" xfId="57" applyFont="1" applyBorder="1" applyAlignment="1" applyProtection="1">
      <alignment horizontal="center"/>
      <protection locked="0"/>
    </xf>
    <xf numFmtId="0" fontId="13" fillId="0" borderId="75" xfId="57" applyFont="1" applyBorder="1" applyAlignment="1" applyProtection="1">
      <alignment horizontal="center"/>
      <protection locked="0"/>
    </xf>
    <xf numFmtId="0" fontId="13" fillId="0" borderId="60" xfId="57" applyFont="1" applyBorder="1" applyAlignment="1" applyProtection="1">
      <alignment horizontal="center"/>
      <protection locked="0"/>
    </xf>
    <xf numFmtId="0" fontId="13" fillId="0" borderId="47" xfId="57" applyFont="1" applyBorder="1" applyAlignment="1" applyProtection="1">
      <alignment horizontal="center"/>
      <protection locked="0"/>
    </xf>
    <xf numFmtId="0" fontId="30" fillId="0" borderId="16" xfId="57" applyFont="1" applyBorder="1" applyAlignment="1" applyProtection="1">
      <alignment horizontal="center" vertical="center"/>
      <protection/>
    </xf>
    <xf numFmtId="0" fontId="30" fillId="0" borderId="17" xfId="57" applyFont="1" applyBorder="1" applyAlignment="1" applyProtection="1">
      <alignment horizontal="center" vertical="center"/>
      <protection/>
    </xf>
    <xf numFmtId="168" fontId="13" fillId="0" borderId="60" xfId="57" applyNumberFormat="1" applyFont="1" applyBorder="1" applyAlignment="1" applyProtection="1">
      <alignment horizontal="center"/>
      <protection/>
    </xf>
    <xf numFmtId="168" fontId="13" fillId="0" borderId="47" xfId="57" applyNumberFormat="1" applyFont="1" applyBorder="1" applyAlignment="1" applyProtection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A0511NER Anexo VI" xfId="53"/>
    <cellStyle name="Moneda_F0911NER" xfId="54"/>
    <cellStyle name="Neutral" xfId="55"/>
    <cellStyle name="Normal_A0101 ANEXO I NEA" xfId="56"/>
    <cellStyle name="Normal_A0511NER Anexo VI" xfId="57"/>
    <cellStyle name="Normal_Comahue" xfId="58"/>
    <cellStyle name="Normal_EDENOR9604" xfId="59"/>
    <cellStyle name="Normal_F0911NER" xfId="60"/>
    <cellStyle name="Normal_líneas" xfId="61"/>
    <cellStyle name="Normal_PAFTT Anexo 28" xfId="62"/>
    <cellStyle name="Normal_TRANS" xfId="63"/>
    <cellStyle name="Normal_Transener_V8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285750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0</xdr:rowOff>
    </xdr:from>
    <xdr:to>
      <xdr:col>3</xdr:col>
      <xdr:colOff>390525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1</xdr:col>
      <xdr:colOff>666750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3267075"/>
          <a:ext cx="29527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1152525</xdr:colOff>
      <xdr:row>2</xdr:row>
      <xdr:rowOff>352425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1066800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11</xdr:col>
      <xdr:colOff>47625</xdr:colOff>
      <xdr:row>19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89572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28575</xdr:rowOff>
    </xdr:from>
    <xdr:to>
      <xdr:col>1</xdr:col>
      <xdr:colOff>85725</xdr:colOff>
      <xdr:row>1</xdr:row>
      <xdr:rowOff>295275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857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3</xdr:col>
      <xdr:colOff>419100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6286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9525</xdr:rowOff>
    </xdr:from>
    <xdr:to>
      <xdr:col>3</xdr:col>
      <xdr:colOff>390525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409575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381000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EXCEL\Transener_V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L RIOJ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T COBR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RE-Res.01_03"/>
      <sheetName val="MODELO R YACYLEC"/>
      <sheetName val="MODELO R LITSA"/>
      <sheetName val="MODELO R IV"/>
      <sheetName val="MODELO R LIMSA"/>
      <sheetName val="MODELO VST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SUP-RIOJA"/>
      <sheetName val="SUP-COBRA"/>
      <sheetName val="DAG"/>
      <sheetName val="DATO"/>
      <sheetName val="CONDICIONES CLIMATICAS 313"/>
      <sheetName val="RES 142-94 AISL"/>
      <sheetName val="TIEMPOS ET"/>
      <sheetName val="LI (C CLIMA EN ET)"/>
      <sheetName val="REACT (C CLIMA EN  ET)"/>
      <sheetName val="CONDICIONES CLIMATICAS 313-01"/>
      <sheetName val="ATENTADO 313-01 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HT23">
            <v>1</v>
          </cell>
          <cell r="HU23">
            <v>1</v>
          </cell>
          <cell r="HX23">
            <v>1</v>
          </cell>
          <cell r="IB23">
            <v>1</v>
          </cell>
          <cell r="IE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IE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IA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IC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IC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HV39">
            <v>1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HW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I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HT46" t="str">
            <v>XXXX</v>
          </cell>
          <cell r="HU46" t="str">
            <v>XXXX</v>
          </cell>
          <cell r="HV46" t="str">
            <v>XXXX</v>
          </cell>
          <cell r="HW46" t="str">
            <v>XXXX</v>
          </cell>
          <cell r="HX46" t="str">
            <v>XXXX</v>
          </cell>
          <cell r="HY46" t="str">
            <v>XXXX</v>
          </cell>
          <cell r="HZ46" t="str">
            <v>XXXX</v>
          </cell>
          <cell r="IA46" t="str">
            <v>XXXX</v>
          </cell>
          <cell r="IB46" t="str">
            <v>XXXX</v>
          </cell>
          <cell r="IC46" t="str">
            <v>XXXX</v>
          </cell>
          <cell r="ID46" t="str">
            <v>XXXX</v>
          </cell>
          <cell r="IE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H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ID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  <cell r="HZ54" t="str">
            <v>XXXX</v>
          </cell>
          <cell r="IA54" t="str">
            <v>XXXX</v>
          </cell>
          <cell r="IB54" t="str">
            <v>XXXX</v>
          </cell>
          <cell r="IC54" t="str">
            <v>XXXX</v>
          </cell>
          <cell r="ID54" t="str">
            <v>XXXX</v>
          </cell>
          <cell r="IE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HT57" t="str">
            <v>XXXX</v>
          </cell>
          <cell r="HU57" t="str">
            <v>XXXX</v>
          </cell>
          <cell r="HV57" t="str">
            <v>XXXX</v>
          </cell>
          <cell r="HW57" t="str">
            <v>XXXX</v>
          </cell>
          <cell r="HX57" t="str">
            <v>XXXX</v>
          </cell>
          <cell r="HY57" t="str">
            <v>XXXX</v>
          </cell>
          <cell r="HZ57" t="str">
            <v>XXXX</v>
          </cell>
          <cell r="IA57" t="str">
            <v>XXXX</v>
          </cell>
          <cell r="IB57" t="str">
            <v>XXXX</v>
          </cell>
          <cell r="IC57" t="str">
            <v>XXXX</v>
          </cell>
          <cell r="ID57" t="str">
            <v>XXXX</v>
          </cell>
          <cell r="IE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HX60">
            <v>2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HT61" t="str">
            <v>XXXX</v>
          </cell>
          <cell r="HU61" t="str">
            <v>XXXX</v>
          </cell>
          <cell r="HV61" t="str">
            <v>XXXX</v>
          </cell>
          <cell r="HW61" t="str">
            <v>XXXX</v>
          </cell>
          <cell r="HX61" t="str">
            <v>XXXX</v>
          </cell>
          <cell r="HY61" t="str">
            <v>XXXX</v>
          </cell>
          <cell r="HZ61" t="str">
            <v>XXXX</v>
          </cell>
          <cell r="IA61" t="str">
            <v>XXXX</v>
          </cell>
          <cell r="IB61" t="str">
            <v>XXXX</v>
          </cell>
          <cell r="IC61" t="str">
            <v>XXXX</v>
          </cell>
          <cell r="ID61" t="str">
            <v>XXXX</v>
          </cell>
          <cell r="IE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IB64">
            <v>3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HT65">
            <v>1</v>
          </cell>
          <cell r="HZ65">
            <v>1</v>
          </cell>
          <cell r="IB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IC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IC68">
            <v>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HU71">
            <v>2</v>
          </cell>
          <cell r="HX71">
            <v>2</v>
          </cell>
          <cell r="IB71">
            <v>1</v>
          </cell>
          <cell r="ID71">
            <v>2</v>
          </cell>
          <cell r="IE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HU72">
            <v>1</v>
          </cell>
          <cell r="HV72">
            <v>1</v>
          </cell>
          <cell r="HZ72">
            <v>2</v>
          </cell>
          <cell r="IA72">
            <v>1</v>
          </cell>
          <cell r="ID72">
            <v>1</v>
          </cell>
          <cell r="IE72">
            <v>3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HU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HW76">
            <v>4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HT89" t="str">
            <v>XXXX</v>
          </cell>
          <cell r="HU89" t="str">
            <v>XXXX</v>
          </cell>
          <cell r="HV89" t="str">
            <v>XXXX</v>
          </cell>
          <cell r="HW89" t="str">
            <v>XXXX</v>
          </cell>
          <cell r="HX89" t="str">
            <v>XXXX</v>
          </cell>
          <cell r="HY89" t="str">
            <v>XXXX</v>
          </cell>
          <cell r="HZ89" t="str">
            <v>XXXX</v>
          </cell>
          <cell r="IA89" t="str">
            <v>XXXX</v>
          </cell>
          <cell r="IB89" t="str">
            <v>XXXX</v>
          </cell>
          <cell r="IC89" t="str">
            <v>XXXX</v>
          </cell>
          <cell r="ID89" t="str">
            <v>XXXX</v>
          </cell>
          <cell r="IE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HW91">
            <v>1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  <cell r="HW94">
            <v>1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HT104">
            <v>0.43</v>
          </cell>
          <cell r="HU104">
            <v>0.44</v>
          </cell>
          <cell r="HV104">
            <v>0.47</v>
          </cell>
          <cell r="HW104">
            <v>0.44</v>
          </cell>
          <cell r="HX104">
            <v>0.44</v>
          </cell>
          <cell r="HY104">
            <v>0.48</v>
          </cell>
          <cell r="HZ104">
            <v>0.44</v>
          </cell>
          <cell r="IA104">
            <v>0.46</v>
          </cell>
          <cell r="IB104">
            <v>0.44</v>
          </cell>
          <cell r="IC104">
            <v>0.45</v>
          </cell>
          <cell r="ID104">
            <v>0.45</v>
          </cell>
          <cell r="IE104">
            <v>0.43</v>
          </cell>
          <cell r="IF104">
            <v>0.47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8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32.28125" style="8" customWidth="1"/>
    <col min="8" max="8" width="10.8515625" style="8" customWidth="1"/>
    <col min="9" max="9" width="21.8515625" style="8" customWidth="1"/>
    <col min="10" max="10" width="10.003906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512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492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491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'LI-04 (1)'!AE43</f>
        <v>171128.63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>
        <v>12</v>
      </c>
      <c r="E18" s="51" t="s">
        <v>7</v>
      </c>
      <c r="F18" s="47"/>
      <c r="G18" s="47"/>
      <c r="H18" s="47"/>
      <c r="I18" s="50">
        <f>'LI-YACY-04 (1)'!AE41</f>
        <v>113.66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>
        <v>13</v>
      </c>
      <c r="E19" s="51" t="s">
        <v>8</v>
      </c>
      <c r="F19" s="47"/>
      <c r="G19" s="47"/>
      <c r="H19" s="47"/>
      <c r="I19" s="50">
        <f>'LI-IV-04 (1)'!AE43</f>
        <v>37971.61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.75" customHeight="1">
      <c r="A20" s="34"/>
      <c r="B20" s="55"/>
      <c r="C20" s="56"/>
      <c r="D20" s="45"/>
      <c r="E20" s="57"/>
      <c r="F20" s="58"/>
      <c r="G20" s="58"/>
      <c r="H20" s="58"/>
      <c r="I20" s="59"/>
      <c r="J20" s="60"/>
      <c r="K20" s="42"/>
      <c r="L20" s="11"/>
      <c r="M20" s="11"/>
      <c r="N20" s="11"/>
      <c r="O20" s="11"/>
      <c r="P20" s="11"/>
      <c r="Q20" s="11"/>
      <c r="R20" s="11"/>
      <c r="S20" s="11"/>
    </row>
    <row r="21" spans="2:19" s="34" customFormat="1" ht="19.5">
      <c r="B21" s="43"/>
      <c r="C21" s="49" t="s">
        <v>9</v>
      </c>
      <c r="D21" s="61" t="s">
        <v>10</v>
      </c>
      <c r="E21" s="62"/>
      <c r="F21" s="53"/>
      <c r="G21" s="53"/>
      <c r="H21" s="53"/>
      <c r="I21" s="54"/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34" customFormat="1" ht="19.5">
      <c r="B22" s="43"/>
      <c r="C22" s="49"/>
      <c r="D22" s="45">
        <v>21</v>
      </c>
      <c r="E22" s="52" t="s">
        <v>11</v>
      </c>
      <c r="F22" s="53"/>
      <c r="G22" s="53"/>
      <c r="H22" s="53"/>
      <c r="I22" s="54"/>
      <c r="J22" s="48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34" customFormat="1" ht="19.5">
      <c r="B23" s="43"/>
      <c r="C23" s="49"/>
      <c r="D23" s="45"/>
      <c r="E23" s="63">
        <v>211</v>
      </c>
      <c r="F23" s="64" t="s">
        <v>6</v>
      </c>
      <c r="G23" s="53"/>
      <c r="H23" s="53"/>
      <c r="I23" s="54">
        <f>'TR-04 (1)'!AC43</f>
        <v>2493920.58</v>
      </c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>
        <v>22</v>
      </c>
      <c r="E24" s="51" t="s">
        <v>13</v>
      </c>
      <c r="F24" s="47"/>
      <c r="G24" s="47"/>
      <c r="H24" s="47"/>
      <c r="I24" s="50"/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5">
        <v>221</v>
      </c>
      <c r="F25" s="4" t="s">
        <v>6</v>
      </c>
      <c r="G25" s="47"/>
      <c r="H25" s="47"/>
      <c r="I25" s="50">
        <f>'SA-04 (2)'!V45</f>
        <v>110326.82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5">
        <v>222</v>
      </c>
      <c r="F26" s="4" t="s">
        <v>12</v>
      </c>
      <c r="G26" s="47"/>
      <c r="H26" s="47"/>
      <c r="I26" s="50">
        <f>'SA-TIBA-04 (1)'!V43</f>
        <v>12463.91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5" t="s">
        <v>485</v>
      </c>
      <c r="F27" s="4" t="s">
        <v>14</v>
      </c>
      <c r="G27" s="47"/>
      <c r="H27" s="47"/>
      <c r="I27" s="50">
        <f>'SA-LINSA-04 (1)'!V45</f>
        <v>2059.44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/>
      <c r="E28" s="65">
        <v>224</v>
      </c>
      <c r="F28" s="4" t="s">
        <v>403</v>
      </c>
      <c r="G28" s="47"/>
      <c r="H28" s="47"/>
      <c r="I28" s="50">
        <f>'SA-LICCSA-04 (1)'!V45</f>
        <v>5999.87</v>
      </c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>
      <c r="A29" s="34"/>
      <c r="B29" s="55"/>
      <c r="C29" s="56"/>
      <c r="D29" s="45"/>
      <c r="E29" s="66"/>
      <c r="F29" s="67"/>
      <c r="G29" s="67"/>
      <c r="H29" s="67"/>
      <c r="I29" s="68"/>
      <c r="J29" s="60"/>
      <c r="K29" s="42"/>
      <c r="L29" s="11"/>
      <c r="M29" s="11"/>
      <c r="N29" s="11"/>
      <c r="O29" s="11"/>
      <c r="P29" s="11"/>
      <c r="Q29" s="11"/>
      <c r="R29" s="11"/>
      <c r="S29" s="11"/>
    </row>
    <row r="30" spans="2:19" s="34" customFormat="1" ht="19.5">
      <c r="B30" s="43"/>
      <c r="C30" s="49" t="s">
        <v>15</v>
      </c>
      <c r="D30" s="61" t="s">
        <v>16</v>
      </c>
      <c r="E30" s="46"/>
      <c r="F30" s="47"/>
      <c r="G30" s="47"/>
      <c r="H30" s="47"/>
      <c r="I30" s="50"/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>
        <v>31</v>
      </c>
      <c r="E31" s="51" t="s">
        <v>6</v>
      </c>
      <c r="F31" s="47"/>
      <c r="G31" s="47"/>
      <c r="H31" s="47"/>
      <c r="I31" s="50">
        <f>'RE-04 (1)'!Z43</f>
        <v>2656913.39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/>
      <c r="E32" s="65">
        <v>311</v>
      </c>
      <c r="F32" s="4" t="s">
        <v>499</v>
      </c>
      <c r="G32" s="47"/>
      <c r="H32" s="47"/>
      <c r="I32" s="50">
        <f>+'RE Res. 1_03'!Y41</f>
        <v>3992.63</v>
      </c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>
        <v>32</v>
      </c>
      <c r="E33" s="51" t="s">
        <v>8</v>
      </c>
      <c r="F33" s="47"/>
      <c r="G33" s="47"/>
      <c r="H33" s="47"/>
      <c r="I33" s="50">
        <f>'RE IV-04 (1)'!X43</f>
        <v>1321.24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34" customFormat="1" ht="12.75" customHeight="1">
      <c r="B34" s="43"/>
      <c r="C34" s="49"/>
      <c r="D34" s="45"/>
      <c r="E34" s="51"/>
      <c r="F34" s="47"/>
      <c r="G34" s="47"/>
      <c r="H34" s="47"/>
      <c r="I34" s="50"/>
      <c r="J34" s="48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34" customFormat="1" ht="19.5">
      <c r="B35" s="43"/>
      <c r="C35" s="49" t="s">
        <v>17</v>
      </c>
      <c r="D35" s="61" t="s">
        <v>18</v>
      </c>
      <c r="E35" s="46"/>
      <c r="F35" s="47"/>
      <c r="G35" s="47"/>
      <c r="H35" s="47"/>
      <c r="I35" s="50"/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41</v>
      </c>
      <c r="E36" s="51" t="s">
        <v>7</v>
      </c>
      <c r="F36" s="47"/>
      <c r="G36" s="47"/>
      <c r="H36" s="47"/>
      <c r="I36" s="50">
        <f>'SUP-YACYLEC'!K78</f>
        <v>45.897364366328155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9.5">
      <c r="B37" s="43"/>
      <c r="C37" s="49"/>
      <c r="D37" s="45">
        <v>42</v>
      </c>
      <c r="E37" s="51" t="s">
        <v>12</v>
      </c>
      <c r="F37" s="47"/>
      <c r="G37" s="47"/>
      <c r="H37" s="47"/>
      <c r="I37" s="50">
        <f>'SUP-TIBA'!J80</f>
        <v>3133.958323585088</v>
      </c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9.5">
      <c r="B38" s="43"/>
      <c r="C38" s="49"/>
      <c r="D38" s="45">
        <v>43</v>
      </c>
      <c r="E38" s="51" t="s">
        <v>19</v>
      </c>
      <c r="F38" s="47"/>
      <c r="G38" s="47"/>
      <c r="H38" s="47"/>
      <c r="I38" s="50">
        <f>'SUP-LINSA'!K93</f>
        <v>922.7520250845552</v>
      </c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/>
      <c r="D39" s="45">
        <v>44</v>
      </c>
      <c r="E39" s="51" t="s">
        <v>455</v>
      </c>
      <c r="F39" s="47"/>
      <c r="G39" s="47"/>
      <c r="H39" s="47"/>
      <c r="I39" s="50">
        <f>'SUP-LICCSA'!K86</f>
        <v>2230.8878556184477</v>
      </c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1.25" customHeight="1">
      <c r="B40" s="43"/>
      <c r="C40" s="49"/>
      <c r="D40" s="45"/>
      <c r="E40" s="51"/>
      <c r="F40" s="47"/>
      <c r="G40" s="47"/>
      <c r="H40" s="69"/>
      <c r="I40" s="50"/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20.25" thickBot="1">
      <c r="B41" s="43"/>
      <c r="C41" s="44"/>
      <c r="D41" s="45"/>
      <c r="E41" s="46"/>
      <c r="F41" s="47"/>
      <c r="G41" s="47"/>
      <c r="H41" s="47"/>
      <c r="I41" s="42"/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20.25" thickBot="1" thickTop="1">
      <c r="B42" s="43"/>
      <c r="C42" s="49"/>
      <c r="D42" s="49"/>
      <c r="F42" s="70" t="s">
        <v>20</v>
      </c>
      <c r="G42" s="71">
        <f>SUM(I17:I39)</f>
        <v>5502545.275568654</v>
      </c>
      <c r="H42" s="72"/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9.75" customHeight="1" thickTop="1">
      <c r="B43" s="43"/>
      <c r="C43" s="49"/>
      <c r="D43" s="49"/>
      <c r="F43" s="73"/>
      <c r="G43" s="72"/>
      <c r="H43" s="72"/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8.75">
      <c r="B44" s="43"/>
      <c r="C44" s="1474" t="s">
        <v>493</v>
      </c>
      <c r="D44" s="49"/>
      <c r="F44" s="73"/>
      <c r="G44" s="72"/>
      <c r="H44" s="72"/>
      <c r="I44" s="75"/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8.75">
      <c r="B45" s="43"/>
      <c r="C45" s="1475" t="s">
        <v>494</v>
      </c>
      <c r="D45" s="49"/>
      <c r="F45" s="73"/>
      <c r="G45" s="72"/>
      <c r="H45" s="72"/>
      <c r="I45" s="75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18.75">
      <c r="B46" s="43"/>
      <c r="C46" s="74"/>
      <c r="D46" s="49"/>
      <c r="F46" s="73"/>
      <c r="G46" s="72"/>
      <c r="H46" s="72"/>
      <c r="I46" s="75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27" customFormat="1" ht="10.5" customHeight="1" thickBot="1">
      <c r="B47" s="76"/>
      <c r="C47" s="77"/>
      <c r="D47" s="77"/>
      <c r="E47" s="78"/>
      <c r="F47" s="78"/>
      <c r="G47" s="78"/>
      <c r="H47" s="78"/>
      <c r="I47" s="78"/>
      <c r="J47" s="79"/>
      <c r="K47" s="29"/>
      <c r="L47" s="29"/>
      <c r="M47" s="80"/>
      <c r="N47" s="81"/>
      <c r="O47" s="81"/>
      <c r="P47" s="82"/>
      <c r="Q47" s="83"/>
      <c r="R47" s="29"/>
      <c r="S47" s="29"/>
    </row>
    <row r="48" spans="4:19" ht="13.5" thickTop="1">
      <c r="D48" s="11"/>
      <c r="F48" s="11"/>
      <c r="G48" s="11"/>
      <c r="H48" s="11"/>
      <c r="I48" s="11"/>
      <c r="J48" s="11"/>
      <c r="K48" s="11"/>
      <c r="L48" s="11"/>
      <c r="M48" s="84"/>
      <c r="N48" s="85"/>
      <c r="O48" s="85"/>
      <c r="P48" s="11"/>
      <c r="Q48" s="86"/>
      <c r="R48" s="11"/>
      <c r="S48" s="11"/>
    </row>
    <row r="49" spans="4:19" ht="12.75">
      <c r="D49" s="11"/>
      <c r="F49" s="11"/>
      <c r="G49" s="11"/>
      <c r="H49" s="11"/>
      <c r="I49" s="11"/>
      <c r="J49" s="11"/>
      <c r="K49" s="11"/>
      <c r="L49" s="11"/>
      <c r="M49" s="11"/>
      <c r="N49" s="87"/>
      <c r="O49" s="87"/>
      <c r="P49" s="88"/>
      <c r="Q49" s="86"/>
      <c r="R49" s="11"/>
      <c r="S49" s="11"/>
    </row>
    <row r="50" spans="4:19" ht="12.7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87"/>
      <c r="O50" s="87"/>
      <c r="P50" s="88"/>
      <c r="Q50" s="86"/>
      <c r="R50" s="11"/>
      <c r="S50" s="11"/>
    </row>
    <row r="51" spans="4:19" ht="12.75">
      <c r="D51" s="11"/>
      <c r="E51" s="11"/>
      <c r="L51" s="11"/>
      <c r="M51" s="11"/>
      <c r="N51" s="11"/>
      <c r="O51" s="11"/>
      <c r="P51" s="11"/>
      <c r="Q51" s="11"/>
      <c r="R51" s="11"/>
      <c r="S51" s="11"/>
    </row>
    <row r="52" spans="4:19" ht="12.75">
      <c r="D52" s="11"/>
      <c r="E52" s="11"/>
      <c r="P52" s="11"/>
      <c r="Q52" s="11"/>
      <c r="R52" s="11"/>
      <c r="S52" s="11"/>
    </row>
    <row r="53" spans="4:19" ht="12.75">
      <c r="D53" s="11"/>
      <c r="E53" s="11"/>
      <c r="P53" s="11"/>
      <c r="Q53" s="11"/>
      <c r="R53" s="11"/>
      <c r="S53" s="11"/>
    </row>
    <row r="54" spans="4:19" ht="12.75">
      <c r="D54" s="11"/>
      <c r="E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16:19" ht="12.75">
      <c r="P57" s="11"/>
      <c r="Q57" s="11"/>
      <c r="R57" s="11"/>
      <c r="S57" s="11"/>
    </row>
    <row r="58" spans="16:19" ht="12.75">
      <c r="P58" s="11"/>
      <c r="Q58" s="11"/>
      <c r="R58" s="11"/>
      <c r="S58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5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Y159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19"/>
    </row>
    <row r="8" spans="2:23" s="18" customFormat="1" ht="20.25">
      <c r="B8" s="96"/>
      <c r="C8" s="23"/>
      <c r="D8" s="23"/>
      <c r="E8" s="23"/>
      <c r="F8" s="420" t="s">
        <v>21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422" t="s">
        <v>63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90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422" t="s">
        <v>487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90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'TOT-0412'!B14</f>
        <v>Desde el 01 al 30 de abril de 2013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66</v>
      </c>
      <c r="G17" s="436" t="s">
        <v>420</v>
      </c>
      <c r="H17" s="437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67</v>
      </c>
      <c r="G18" s="1473">
        <v>80.3196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68</v>
      </c>
      <c r="G19" s="439" t="s">
        <v>420</v>
      </c>
      <c r="H19" s="437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317" t="s">
        <v>26</v>
      </c>
      <c r="D21" s="112" t="s">
        <v>27</v>
      </c>
      <c r="E21" s="112" t="s">
        <v>28</v>
      </c>
      <c r="F21" s="115" t="s">
        <v>56</v>
      </c>
      <c r="G21" s="441" t="s">
        <v>57</v>
      </c>
      <c r="H21" s="442" t="s">
        <v>29</v>
      </c>
      <c r="I21" s="322" t="s">
        <v>33</v>
      </c>
      <c r="J21" s="113" t="s">
        <v>34</v>
      </c>
      <c r="K21" s="441" t="s">
        <v>35</v>
      </c>
      <c r="L21" s="443" t="s">
        <v>36</v>
      </c>
      <c r="M21" s="443" t="s">
        <v>37</v>
      </c>
      <c r="N21" s="120" t="s">
        <v>296</v>
      </c>
      <c r="O21" s="119" t="s">
        <v>40</v>
      </c>
      <c r="P21" s="444" t="s">
        <v>32</v>
      </c>
      <c r="Q21" s="445" t="s">
        <v>69</v>
      </c>
      <c r="R21" s="446" t="s">
        <v>70</v>
      </c>
      <c r="S21" s="447"/>
      <c r="T21" s="448" t="s">
        <v>45</v>
      </c>
      <c r="U21" s="131" t="s">
        <v>47</v>
      </c>
      <c r="V21" s="321" t="s">
        <v>48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3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/>
      <c r="W22" s="60"/>
    </row>
    <row r="23" spans="2:23" s="8" customFormat="1" ht="16.5" customHeight="1">
      <c r="B23" s="55"/>
      <c r="C23" s="151"/>
      <c r="D23" s="151"/>
      <c r="E23" s="151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1">
        <v>65</v>
      </c>
      <c r="D24" s="151">
        <v>259699</v>
      </c>
      <c r="E24" s="170">
        <v>5122</v>
      </c>
      <c r="F24" s="464" t="s">
        <v>450</v>
      </c>
      <c r="G24" s="464" t="s">
        <v>451</v>
      </c>
      <c r="H24" s="465">
        <v>220</v>
      </c>
      <c r="I24" s="466">
        <f aca="true" t="shared" si="0" ref="I24:I43">IF(H24=500,$G$17,IF(H24=220,$G$18,$G$19))</f>
        <v>80.3196</v>
      </c>
      <c r="J24" s="467">
        <v>41382.40138888889</v>
      </c>
      <c r="K24" s="468">
        <v>41382.7125</v>
      </c>
      <c r="L24" s="469">
        <f aca="true" t="shared" si="1" ref="L24:L43">IF(F24="","",(K24-J24)*24)</f>
        <v>7.466666666732635</v>
      </c>
      <c r="M24" s="470">
        <f aca="true" t="shared" si="2" ref="M24:M41">IF(F24="","",ROUND((K24-J24)*24*60,0))</f>
        <v>448</v>
      </c>
      <c r="N24" s="179" t="s">
        <v>309</v>
      </c>
      <c r="O24" s="181" t="str">
        <f aca="true" t="shared" si="3" ref="O24:O43">IF(F24="","",IF(N24="P","--","NO"))</f>
        <v>--</v>
      </c>
      <c r="P24" s="471">
        <f aca="true" t="shared" si="4" ref="P24:P43">IF(H24=500,$H$17,IF(H24=220,$H$18,$H$19))</f>
        <v>100</v>
      </c>
      <c r="Q24" s="472">
        <f aca="true" t="shared" si="5" ref="Q24:Q43">IF(N24="P",I24*P24*ROUND(M24/60,2)*0.1,"--")</f>
        <v>5999.8741199999995</v>
      </c>
      <c r="R24" s="460" t="str">
        <f aca="true" t="shared" si="6" ref="R24:R43">IF(AND(N24="F",O24="NO"),I24*P24,"--")</f>
        <v>--</v>
      </c>
      <c r="S24" s="461" t="str">
        <f aca="true" t="shared" si="7" ref="S24:S43">IF(N24="F",I24*P24*ROUND(M24/60,2),"--")</f>
        <v>--</v>
      </c>
      <c r="T24" s="462" t="str">
        <f aca="true" t="shared" si="8" ref="T24:T43">IF(N24="RF",I24*P24*ROUND(M24/60,2),"--")</f>
        <v>--</v>
      </c>
      <c r="U24" s="181" t="str">
        <f aca="true" t="shared" si="9" ref="U24:U42">IF(F24="","","SI")</f>
        <v>SI</v>
      </c>
      <c r="V24" s="473">
        <f aca="true" t="shared" si="10" ref="V24:V43">IF(F24="","",SUM(Q24:T24)*IF(U24="SI",1,2))</f>
        <v>5999.8741199999995</v>
      </c>
      <c r="W24" s="60"/>
    </row>
    <row r="25" spans="2:23" s="8" customFormat="1" ht="16.5" customHeight="1">
      <c r="B25" s="55"/>
      <c r="C25" s="151"/>
      <c r="D25" s="151"/>
      <c r="E25" s="151"/>
      <c r="F25" s="464"/>
      <c r="G25" s="464"/>
      <c r="H25" s="465"/>
      <c r="I25" s="466" t="str">
        <f t="shared" si="0"/>
        <v> - </v>
      </c>
      <c r="J25" s="467"/>
      <c r="K25" s="468"/>
      <c r="L25" s="469">
        <f t="shared" si="1"/>
      </c>
      <c r="M25" s="470">
        <f t="shared" si="2"/>
      </c>
      <c r="N25" s="179"/>
      <c r="O25" s="181">
        <f t="shared" si="3"/>
      </c>
      <c r="P25" s="471">
        <f t="shared" si="4"/>
        <v>40</v>
      </c>
      <c r="Q25" s="472" t="str">
        <f t="shared" si="5"/>
        <v>--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1">
        <f t="shared" si="9"/>
      </c>
      <c r="V25" s="473">
        <f t="shared" si="10"/>
      </c>
      <c r="W25" s="60"/>
    </row>
    <row r="26" spans="2:23" s="8" customFormat="1" ht="16.5" customHeight="1">
      <c r="B26" s="55"/>
      <c r="C26" s="151"/>
      <c r="D26" s="151"/>
      <c r="E26" s="170"/>
      <c r="F26" s="464"/>
      <c r="G26" s="464"/>
      <c r="H26" s="589"/>
      <c r="I26" s="466" t="str">
        <f t="shared" si="0"/>
        <v> - </v>
      </c>
      <c r="J26" s="467"/>
      <c r="K26" s="468"/>
      <c r="L26" s="469">
        <f t="shared" si="1"/>
      </c>
      <c r="M26" s="470">
        <f t="shared" si="2"/>
      </c>
      <c r="N26" s="179"/>
      <c r="O26" s="181">
        <f t="shared" si="3"/>
      </c>
      <c r="P26" s="471">
        <f t="shared" si="4"/>
        <v>40</v>
      </c>
      <c r="Q26" s="472" t="str">
        <f t="shared" si="5"/>
        <v>--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1">
        <f t="shared" si="9"/>
      </c>
      <c r="V26" s="473">
        <f t="shared" si="10"/>
      </c>
      <c r="W26" s="60"/>
    </row>
    <row r="27" spans="2:23" s="8" customFormat="1" ht="16.5" customHeight="1">
      <c r="B27" s="55"/>
      <c r="C27" s="151"/>
      <c r="D27" s="151"/>
      <c r="E27" s="151"/>
      <c r="F27" s="464"/>
      <c r="G27" s="464"/>
      <c r="H27" s="465"/>
      <c r="I27" s="466" t="str">
        <f t="shared" si="0"/>
        <v> - </v>
      </c>
      <c r="J27" s="467"/>
      <c r="K27" s="468"/>
      <c r="L27" s="469">
        <f t="shared" si="1"/>
      </c>
      <c r="M27" s="470">
        <f t="shared" si="2"/>
      </c>
      <c r="N27" s="179"/>
      <c r="O27" s="181">
        <f t="shared" si="3"/>
      </c>
      <c r="P27" s="471">
        <f t="shared" si="4"/>
        <v>40</v>
      </c>
      <c r="Q27" s="472" t="str">
        <f t="shared" si="5"/>
        <v>--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1">
        <f t="shared" si="9"/>
      </c>
      <c r="V27" s="473">
        <f t="shared" si="10"/>
      </c>
      <c r="W27" s="60"/>
    </row>
    <row r="28" spans="2:23" s="8" customFormat="1" ht="16.5" customHeight="1">
      <c r="B28" s="55"/>
      <c r="C28" s="151"/>
      <c r="D28" s="151"/>
      <c r="E28" s="170"/>
      <c r="F28" s="464"/>
      <c r="G28" s="464"/>
      <c r="H28" s="465"/>
      <c r="I28" s="466" t="str">
        <f t="shared" si="0"/>
        <v> - </v>
      </c>
      <c r="J28" s="467"/>
      <c r="K28" s="468"/>
      <c r="L28" s="469">
        <f t="shared" si="1"/>
      </c>
      <c r="M28" s="470">
        <f t="shared" si="2"/>
      </c>
      <c r="N28" s="179"/>
      <c r="O28" s="181">
        <f t="shared" si="3"/>
      </c>
      <c r="P28" s="471">
        <f t="shared" si="4"/>
        <v>40</v>
      </c>
      <c r="Q28" s="472" t="str">
        <f t="shared" si="5"/>
        <v>--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1">
        <f t="shared" si="9"/>
      </c>
      <c r="V28" s="473">
        <f t="shared" si="10"/>
      </c>
      <c r="W28" s="60"/>
    </row>
    <row r="29" spans="2:23" s="8" customFormat="1" ht="16.5" customHeight="1">
      <c r="B29" s="55"/>
      <c r="C29" s="151"/>
      <c r="D29" s="151"/>
      <c r="E29" s="151"/>
      <c r="F29" s="464"/>
      <c r="G29" s="464"/>
      <c r="H29" s="465"/>
      <c r="I29" s="466" t="str">
        <f t="shared" si="0"/>
        <v> - </v>
      </c>
      <c r="J29" s="467"/>
      <c r="K29" s="468"/>
      <c r="L29" s="469">
        <f t="shared" si="1"/>
      </c>
      <c r="M29" s="470">
        <f t="shared" si="2"/>
      </c>
      <c r="N29" s="179"/>
      <c r="O29" s="181">
        <f t="shared" si="3"/>
      </c>
      <c r="P29" s="471">
        <f t="shared" si="4"/>
        <v>40</v>
      </c>
      <c r="Q29" s="472" t="str">
        <f t="shared" si="5"/>
        <v>--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1">
        <f t="shared" si="9"/>
      </c>
      <c r="V29" s="473">
        <f t="shared" si="10"/>
      </c>
      <c r="W29" s="60"/>
    </row>
    <row r="30" spans="2:23" s="8" customFormat="1" ht="16.5" customHeight="1">
      <c r="B30" s="55"/>
      <c r="C30" s="151"/>
      <c r="D30" s="151"/>
      <c r="E30" s="170"/>
      <c r="F30" s="464"/>
      <c r="G30" s="464"/>
      <c r="H30" s="465"/>
      <c r="I30" s="466" t="str">
        <f t="shared" si="0"/>
        <v> - </v>
      </c>
      <c r="J30" s="467"/>
      <c r="K30" s="468"/>
      <c r="L30" s="469">
        <f t="shared" si="1"/>
      </c>
      <c r="M30" s="470">
        <f t="shared" si="2"/>
      </c>
      <c r="N30" s="179"/>
      <c r="O30" s="181">
        <f t="shared" si="3"/>
      </c>
      <c r="P30" s="471">
        <f t="shared" si="4"/>
        <v>40</v>
      </c>
      <c r="Q30" s="472" t="str">
        <f t="shared" si="5"/>
        <v>--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1">
        <f t="shared" si="9"/>
      </c>
      <c r="V30" s="473">
        <f t="shared" si="10"/>
      </c>
      <c r="W30" s="60"/>
    </row>
    <row r="31" spans="2:23" s="8" customFormat="1" ht="16.5" customHeight="1">
      <c r="B31" s="55"/>
      <c r="C31" s="151"/>
      <c r="D31" s="151"/>
      <c r="E31" s="151"/>
      <c r="F31" s="464"/>
      <c r="G31" s="464"/>
      <c r="H31" s="465"/>
      <c r="I31" s="466" t="str">
        <f t="shared" si="0"/>
        <v> - </v>
      </c>
      <c r="J31" s="467"/>
      <c r="K31" s="468"/>
      <c r="L31" s="469">
        <f t="shared" si="1"/>
      </c>
      <c r="M31" s="470">
        <f t="shared" si="2"/>
      </c>
      <c r="N31" s="179"/>
      <c r="O31" s="181">
        <f t="shared" si="3"/>
      </c>
      <c r="P31" s="471">
        <f t="shared" si="4"/>
        <v>40</v>
      </c>
      <c r="Q31" s="472" t="str">
        <f t="shared" si="5"/>
        <v>--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1">
        <f t="shared" si="9"/>
      </c>
      <c r="V31" s="473">
        <f t="shared" si="10"/>
      </c>
      <c r="W31" s="60"/>
    </row>
    <row r="32" spans="2:23" s="8" customFormat="1" ht="16.5" customHeight="1">
      <c r="B32" s="55"/>
      <c r="C32" s="151"/>
      <c r="D32" s="151"/>
      <c r="E32" s="170"/>
      <c r="F32" s="464"/>
      <c r="G32" s="464"/>
      <c r="H32" s="465"/>
      <c r="I32" s="466" t="str">
        <f t="shared" si="0"/>
        <v> - </v>
      </c>
      <c r="J32" s="467"/>
      <c r="K32" s="468"/>
      <c r="L32" s="469">
        <f t="shared" si="1"/>
      </c>
      <c r="M32" s="470">
        <f t="shared" si="2"/>
      </c>
      <c r="N32" s="179"/>
      <c r="O32" s="181">
        <f t="shared" si="3"/>
      </c>
      <c r="P32" s="471">
        <f t="shared" si="4"/>
        <v>40</v>
      </c>
      <c r="Q32" s="472" t="str">
        <f t="shared" si="5"/>
        <v>--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1">
        <f t="shared" si="9"/>
      </c>
      <c r="V32" s="473">
        <f t="shared" si="10"/>
      </c>
      <c r="W32" s="60"/>
    </row>
    <row r="33" spans="2:23" s="8" customFormat="1" ht="16.5" customHeight="1">
      <c r="B33" s="55"/>
      <c r="C33" s="151"/>
      <c r="D33" s="151"/>
      <c r="E33" s="151"/>
      <c r="F33" s="464"/>
      <c r="G33" s="464"/>
      <c r="H33" s="465"/>
      <c r="I33" s="466" t="str">
        <f t="shared" si="0"/>
        <v> - </v>
      </c>
      <c r="J33" s="467"/>
      <c r="K33" s="468"/>
      <c r="L33" s="469">
        <f t="shared" si="1"/>
      </c>
      <c r="M33" s="470">
        <f t="shared" si="2"/>
      </c>
      <c r="N33" s="179"/>
      <c r="O33" s="181">
        <f t="shared" si="3"/>
      </c>
      <c r="P33" s="471">
        <f t="shared" si="4"/>
        <v>40</v>
      </c>
      <c r="Q33" s="472" t="str">
        <f t="shared" si="5"/>
        <v>--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1">
        <f t="shared" si="9"/>
      </c>
      <c r="V33" s="473">
        <f t="shared" si="10"/>
      </c>
      <c r="W33" s="60"/>
    </row>
    <row r="34" spans="2:23" s="8" customFormat="1" ht="16.5" customHeight="1">
      <c r="B34" s="55"/>
      <c r="C34" s="151"/>
      <c r="D34" s="151"/>
      <c r="E34" s="170"/>
      <c r="F34" s="464"/>
      <c r="G34" s="464"/>
      <c r="H34" s="465"/>
      <c r="I34" s="466" t="str">
        <f t="shared" si="0"/>
        <v> - </v>
      </c>
      <c r="J34" s="467"/>
      <c r="K34" s="468"/>
      <c r="L34" s="469">
        <f t="shared" si="1"/>
      </c>
      <c r="M34" s="470">
        <f t="shared" si="2"/>
      </c>
      <c r="N34" s="179"/>
      <c r="O34" s="181">
        <f t="shared" si="3"/>
      </c>
      <c r="P34" s="471">
        <f t="shared" si="4"/>
        <v>40</v>
      </c>
      <c r="Q34" s="472" t="str">
        <f t="shared" si="5"/>
        <v>--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1">
        <f t="shared" si="9"/>
      </c>
      <c r="V34" s="473">
        <f t="shared" si="10"/>
      </c>
      <c r="W34" s="60"/>
    </row>
    <row r="35" spans="2:23" s="8" customFormat="1" ht="16.5" customHeight="1">
      <c r="B35" s="55"/>
      <c r="C35" s="151"/>
      <c r="D35" s="151"/>
      <c r="E35" s="151"/>
      <c r="F35" s="464"/>
      <c r="G35" s="464"/>
      <c r="H35" s="465"/>
      <c r="I35" s="466" t="str">
        <f t="shared" si="0"/>
        <v> - </v>
      </c>
      <c r="J35" s="467"/>
      <c r="K35" s="468"/>
      <c r="L35" s="469">
        <f t="shared" si="1"/>
      </c>
      <c r="M35" s="470">
        <f t="shared" si="2"/>
      </c>
      <c r="N35" s="179"/>
      <c r="O35" s="181">
        <f t="shared" si="3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1">
        <f t="shared" si="9"/>
      </c>
      <c r="V35" s="473">
        <f t="shared" si="10"/>
      </c>
      <c r="W35" s="60"/>
    </row>
    <row r="36" spans="2:23" s="8" customFormat="1" ht="16.5" customHeight="1">
      <c r="B36" s="55"/>
      <c r="C36" s="151"/>
      <c r="D36" s="151"/>
      <c r="E36" s="170"/>
      <c r="F36" s="464"/>
      <c r="G36" s="464"/>
      <c r="H36" s="465"/>
      <c r="I36" s="466" t="str">
        <f t="shared" si="0"/>
        <v> - </v>
      </c>
      <c r="J36" s="467"/>
      <c r="K36" s="468"/>
      <c r="L36" s="469">
        <f t="shared" si="1"/>
      </c>
      <c r="M36" s="470">
        <f t="shared" si="2"/>
      </c>
      <c r="N36" s="179"/>
      <c r="O36" s="181">
        <f t="shared" si="3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1">
        <f t="shared" si="9"/>
      </c>
      <c r="V36" s="473">
        <f t="shared" si="10"/>
      </c>
      <c r="W36" s="60"/>
    </row>
    <row r="37" spans="2:23" s="8" customFormat="1" ht="16.5" customHeight="1">
      <c r="B37" s="55"/>
      <c r="C37" s="151"/>
      <c r="D37" s="151"/>
      <c r="E37" s="151"/>
      <c r="F37" s="464"/>
      <c r="G37" s="464"/>
      <c r="H37" s="465"/>
      <c r="I37" s="466" t="str">
        <f t="shared" si="0"/>
        <v> - </v>
      </c>
      <c r="J37" s="467"/>
      <c r="K37" s="468"/>
      <c r="L37" s="469">
        <f t="shared" si="1"/>
      </c>
      <c r="M37" s="470">
        <f t="shared" si="2"/>
      </c>
      <c r="N37" s="179"/>
      <c r="O37" s="181">
        <f t="shared" si="3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1">
        <f t="shared" si="9"/>
      </c>
      <c r="V37" s="473">
        <f t="shared" si="10"/>
      </c>
      <c r="W37" s="60"/>
    </row>
    <row r="38" spans="2:23" s="8" customFormat="1" ht="16.5" customHeight="1">
      <c r="B38" s="55"/>
      <c r="C38" s="151"/>
      <c r="D38" s="151"/>
      <c r="E38" s="170"/>
      <c r="F38" s="464"/>
      <c r="G38" s="464"/>
      <c r="H38" s="589"/>
      <c r="I38" s="466" t="str">
        <f t="shared" si="0"/>
        <v> - </v>
      </c>
      <c r="J38" s="467"/>
      <c r="K38" s="468"/>
      <c r="L38" s="469">
        <f t="shared" si="1"/>
      </c>
      <c r="M38" s="470">
        <f t="shared" si="2"/>
      </c>
      <c r="N38" s="179"/>
      <c r="O38" s="181">
        <f t="shared" si="3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1">
        <f t="shared" si="9"/>
      </c>
      <c r="V38" s="473">
        <f t="shared" si="10"/>
      </c>
      <c r="W38" s="60"/>
    </row>
    <row r="39" spans="2:23" s="8" customFormat="1" ht="16.5" customHeight="1">
      <c r="B39" s="55"/>
      <c r="C39" s="151"/>
      <c r="D39" s="151"/>
      <c r="E39" s="151"/>
      <c r="F39" s="464"/>
      <c r="G39" s="464"/>
      <c r="H39" s="465"/>
      <c r="I39" s="466" t="str">
        <f t="shared" si="0"/>
        <v> - </v>
      </c>
      <c r="J39" s="467"/>
      <c r="K39" s="468"/>
      <c r="L39" s="469">
        <f t="shared" si="1"/>
      </c>
      <c r="M39" s="470">
        <f t="shared" si="2"/>
      </c>
      <c r="N39" s="179"/>
      <c r="O39" s="181">
        <f t="shared" si="3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1">
        <f t="shared" si="9"/>
      </c>
      <c r="V39" s="473">
        <f t="shared" si="10"/>
      </c>
      <c r="W39" s="60"/>
    </row>
    <row r="40" spans="2:23" s="8" customFormat="1" ht="16.5" customHeight="1">
      <c r="B40" s="55"/>
      <c r="C40" s="151"/>
      <c r="D40" s="151"/>
      <c r="E40" s="170"/>
      <c r="F40" s="464"/>
      <c r="G40" s="464"/>
      <c r="H40" s="589"/>
      <c r="I40" s="466" t="str">
        <f t="shared" si="0"/>
        <v> - </v>
      </c>
      <c r="J40" s="467"/>
      <c r="K40" s="468"/>
      <c r="L40" s="469">
        <f t="shared" si="1"/>
      </c>
      <c r="M40" s="470">
        <f t="shared" si="2"/>
      </c>
      <c r="N40" s="179"/>
      <c r="O40" s="181">
        <f t="shared" si="3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1">
        <f t="shared" si="9"/>
      </c>
      <c r="V40" s="473">
        <f t="shared" si="10"/>
      </c>
      <c r="W40" s="60"/>
    </row>
    <row r="41" spans="2:23" s="8" customFormat="1" ht="16.5" customHeight="1">
      <c r="B41" s="55"/>
      <c r="C41" s="151"/>
      <c r="D41" s="151"/>
      <c r="E41" s="151"/>
      <c r="F41" s="464"/>
      <c r="G41" s="464"/>
      <c r="H41" s="465"/>
      <c r="I41" s="466" t="str">
        <f t="shared" si="0"/>
        <v> - </v>
      </c>
      <c r="J41" s="467"/>
      <c r="K41" s="468"/>
      <c r="L41" s="469">
        <f t="shared" si="1"/>
      </c>
      <c r="M41" s="470">
        <f t="shared" si="2"/>
      </c>
      <c r="N41" s="179"/>
      <c r="O41" s="181">
        <f t="shared" si="3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1">
        <f t="shared" si="9"/>
      </c>
      <c r="V41" s="473">
        <f t="shared" si="10"/>
      </c>
      <c r="W41" s="60"/>
    </row>
    <row r="42" spans="2:23" s="8" customFormat="1" ht="16.5" customHeight="1">
      <c r="B42" s="55"/>
      <c r="C42" s="151"/>
      <c r="D42" s="151"/>
      <c r="E42" s="170"/>
      <c r="F42" s="464"/>
      <c r="G42" s="464"/>
      <c r="H42" s="589"/>
      <c r="I42" s="466" t="str">
        <f t="shared" si="0"/>
        <v> - </v>
      </c>
      <c r="J42" s="467"/>
      <c r="K42" s="468"/>
      <c r="L42" s="469">
        <f t="shared" si="1"/>
      </c>
      <c r="M42" s="470">
        <f>IF(F42="","",ROUND((K42-J42)*24*60,0))</f>
      </c>
      <c r="N42" s="179"/>
      <c r="O42" s="181">
        <f t="shared" si="3"/>
      </c>
      <c r="P42" s="471">
        <f t="shared" si="4"/>
        <v>40</v>
      </c>
      <c r="Q42" s="472" t="str">
        <f t="shared" si="5"/>
        <v>--</v>
      </c>
      <c r="R42" s="460" t="str">
        <f t="shared" si="6"/>
        <v>--</v>
      </c>
      <c r="S42" s="461" t="str">
        <f t="shared" si="7"/>
        <v>--</v>
      </c>
      <c r="T42" s="462" t="str">
        <f t="shared" si="8"/>
        <v>--</v>
      </c>
      <c r="U42" s="181">
        <f t="shared" si="9"/>
      </c>
      <c r="V42" s="473">
        <f t="shared" si="10"/>
      </c>
      <c r="W42" s="60"/>
    </row>
    <row r="43" spans="2:23" s="8" customFormat="1" ht="16.5" customHeight="1">
      <c r="B43" s="55"/>
      <c r="C43" s="151"/>
      <c r="D43" s="151"/>
      <c r="E43" s="151"/>
      <c r="F43" s="464"/>
      <c r="G43" s="464"/>
      <c r="H43" s="465"/>
      <c r="I43" s="466" t="str">
        <f t="shared" si="0"/>
        <v> - </v>
      </c>
      <c r="J43" s="467"/>
      <c r="K43" s="468"/>
      <c r="L43" s="469">
        <f t="shared" si="1"/>
      </c>
      <c r="M43" s="470">
        <f>IF(F43="","",ROUND((K43-J43)*24*60,0))</f>
      </c>
      <c r="N43" s="179"/>
      <c r="O43" s="181">
        <f t="shared" si="3"/>
      </c>
      <c r="P43" s="471">
        <f t="shared" si="4"/>
        <v>40</v>
      </c>
      <c r="Q43" s="472" t="str">
        <f t="shared" si="5"/>
        <v>--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1">
        <f>IF(F43="","","SI")</f>
      </c>
      <c r="V43" s="473">
        <f t="shared" si="10"/>
      </c>
      <c r="W43" s="60"/>
    </row>
    <row r="44" spans="2:23" s="8" customFormat="1" ht="16.5" customHeight="1" thickBot="1">
      <c r="B44" s="55"/>
      <c r="C44" s="209"/>
      <c r="D44" s="209"/>
      <c r="E44" s="209"/>
      <c r="F44" s="209"/>
      <c r="G44" s="209"/>
      <c r="H44" s="209"/>
      <c r="I44" s="382"/>
      <c r="J44" s="474"/>
      <c r="K44" s="474"/>
      <c r="L44" s="475"/>
      <c r="M44" s="475"/>
      <c r="N44" s="474"/>
      <c r="O44" s="216"/>
      <c r="P44" s="476"/>
      <c r="Q44" s="477"/>
      <c r="R44" s="478"/>
      <c r="S44" s="479"/>
      <c r="T44" s="480"/>
      <c r="U44" s="216"/>
      <c r="V44" s="481"/>
      <c r="W44" s="60"/>
    </row>
    <row r="45" spans="2:23" s="8" customFormat="1" ht="16.5" customHeight="1" thickBot="1" thickTop="1">
      <c r="B45" s="55"/>
      <c r="C45" s="230" t="s">
        <v>297</v>
      </c>
      <c r="D45" s="271" t="s">
        <v>400</v>
      </c>
      <c r="E45" s="230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2">
        <f>SUM(Q22:Q44)</f>
        <v>5999.8741199999995</v>
      </c>
      <c r="R45" s="483">
        <f>SUM(R22:R44)</f>
        <v>0</v>
      </c>
      <c r="S45" s="484">
        <f>SUM(S22:S44)</f>
        <v>0</v>
      </c>
      <c r="T45" s="485">
        <f>SUM(T22:T44)</f>
        <v>0</v>
      </c>
      <c r="U45" s="486"/>
      <c r="V45" s="487">
        <f>ROUND(SUM(V22:V44),2)</f>
        <v>5999.87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3"/>
      <c r="X47" s="413"/>
      <c r="Y47" s="413"/>
    </row>
    <row r="48" spans="23:25" ht="16.5" customHeight="1">
      <c r="W48" s="413"/>
      <c r="X48" s="413"/>
      <c r="Y48" s="413"/>
    </row>
    <row r="49" spans="23:25" ht="16.5" customHeight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6:25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C157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9"/>
      <c r="B2" s="498" t="str">
        <f>+'TOT-0412'!B2</f>
        <v>ANEXO V al Memorándum  D.T.E.E.  N°     461       / 2014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7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419"/>
    </row>
    <row r="8" spans="2:27" s="18" customFormat="1" ht="20.25">
      <c r="B8" s="96"/>
      <c r="C8" s="23"/>
      <c r="D8" s="23"/>
      <c r="F8" s="97" t="s">
        <v>73</v>
      </c>
      <c r="G8" s="49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00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6"/>
      <c r="C10" s="23"/>
      <c r="D10" s="23"/>
      <c r="F10" s="98" t="s">
        <v>74</v>
      </c>
      <c r="H10" s="501"/>
      <c r="I10" s="502"/>
      <c r="J10" s="502"/>
      <c r="K10" s="502"/>
      <c r="L10" s="502"/>
      <c r="M10" s="502"/>
      <c r="N10" s="502"/>
      <c r="O10" s="502"/>
      <c r="P10" s="502"/>
      <c r="Q10" s="502"/>
      <c r="R10" s="23"/>
      <c r="S10" s="23"/>
      <c r="T10" s="23"/>
      <c r="U10" s="23"/>
      <c r="V10" s="23"/>
      <c r="W10" s="23"/>
      <c r="X10" s="23"/>
      <c r="Y10" s="23"/>
      <c r="Z10" s="23"/>
      <c r="AA10" s="421"/>
    </row>
    <row r="11" spans="2:27" s="8" customFormat="1" ht="16.5" customHeight="1">
      <c r="B11" s="55"/>
      <c r="C11" s="11"/>
      <c r="D11" s="11"/>
      <c r="E11" s="11"/>
      <c r="F11" s="503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6"/>
      <c r="C12" s="23"/>
      <c r="D12" s="23"/>
      <c r="F12" s="98" t="s">
        <v>75</v>
      </c>
      <c r="H12" s="501"/>
      <c r="I12" s="502"/>
      <c r="J12" s="502"/>
      <c r="K12" s="502"/>
      <c r="L12" s="502"/>
      <c r="M12" s="502"/>
      <c r="N12" s="502"/>
      <c r="O12" s="502"/>
      <c r="P12" s="502"/>
      <c r="Q12" s="502"/>
      <c r="R12" s="23"/>
      <c r="S12" s="23"/>
      <c r="T12" s="23"/>
      <c r="U12" s="23"/>
      <c r="V12" s="23"/>
      <c r="W12" s="23"/>
      <c r="X12" s="23"/>
      <c r="Y12" s="23"/>
      <c r="Z12" s="23"/>
      <c r="AA12" s="421"/>
    </row>
    <row r="13" spans="2:27" s="8" customFormat="1" ht="16.5" customHeight="1">
      <c r="B13" s="55"/>
      <c r="C13" s="11"/>
      <c r="D13" s="11"/>
      <c r="E13" s="11"/>
      <c r="F13" s="503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'TOT-0412'!B14</f>
        <v>Desde el 01 al 30 de abril de 2013</v>
      </c>
      <c r="C14" s="39"/>
      <c r="D14" s="39"/>
      <c r="E14" s="504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4"/>
      <c r="S14" s="504"/>
      <c r="T14" s="504"/>
      <c r="U14" s="504"/>
      <c r="V14" s="504"/>
      <c r="W14" s="504"/>
      <c r="X14" s="504"/>
      <c r="Y14" s="504"/>
      <c r="Z14" s="504"/>
      <c r="AA14" s="506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07" t="s">
        <v>54</v>
      </c>
      <c r="G16" s="275"/>
      <c r="H16" s="311">
        <v>0.749</v>
      </c>
      <c r="I16" s="43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08" t="s">
        <v>55</v>
      </c>
      <c r="G17" s="509"/>
      <c r="H17" s="510">
        <v>20</v>
      </c>
      <c r="I17" s="433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110"/>
      <c r="AA17" s="60"/>
    </row>
    <row r="18" spans="2:27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60"/>
    </row>
    <row r="19" spans="2:27" s="8" customFormat="1" ht="33.75" customHeight="1" thickBot="1" thickTop="1">
      <c r="B19" s="55"/>
      <c r="C19" s="317" t="s">
        <v>26</v>
      </c>
      <c r="D19" s="112" t="s">
        <v>27</v>
      </c>
      <c r="E19" s="112" t="s">
        <v>28</v>
      </c>
      <c r="F19" s="115" t="s">
        <v>56</v>
      </c>
      <c r="G19" s="113" t="s">
        <v>57</v>
      </c>
      <c r="H19" s="511" t="s">
        <v>76</v>
      </c>
      <c r="I19" s="322" t="s">
        <v>33</v>
      </c>
      <c r="J19" s="113" t="s">
        <v>34</v>
      </c>
      <c r="K19" s="113" t="s">
        <v>35</v>
      </c>
      <c r="L19" s="115" t="s">
        <v>36</v>
      </c>
      <c r="M19" s="115" t="s">
        <v>37</v>
      </c>
      <c r="N19" s="120" t="s">
        <v>296</v>
      </c>
      <c r="O19" s="120" t="s">
        <v>38</v>
      </c>
      <c r="P19" s="113" t="s">
        <v>40</v>
      </c>
      <c r="Q19" s="322" t="s">
        <v>32</v>
      </c>
      <c r="R19" s="512" t="s">
        <v>69</v>
      </c>
      <c r="S19" s="513" t="s">
        <v>77</v>
      </c>
      <c r="T19" s="514"/>
      <c r="U19" s="327" t="s">
        <v>78</v>
      </c>
      <c r="V19" s="328"/>
      <c r="W19" s="515" t="s">
        <v>45</v>
      </c>
      <c r="X19" s="326" t="s">
        <v>42</v>
      </c>
      <c r="Y19" s="131" t="s">
        <v>47</v>
      </c>
      <c r="Z19" s="516" t="s">
        <v>48</v>
      </c>
      <c r="AA19" s="60"/>
    </row>
    <row r="20" spans="2:27" s="8" customFormat="1" ht="16.5" customHeight="1" thickTop="1">
      <c r="B20" s="55"/>
      <c r="C20" s="331"/>
      <c r="D20" s="331"/>
      <c r="E20" s="331"/>
      <c r="F20" s="517"/>
      <c r="G20" s="517"/>
      <c r="H20" s="517"/>
      <c r="I20" s="415"/>
      <c r="J20" s="518"/>
      <c r="K20" s="518"/>
      <c r="L20" s="519"/>
      <c r="M20" s="519"/>
      <c r="N20" s="517"/>
      <c r="O20" s="152"/>
      <c r="P20" s="519"/>
      <c r="Q20" s="520"/>
      <c r="R20" s="521"/>
      <c r="S20" s="522"/>
      <c r="T20" s="523"/>
      <c r="U20" s="340"/>
      <c r="V20" s="341"/>
      <c r="W20" s="524"/>
      <c r="X20" s="524"/>
      <c r="Y20" s="525"/>
      <c r="Z20" s="526"/>
      <c r="AA20" s="60"/>
    </row>
    <row r="21" spans="2:27" s="8" customFormat="1" ht="16.5" customHeight="1">
      <c r="B21" s="55"/>
      <c r="C21" s="151"/>
      <c r="D21" s="151"/>
      <c r="E21" s="151"/>
      <c r="F21" s="527"/>
      <c r="G21" s="528"/>
      <c r="H21" s="529"/>
      <c r="I21" s="530"/>
      <c r="J21" s="531"/>
      <c r="K21" s="532"/>
      <c r="L21" s="533"/>
      <c r="M21" s="534"/>
      <c r="N21" s="535"/>
      <c r="O21" s="158"/>
      <c r="P21" s="416"/>
      <c r="Q21" s="536"/>
      <c r="R21" s="537"/>
      <c r="S21" s="538"/>
      <c r="T21" s="539"/>
      <c r="U21" s="353"/>
      <c r="V21" s="354"/>
      <c r="W21" s="540"/>
      <c r="X21" s="540"/>
      <c r="Y21" s="416"/>
      <c r="Z21" s="541"/>
      <c r="AA21" s="60"/>
    </row>
    <row r="22" spans="2:27" s="8" customFormat="1" ht="16.5" customHeight="1">
      <c r="B22" s="55"/>
      <c r="C22" s="151">
        <v>66</v>
      </c>
      <c r="D22" s="151">
        <v>257843</v>
      </c>
      <c r="E22" s="170">
        <v>589</v>
      </c>
      <c r="F22" s="542" t="s">
        <v>343</v>
      </c>
      <c r="G22" s="464" t="s">
        <v>382</v>
      </c>
      <c r="H22" s="543">
        <v>245</v>
      </c>
      <c r="I22" s="362">
        <f aca="true" t="shared" si="0" ref="I22:I41">H22*$H$16</f>
        <v>183.505</v>
      </c>
      <c r="J22" s="467">
        <v>41365</v>
      </c>
      <c r="K22" s="205">
        <v>41394.99998842592</v>
      </c>
      <c r="L22" s="469">
        <f aca="true" t="shared" si="1" ref="L22:L41">IF(F22="","",(K22-J22)*24)</f>
        <v>719.9997222221573</v>
      </c>
      <c r="M22" s="470">
        <f aca="true" t="shared" si="2" ref="M22:M41">IF(F22="","",ROUND((K22-J22)*24*60,0))</f>
        <v>43200</v>
      </c>
      <c r="N22" s="179" t="s">
        <v>489</v>
      </c>
      <c r="O22" s="274" t="str">
        <f aca="true" t="shared" si="3" ref="O22:O41">IF(F22="","","--")</f>
        <v>--</v>
      </c>
      <c r="P22" s="181" t="str">
        <f aca="true" t="shared" si="4" ref="P22:P41">IF(F22="","",IF(OR(N22="P",N22="RP"),"--","NO"))</f>
        <v>NO</v>
      </c>
      <c r="Q22" s="544">
        <f aca="true" t="shared" si="5" ref="Q22:Q41">IF(OR(N22="P",N22="RP"),$H$17/10,$H$17)</f>
        <v>20</v>
      </c>
      <c r="R22" s="545" t="str">
        <f aca="true" t="shared" si="6" ref="R22:R41">IF(N22="P",I22*Q22*ROUND(M22/60,2),"--")</f>
        <v>--</v>
      </c>
      <c r="S22" s="538" t="str">
        <f aca="true" t="shared" si="7" ref="S22:S41">IF(AND(N22="F",P22="NO"),I22*Q22,"--")</f>
        <v>--</v>
      </c>
      <c r="T22" s="539" t="str">
        <f aca="true" t="shared" si="8" ref="T22:T41">IF(N22="F",I22*Q22*ROUND(M22/60,2),"--")</f>
        <v>--</v>
      </c>
      <c r="U22" s="373" t="str">
        <f aca="true" t="shared" si="9" ref="U22:U41">IF(AND(N22="R",P22="NO"),I22*Q22*O22/100,"--")</f>
        <v>--</v>
      </c>
      <c r="V22" s="374" t="str">
        <f aca="true" t="shared" si="10" ref="V22:V41">IF(N22="R",I22*Q22*O22/100*ROUND(M22/60,2),"--")</f>
        <v>--</v>
      </c>
      <c r="W22" s="540">
        <f aca="true" t="shared" si="11" ref="W22:W41">IF(N22="RF",I22*Q22*ROUND(M22/60,2),"--")</f>
        <v>2642472</v>
      </c>
      <c r="X22" s="417" t="str">
        <f aca="true" t="shared" si="12" ref="X22:X41">IF(N22="RP",I22*Q22*O22/100*ROUND(M22/60,2),"--")</f>
        <v>--</v>
      </c>
      <c r="Y22" s="181" t="str">
        <f aca="true" t="shared" si="13" ref="Y22:Y41">IF(F22="","","SI")</f>
        <v>SI</v>
      </c>
      <c r="Z22" s="473">
        <f aca="true" t="shared" si="14" ref="Z22:Z41">IF(F22="","",SUM(R22:X22)*IF(Y22="SI",1,2)*IF(AND(O22&lt;&gt;"--",N22="RF"),O22/100,1))</f>
        <v>2642472</v>
      </c>
      <c r="AA22" s="60"/>
    </row>
    <row r="23" spans="2:27" s="8" customFormat="1" ht="16.5" customHeight="1">
      <c r="B23" s="55"/>
      <c r="C23" s="151">
        <v>67</v>
      </c>
      <c r="D23" s="151">
        <v>259349</v>
      </c>
      <c r="E23" s="151">
        <v>590</v>
      </c>
      <c r="F23" s="542" t="s">
        <v>343</v>
      </c>
      <c r="G23" s="464" t="s">
        <v>383</v>
      </c>
      <c r="H23" s="543">
        <v>245</v>
      </c>
      <c r="I23" s="362">
        <f t="shared" si="0"/>
        <v>183.505</v>
      </c>
      <c r="J23" s="467">
        <v>41368.240277777775</v>
      </c>
      <c r="K23" s="205">
        <v>41368.686111111114</v>
      </c>
      <c r="L23" s="469">
        <f t="shared" si="1"/>
        <v>10.700000000128057</v>
      </c>
      <c r="M23" s="470">
        <f t="shared" si="2"/>
        <v>642</v>
      </c>
      <c r="N23" s="179" t="s">
        <v>309</v>
      </c>
      <c r="O23" s="274" t="str">
        <f t="shared" si="3"/>
        <v>--</v>
      </c>
      <c r="P23" s="181" t="str">
        <f t="shared" si="4"/>
        <v>--</v>
      </c>
      <c r="Q23" s="544">
        <f t="shared" si="5"/>
        <v>2</v>
      </c>
      <c r="R23" s="545">
        <f t="shared" si="6"/>
        <v>3927.0069999999996</v>
      </c>
      <c r="S23" s="538" t="str">
        <f t="shared" si="7"/>
        <v>--</v>
      </c>
      <c r="T23" s="539" t="str">
        <f t="shared" si="8"/>
        <v>--</v>
      </c>
      <c r="U23" s="373" t="str">
        <f t="shared" si="9"/>
        <v>--</v>
      </c>
      <c r="V23" s="374" t="str">
        <f t="shared" si="10"/>
        <v>--</v>
      </c>
      <c r="W23" s="540" t="str">
        <f t="shared" si="11"/>
        <v>--</v>
      </c>
      <c r="X23" s="417" t="str">
        <f t="shared" si="12"/>
        <v>--</v>
      </c>
      <c r="Y23" s="181" t="str">
        <f t="shared" si="13"/>
        <v>SI</v>
      </c>
      <c r="Z23" s="473">
        <f t="shared" si="14"/>
        <v>3927.0069999999996</v>
      </c>
      <c r="AA23" s="60"/>
    </row>
    <row r="24" spans="2:27" s="8" customFormat="1" ht="16.5" customHeight="1">
      <c r="B24" s="55"/>
      <c r="C24" s="151">
        <v>68</v>
      </c>
      <c r="D24" s="151">
        <v>259518</v>
      </c>
      <c r="E24" s="170">
        <v>592</v>
      </c>
      <c r="F24" s="542" t="s">
        <v>343</v>
      </c>
      <c r="G24" s="464" t="s">
        <v>384</v>
      </c>
      <c r="H24" s="543">
        <v>245</v>
      </c>
      <c r="I24" s="362">
        <f t="shared" si="0"/>
        <v>183.505</v>
      </c>
      <c r="J24" s="467">
        <v>41374.24722222222</v>
      </c>
      <c r="K24" s="205">
        <v>41374.59097222222</v>
      </c>
      <c r="L24" s="469">
        <f t="shared" si="1"/>
        <v>8.25</v>
      </c>
      <c r="M24" s="470">
        <f t="shared" si="2"/>
        <v>495</v>
      </c>
      <c r="N24" s="179" t="s">
        <v>309</v>
      </c>
      <c r="O24" s="274" t="str">
        <f t="shared" si="3"/>
        <v>--</v>
      </c>
      <c r="P24" s="181" t="str">
        <f t="shared" si="4"/>
        <v>--</v>
      </c>
      <c r="Q24" s="544">
        <f t="shared" si="5"/>
        <v>2</v>
      </c>
      <c r="R24" s="545">
        <f t="shared" si="6"/>
        <v>3027.8325</v>
      </c>
      <c r="S24" s="538" t="str">
        <f t="shared" si="7"/>
        <v>--</v>
      </c>
      <c r="T24" s="539" t="str">
        <f t="shared" si="8"/>
        <v>--</v>
      </c>
      <c r="U24" s="373" t="str">
        <f t="shared" si="9"/>
        <v>--</v>
      </c>
      <c r="V24" s="374" t="str">
        <f t="shared" si="10"/>
        <v>--</v>
      </c>
      <c r="W24" s="540" t="str">
        <f t="shared" si="11"/>
        <v>--</v>
      </c>
      <c r="X24" s="417" t="str">
        <f t="shared" si="12"/>
        <v>--</v>
      </c>
      <c r="Y24" s="181" t="str">
        <f t="shared" si="13"/>
        <v>SI</v>
      </c>
      <c r="Z24" s="473">
        <f t="shared" si="14"/>
        <v>3027.8325</v>
      </c>
      <c r="AA24" s="60"/>
    </row>
    <row r="25" spans="2:27" s="8" customFormat="1" ht="16.5" customHeight="1">
      <c r="B25" s="55"/>
      <c r="C25" s="151">
        <v>69</v>
      </c>
      <c r="D25" s="151">
        <v>259521</v>
      </c>
      <c r="E25" s="151">
        <v>615</v>
      </c>
      <c r="F25" s="542" t="s">
        <v>385</v>
      </c>
      <c r="G25" s="464" t="s">
        <v>393</v>
      </c>
      <c r="H25" s="543">
        <v>150</v>
      </c>
      <c r="I25" s="362">
        <f t="shared" si="0"/>
        <v>112.35</v>
      </c>
      <c r="J25" s="467">
        <v>41376.34166666667</v>
      </c>
      <c r="K25" s="205">
        <v>41376.45416666667</v>
      </c>
      <c r="L25" s="469">
        <f t="shared" si="1"/>
        <v>2.700000000069849</v>
      </c>
      <c r="M25" s="470">
        <f t="shared" si="2"/>
        <v>162</v>
      </c>
      <c r="N25" s="179" t="s">
        <v>309</v>
      </c>
      <c r="O25" s="274" t="str">
        <f t="shared" si="3"/>
        <v>--</v>
      </c>
      <c r="P25" s="181" t="str">
        <f t="shared" si="4"/>
        <v>--</v>
      </c>
      <c r="Q25" s="544">
        <f t="shared" si="5"/>
        <v>2</v>
      </c>
      <c r="R25" s="545">
        <f t="shared" si="6"/>
        <v>606.69</v>
      </c>
      <c r="S25" s="538" t="str">
        <f t="shared" si="7"/>
        <v>--</v>
      </c>
      <c r="T25" s="539" t="str">
        <f t="shared" si="8"/>
        <v>--</v>
      </c>
      <c r="U25" s="373" t="str">
        <f t="shared" si="9"/>
        <v>--</v>
      </c>
      <c r="V25" s="374" t="str">
        <f t="shared" si="10"/>
        <v>--</v>
      </c>
      <c r="W25" s="540" t="str">
        <f t="shared" si="11"/>
        <v>--</v>
      </c>
      <c r="X25" s="417" t="str">
        <f t="shared" si="12"/>
        <v>--</v>
      </c>
      <c r="Y25" s="181" t="str">
        <f t="shared" si="13"/>
        <v>SI</v>
      </c>
      <c r="Z25" s="473">
        <f t="shared" si="14"/>
        <v>606.69</v>
      </c>
      <c r="AA25" s="546"/>
    </row>
    <row r="26" spans="2:27" s="8" customFormat="1" ht="16.5" customHeight="1">
      <c r="B26" s="55"/>
      <c r="C26" s="151">
        <v>70</v>
      </c>
      <c r="D26" s="151">
        <v>259685</v>
      </c>
      <c r="E26" s="170">
        <v>662</v>
      </c>
      <c r="F26" s="542" t="s">
        <v>386</v>
      </c>
      <c r="G26" s="464" t="s">
        <v>396</v>
      </c>
      <c r="H26" s="543">
        <v>80</v>
      </c>
      <c r="I26" s="362">
        <f t="shared" si="0"/>
        <v>59.92</v>
      </c>
      <c r="J26" s="467">
        <v>41381.364583333336</v>
      </c>
      <c r="K26" s="205">
        <v>41381.38125</v>
      </c>
      <c r="L26" s="469">
        <f t="shared" si="1"/>
        <v>0.39999999990686774</v>
      </c>
      <c r="M26" s="470">
        <f t="shared" si="2"/>
        <v>24</v>
      </c>
      <c r="N26" s="179" t="s">
        <v>309</v>
      </c>
      <c r="O26" s="274" t="str">
        <f t="shared" si="3"/>
        <v>--</v>
      </c>
      <c r="P26" s="181" t="str">
        <f t="shared" si="4"/>
        <v>--</v>
      </c>
      <c r="Q26" s="544">
        <f t="shared" si="5"/>
        <v>2</v>
      </c>
      <c r="R26" s="545">
        <f t="shared" si="6"/>
        <v>47.93600000000001</v>
      </c>
      <c r="S26" s="538" t="str">
        <f t="shared" si="7"/>
        <v>--</v>
      </c>
      <c r="T26" s="539" t="str">
        <f t="shared" si="8"/>
        <v>--</v>
      </c>
      <c r="U26" s="373" t="str">
        <f t="shared" si="9"/>
        <v>--</v>
      </c>
      <c r="V26" s="374" t="str">
        <f t="shared" si="10"/>
        <v>--</v>
      </c>
      <c r="W26" s="540" t="str">
        <f t="shared" si="11"/>
        <v>--</v>
      </c>
      <c r="X26" s="417" t="str">
        <f t="shared" si="12"/>
        <v>--</v>
      </c>
      <c r="Y26" s="181" t="str">
        <f t="shared" si="13"/>
        <v>SI</v>
      </c>
      <c r="Z26" s="473">
        <f t="shared" si="14"/>
        <v>47.93600000000001</v>
      </c>
      <c r="AA26" s="546"/>
    </row>
    <row r="27" spans="2:27" s="8" customFormat="1" ht="16.5" customHeight="1">
      <c r="B27" s="55"/>
      <c r="C27" s="151">
        <v>71</v>
      </c>
      <c r="D27" s="151">
        <v>259688</v>
      </c>
      <c r="E27" s="151">
        <v>665</v>
      </c>
      <c r="F27" s="542" t="s">
        <v>386</v>
      </c>
      <c r="G27" s="464" t="s">
        <v>397</v>
      </c>
      <c r="H27" s="543">
        <v>80</v>
      </c>
      <c r="I27" s="362">
        <f t="shared" si="0"/>
        <v>59.92</v>
      </c>
      <c r="J27" s="467">
        <v>41381.425</v>
      </c>
      <c r="K27" s="205">
        <v>41381.43819444445</v>
      </c>
      <c r="L27" s="469">
        <f t="shared" si="1"/>
        <v>0.3166666666511446</v>
      </c>
      <c r="M27" s="470">
        <f t="shared" si="2"/>
        <v>19</v>
      </c>
      <c r="N27" s="179" t="s">
        <v>309</v>
      </c>
      <c r="O27" s="274" t="str">
        <f t="shared" si="3"/>
        <v>--</v>
      </c>
      <c r="P27" s="181" t="str">
        <f t="shared" si="4"/>
        <v>--</v>
      </c>
      <c r="Q27" s="544">
        <f t="shared" si="5"/>
        <v>2</v>
      </c>
      <c r="R27" s="545">
        <f t="shared" si="6"/>
        <v>38.348800000000004</v>
      </c>
      <c r="S27" s="538" t="str">
        <f t="shared" si="7"/>
        <v>--</v>
      </c>
      <c r="T27" s="539" t="str">
        <f t="shared" si="8"/>
        <v>--</v>
      </c>
      <c r="U27" s="373" t="str">
        <f t="shared" si="9"/>
        <v>--</v>
      </c>
      <c r="V27" s="374" t="str">
        <f t="shared" si="10"/>
        <v>--</v>
      </c>
      <c r="W27" s="540" t="str">
        <f t="shared" si="11"/>
        <v>--</v>
      </c>
      <c r="X27" s="417" t="str">
        <f t="shared" si="12"/>
        <v>--</v>
      </c>
      <c r="Y27" s="181" t="str">
        <f t="shared" si="13"/>
        <v>SI</v>
      </c>
      <c r="Z27" s="473">
        <f t="shared" si="14"/>
        <v>38.348800000000004</v>
      </c>
      <c r="AA27" s="546"/>
    </row>
    <row r="28" spans="2:27" s="8" customFormat="1" ht="16.5" customHeight="1">
      <c r="B28" s="55"/>
      <c r="C28" s="151">
        <v>72</v>
      </c>
      <c r="D28" s="151">
        <v>259690</v>
      </c>
      <c r="E28" s="170">
        <v>615</v>
      </c>
      <c r="F28" s="542" t="s">
        <v>385</v>
      </c>
      <c r="G28" s="464" t="s">
        <v>393</v>
      </c>
      <c r="H28" s="543">
        <v>150</v>
      </c>
      <c r="I28" s="362">
        <f t="shared" si="0"/>
        <v>112.35</v>
      </c>
      <c r="J28" s="467">
        <v>41381.79375</v>
      </c>
      <c r="K28" s="205">
        <v>41381.86875</v>
      </c>
      <c r="L28" s="469">
        <f t="shared" si="1"/>
        <v>1.8000000001047738</v>
      </c>
      <c r="M28" s="470">
        <f t="shared" si="2"/>
        <v>108</v>
      </c>
      <c r="N28" s="179" t="s">
        <v>309</v>
      </c>
      <c r="O28" s="274" t="str">
        <f t="shared" si="3"/>
        <v>--</v>
      </c>
      <c r="P28" s="181" t="str">
        <f t="shared" si="4"/>
        <v>--</v>
      </c>
      <c r="Q28" s="544">
        <f t="shared" si="5"/>
        <v>2</v>
      </c>
      <c r="R28" s="545">
        <f t="shared" si="6"/>
        <v>404.46</v>
      </c>
      <c r="S28" s="538" t="str">
        <f t="shared" si="7"/>
        <v>--</v>
      </c>
      <c r="T28" s="539" t="str">
        <f t="shared" si="8"/>
        <v>--</v>
      </c>
      <c r="U28" s="373" t="str">
        <f t="shared" si="9"/>
        <v>--</v>
      </c>
      <c r="V28" s="374" t="str">
        <f t="shared" si="10"/>
        <v>--</v>
      </c>
      <c r="W28" s="540" t="str">
        <f t="shared" si="11"/>
        <v>--</v>
      </c>
      <c r="X28" s="417" t="str">
        <f t="shared" si="12"/>
        <v>--</v>
      </c>
      <c r="Y28" s="181" t="str">
        <f t="shared" si="13"/>
        <v>SI</v>
      </c>
      <c r="Z28" s="473">
        <f t="shared" si="14"/>
        <v>404.46</v>
      </c>
      <c r="AA28" s="546"/>
    </row>
    <row r="29" spans="2:27" s="8" customFormat="1" ht="16.5" customHeight="1">
      <c r="B29" s="55"/>
      <c r="C29" s="151">
        <v>73</v>
      </c>
      <c r="D29" s="151">
        <v>259691</v>
      </c>
      <c r="E29" s="151">
        <v>3999</v>
      </c>
      <c r="F29" s="542" t="s">
        <v>385</v>
      </c>
      <c r="G29" s="464" t="s">
        <v>387</v>
      </c>
      <c r="H29" s="543">
        <v>150</v>
      </c>
      <c r="I29" s="362">
        <f t="shared" si="0"/>
        <v>112.35</v>
      </c>
      <c r="J29" s="467">
        <v>41381.86944444444</v>
      </c>
      <c r="K29" s="205">
        <v>41381.95972222222</v>
      </c>
      <c r="L29" s="469">
        <f t="shared" si="1"/>
        <v>2.166666666744277</v>
      </c>
      <c r="M29" s="470">
        <f t="shared" si="2"/>
        <v>130</v>
      </c>
      <c r="N29" s="179" t="s">
        <v>309</v>
      </c>
      <c r="O29" s="274" t="str">
        <f t="shared" si="3"/>
        <v>--</v>
      </c>
      <c r="P29" s="181" t="str">
        <f t="shared" si="4"/>
        <v>--</v>
      </c>
      <c r="Q29" s="544">
        <f t="shared" si="5"/>
        <v>2</v>
      </c>
      <c r="R29" s="545">
        <f t="shared" si="6"/>
        <v>487.59899999999993</v>
      </c>
      <c r="S29" s="538" t="str">
        <f t="shared" si="7"/>
        <v>--</v>
      </c>
      <c r="T29" s="539" t="str">
        <f t="shared" si="8"/>
        <v>--</v>
      </c>
      <c r="U29" s="373" t="str">
        <f t="shared" si="9"/>
        <v>--</v>
      </c>
      <c r="V29" s="374" t="str">
        <f t="shared" si="10"/>
        <v>--</v>
      </c>
      <c r="W29" s="540" t="str">
        <f t="shared" si="11"/>
        <v>--</v>
      </c>
      <c r="X29" s="417" t="str">
        <f t="shared" si="12"/>
        <v>--</v>
      </c>
      <c r="Y29" s="181" t="str">
        <f t="shared" si="13"/>
        <v>SI</v>
      </c>
      <c r="Z29" s="473">
        <f t="shared" si="14"/>
        <v>487.59899999999993</v>
      </c>
      <c r="AA29" s="546"/>
    </row>
    <row r="30" spans="2:27" s="8" customFormat="1" ht="16.5" customHeight="1">
      <c r="B30" s="55"/>
      <c r="C30" s="151"/>
      <c r="D30" s="151"/>
      <c r="E30" s="151"/>
      <c r="F30" s="542"/>
      <c r="G30" s="464"/>
      <c r="H30" s="543"/>
      <c r="I30" s="362"/>
      <c r="J30" s="467"/>
      <c r="K30" s="205"/>
      <c r="L30" s="469"/>
      <c r="M30" s="470"/>
      <c r="N30" s="179"/>
      <c r="O30" s="274"/>
      <c r="P30" s="181"/>
      <c r="Q30" s="544"/>
      <c r="R30" s="545"/>
      <c r="S30" s="538"/>
      <c r="T30" s="539"/>
      <c r="U30" s="373"/>
      <c r="V30" s="374"/>
      <c r="W30" s="540"/>
      <c r="X30" s="417"/>
      <c r="Y30" s="181"/>
      <c r="Z30" s="473"/>
      <c r="AA30" s="546"/>
    </row>
    <row r="31" spans="2:27" s="8" customFormat="1" ht="16.5" customHeight="1">
      <c r="B31" s="55"/>
      <c r="C31" s="151">
        <v>75</v>
      </c>
      <c r="D31" s="151">
        <v>258879</v>
      </c>
      <c r="E31" s="151">
        <v>587</v>
      </c>
      <c r="F31" s="542" t="s">
        <v>343</v>
      </c>
      <c r="G31" s="464" t="s">
        <v>390</v>
      </c>
      <c r="H31" s="543">
        <v>245</v>
      </c>
      <c r="I31" s="362">
        <f t="shared" si="0"/>
        <v>183.505</v>
      </c>
      <c r="J31" s="467">
        <v>41387.24236111111</v>
      </c>
      <c r="K31" s="205">
        <v>41387.58194444444</v>
      </c>
      <c r="L31" s="469">
        <f t="shared" si="1"/>
        <v>8.150000000023283</v>
      </c>
      <c r="M31" s="470">
        <f t="shared" si="2"/>
        <v>489</v>
      </c>
      <c r="N31" s="179" t="s">
        <v>309</v>
      </c>
      <c r="O31" s="274" t="str">
        <f t="shared" si="3"/>
        <v>--</v>
      </c>
      <c r="P31" s="181" t="str">
        <f t="shared" si="4"/>
        <v>--</v>
      </c>
      <c r="Q31" s="544">
        <f t="shared" si="5"/>
        <v>2</v>
      </c>
      <c r="R31" s="545">
        <f t="shared" si="6"/>
        <v>2991.1315</v>
      </c>
      <c r="S31" s="538" t="str">
        <f t="shared" si="7"/>
        <v>--</v>
      </c>
      <c r="T31" s="539" t="str">
        <f t="shared" si="8"/>
        <v>--</v>
      </c>
      <c r="U31" s="373" t="str">
        <f t="shared" si="9"/>
        <v>--</v>
      </c>
      <c r="V31" s="374" t="str">
        <f t="shared" si="10"/>
        <v>--</v>
      </c>
      <c r="W31" s="540" t="str">
        <f t="shared" si="11"/>
        <v>--</v>
      </c>
      <c r="X31" s="417" t="str">
        <f t="shared" si="12"/>
        <v>--</v>
      </c>
      <c r="Y31" s="181" t="str">
        <f t="shared" si="13"/>
        <v>SI</v>
      </c>
      <c r="Z31" s="473">
        <f t="shared" si="14"/>
        <v>2991.1315</v>
      </c>
      <c r="AA31" s="60"/>
    </row>
    <row r="32" spans="2:27" s="8" customFormat="1" ht="16.5" customHeight="1">
      <c r="B32" s="55"/>
      <c r="C32" s="151">
        <v>76</v>
      </c>
      <c r="D32" s="151">
        <v>259883</v>
      </c>
      <c r="E32" s="170">
        <v>677</v>
      </c>
      <c r="F32" s="542" t="s">
        <v>391</v>
      </c>
      <c r="G32" s="464" t="s">
        <v>394</v>
      </c>
      <c r="H32" s="543">
        <v>222</v>
      </c>
      <c r="I32" s="362">
        <f t="shared" si="0"/>
        <v>166.278</v>
      </c>
      <c r="J32" s="467">
        <v>41389.33819444444</v>
      </c>
      <c r="K32" s="205">
        <v>41389.60138888889</v>
      </c>
      <c r="L32" s="469">
        <f t="shared" si="1"/>
        <v>6.316666666825768</v>
      </c>
      <c r="M32" s="470">
        <f t="shared" si="2"/>
        <v>379</v>
      </c>
      <c r="N32" s="179" t="s">
        <v>309</v>
      </c>
      <c r="O32" s="274" t="str">
        <f t="shared" si="3"/>
        <v>--</v>
      </c>
      <c r="P32" s="181" t="str">
        <f t="shared" si="4"/>
        <v>--</v>
      </c>
      <c r="Q32" s="544">
        <f t="shared" si="5"/>
        <v>2</v>
      </c>
      <c r="R32" s="545">
        <f t="shared" si="6"/>
        <v>2101.75392</v>
      </c>
      <c r="S32" s="538" t="str">
        <f t="shared" si="7"/>
        <v>--</v>
      </c>
      <c r="T32" s="539" t="str">
        <f t="shared" si="8"/>
        <v>--</v>
      </c>
      <c r="U32" s="373" t="str">
        <f t="shared" si="9"/>
        <v>--</v>
      </c>
      <c r="V32" s="374" t="str">
        <f t="shared" si="10"/>
        <v>--</v>
      </c>
      <c r="W32" s="540" t="str">
        <f t="shared" si="11"/>
        <v>--</v>
      </c>
      <c r="X32" s="417" t="str">
        <f t="shared" si="12"/>
        <v>--</v>
      </c>
      <c r="Y32" s="181" t="str">
        <f t="shared" si="13"/>
        <v>SI</v>
      </c>
      <c r="Z32" s="473">
        <v>0</v>
      </c>
      <c r="AA32" s="60"/>
    </row>
    <row r="33" spans="2:27" s="8" customFormat="1" ht="16.5" customHeight="1">
      <c r="B33" s="55"/>
      <c r="C33" s="151">
        <v>77</v>
      </c>
      <c r="D33" s="151">
        <v>259887</v>
      </c>
      <c r="E33" s="151">
        <v>588</v>
      </c>
      <c r="F33" s="542" t="s">
        <v>343</v>
      </c>
      <c r="G33" s="464" t="s">
        <v>392</v>
      </c>
      <c r="H33" s="543">
        <v>245</v>
      </c>
      <c r="I33" s="362">
        <f t="shared" si="0"/>
        <v>183.505</v>
      </c>
      <c r="J33" s="467">
        <v>41389.248611111114</v>
      </c>
      <c r="K33" s="205">
        <v>41389.57916666667</v>
      </c>
      <c r="L33" s="469">
        <f t="shared" si="1"/>
        <v>7.933333333348855</v>
      </c>
      <c r="M33" s="470">
        <f t="shared" si="2"/>
        <v>476</v>
      </c>
      <c r="N33" s="179" t="s">
        <v>309</v>
      </c>
      <c r="O33" s="274" t="str">
        <f t="shared" si="3"/>
        <v>--</v>
      </c>
      <c r="P33" s="181" t="str">
        <f t="shared" si="4"/>
        <v>--</v>
      </c>
      <c r="Q33" s="544">
        <f t="shared" si="5"/>
        <v>2</v>
      </c>
      <c r="R33" s="545">
        <f t="shared" si="6"/>
        <v>2910.3893</v>
      </c>
      <c r="S33" s="538" t="str">
        <f t="shared" si="7"/>
        <v>--</v>
      </c>
      <c r="T33" s="539" t="str">
        <f t="shared" si="8"/>
        <v>--</v>
      </c>
      <c r="U33" s="373" t="str">
        <f t="shared" si="9"/>
        <v>--</v>
      </c>
      <c r="V33" s="374" t="str">
        <f t="shared" si="10"/>
        <v>--</v>
      </c>
      <c r="W33" s="540" t="str">
        <f t="shared" si="11"/>
        <v>--</v>
      </c>
      <c r="X33" s="417" t="str">
        <f t="shared" si="12"/>
        <v>--</v>
      </c>
      <c r="Y33" s="181" t="str">
        <f t="shared" si="13"/>
        <v>SI</v>
      </c>
      <c r="Z33" s="473">
        <f t="shared" si="14"/>
        <v>2910.3893</v>
      </c>
      <c r="AA33" s="60"/>
    </row>
    <row r="34" spans="2:27" s="8" customFormat="1" ht="16.5" customHeight="1">
      <c r="B34" s="55"/>
      <c r="C34" s="151">
        <v>78</v>
      </c>
      <c r="D34" s="151">
        <v>259891</v>
      </c>
      <c r="E34" s="170">
        <v>678</v>
      </c>
      <c r="F34" s="542" t="s">
        <v>391</v>
      </c>
      <c r="G34" s="464" t="s">
        <v>395</v>
      </c>
      <c r="H34" s="543">
        <v>201</v>
      </c>
      <c r="I34" s="362">
        <f t="shared" si="0"/>
        <v>150.549</v>
      </c>
      <c r="J34" s="467">
        <v>41389.34166666667</v>
      </c>
      <c r="K34" s="205">
        <v>41389.60972222222</v>
      </c>
      <c r="L34" s="469">
        <f t="shared" si="1"/>
        <v>6.433333333348855</v>
      </c>
      <c r="M34" s="470">
        <f t="shared" si="2"/>
        <v>386</v>
      </c>
      <c r="N34" s="179" t="s">
        <v>309</v>
      </c>
      <c r="O34" s="274" t="str">
        <f t="shared" si="3"/>
        <v>--</v>
      </c>
      <c r="P34" s="181" t="str">
        <f t="shared" si="4"/>
        <v>--</v>
      </c>
      <c r="Q34" s="544">
        <f t="shared" si="5"/>
        <v>2</v>
      </c>
      <c r="R34" s="545">
        <f t="shared" si="6"/>
        <v>1936.06014</v>
      </c>
      <c r="S34" s="538" t="str">
        <f t="shared" si="7"/>
        <v>--</v>
      </c>
      <c r="T34" s="539" t="str">
        <f t="shared" si="8"/>
        <v>--</v>
      </c>
      <c r="U34" s="373" t="str">
        <f t="shared" si="9"/>
        <v>--</v>
      </c>
      <c r="V34" s="374" t="str">
        <f t="shared" si="10"/>
        <v>--</v>
      </c>
      <c r="W34" s="540" t="str">
        <f t="shared" si="11"/>
        <v>--</v>
      </c>
      <c r="X34" s="417" t="str">
        <f t="shared" si="12"/>
        <v>--</v>
      </c>
      <c r="Y34" s="181" t="str">
        <f t="shared" si="13"/>
        <v>SI</v>
      </c>
      <c r="Z34" s="473">
        <v>0</v>
      </c>
      <c r="AA34" s="60"/>
    </row>
    <row r="35" spans="2:27" s="8" customFormat="1" ht="16.5" customHeight="1">
      <c r="B35" s="55"/>
      <c r="C35" s="151"/>
      <c r="D35" s="151"/>
      <c r="E35" s="151"/>
      <c r="F35" s="542"/>
      <c r="G35" s="464"/>
      <c r="H35" s="543"/>
      <c r="I35" s="362">
        <f t="shared" si="0"/>
        <v>0</v>
      </c>
      <c r="J35" s="467"/>
      <c r="K35" s="205"/>
      <c r="L35" s="469">
        <f t="shared" si="1"/>
      </c>
      <c r="M35" s="470">
        <f t="shared" si="2"/>
      </c>
      <c r="N35" s="179"/>
      <c r="O35" s="274">
        <f t="shared" si="3"/>
      </c>
      <c r="P35" s="181">
        <f t="shared" si="4"/>
      </c>
      <c r="Q35" s="544">
        <f t="shared" si="5"/>
        <v>20</v>
      </c>
      <c r="R35" s="545" t="str">
        <f t="shared" si="6"/>
        <v>--</v>
      </c>
      <c r="S35" s="538" t="str">
        <f t="shared" si="7"/>
        <v>--</v>
      </c>
      <c r="T35" s="539" t="str">
        <f t="shared" si="8"/>
        <v>--</v>
      </c>
      <c r="U35" s="373" t="str">
        <f t="shared" si="9"/>
        <v>--</v>
      </c>
      <c r="V35" s="374" t="str">
        <f t="shared" si="10"/>
        <v>--</v>
      </c>
      <c r="W35" s="540" t="str">
        <f t="shared" si="11"/>
        <v>--</v>
      </c>
      <c r="X35" s="417" t="str">
        <f t="shared" si="12"/>
        <v>--</v>
      </c>
      <c r="Y35" s="181">
        <f t="shared" si="13"/>
      </c>
      <c r="Z35" s="473">
        <f t="shared" si="14"/>
      </c>
      <c r="AA35" s="60"/>
    </row>
    <row r="36" spans="2:27" s="8" customFormat="1" ht="16.5" customHeight="1">
      <c r="B36" s="55"/>
      <c r="C36" s="151"/>
      <c r="D36" s="151"/>
      <c r="E36" s="170"/>
      <c r="F36" s="542"/>
      <c r="G36" s="464"/>
      <c r="H36" s="543"/>
      <c r="I36" s="362">
        <f t="shared" si="0"/>
        <v>0</v>
      </c>
      <c r="J36" s="467"/>
      <c r="K36" s="205"/>
      <c r="L36" s="469">
        <f t="shared" si="1"/>
      </c>
      <c r="M36" s="470">
        <f t="shared" si="2"/>
      </c>
      <c r="N36" s="179"/>
      <c r="O36" s="274">
        <f t="shared" si="3"/>
      </c>
      <c r="P36" s="181">
        <f t="shared" si="4"/>
      </c>
      <c r="Q36" s="544">
        <f t="shared" si="5"/>
        <v>20</v>
      </c>
      <c r="R36" s="545" t="str">
        <f t="shared" si="6"/>
        <v>--</v>
      </c>
      <c r="S36" s="538" t="str">
        <f t="shared" si="7"/>
        <v>--</v>
      </c>
      <c r="T36" s="539" t="str">
        <f t="shared" si="8"/>
        <v>--</v>
      </c>
      <c r="U36" s="373" t="str">
        <f t="shared" si="9"/>
        <v>--</v>
      </c>
      <c r="V36" s="374" t="str">
        <f t="shared" si="10"/>
        <v>--</v>
      </c>
      <c r="W36" s="540" t="str">
        <f t="shared" si="11"/>
        <v>--</v>
      </c>
      <c r="X36" s="417" t="str">
        <f t="shared" si="12"/>
        <v>--</v>
      </c>
      <c r="Y36" s="181">
        <f t="shared" si="13"/>
      </c>
      <c r="Z36" s="473">
        <f t="shared" si="14"/>
      </c>
      <c r="AA36" s="60"/>
    </row>
    <row r="37" spans="2:27" s="8" customFormat="1" ht="16.5" customHeight="1">
      <c r="B37" s="55"/>
      <c r="C37" s="151"/>
      <c r="D37" s="151"/>
      <c r="E37" s="151"/>
      <c r="F37" s="542"/>
      <c r="G37" s="464"/>
      <c r="H37" s="543"/>
      <c r="I37" s="362">
        <f t="shared" si="0"/>
        <v>0</v>
      </c>
      <c r="J37" s="467"/>
      <c r="K37" s="205"/>
      <c r="L37" s="469">
        <f t="shared" si="1"/>
      </c>
      <c r="M37" s="470">
        <f t="shared" si="2"/>
      </c>
      <c r="N37" s="179"/>
      <c r="O37" s="274">
        <f t="shared" si="3"/>
      </c>
      <c r="P37" s="181">
        <f t="shared" si="4"/>
      </c>
      <c r="Q37" s="544">
        <f t="shared" si="5"/>
        <v>20</v>
      </c>
      <c r="R37" s="545" t="str">
        <f t="shared" si="6"/>
        <v>--</v>
      </c>
      <c r="S37" s="538" t="str">
        <f t="shared" si="7"/>
        <v>--</v>
      </c>
      <c r="T37" s="539" t="str">
        <f t="shared" si="8"/>
        <v>--</v>
      </c>
      <c r="U37" s="373" t="str">
        <f t="shared" si="9"/>
        <v>--</v>
      </c>
      <c r="V37" s="374" t="str">
        <f t="shared" si="10"/>
        <v>--</v>
      </c>
      <c r="W37" s="540" t="str">
        <f t="shared" si="11"/>
        <v>--</v>
      </c>
      <c r="X37" s="417" t="str">
        <f t="shared" si="12"/>
        <v>--</v>
      </c>
      <c r="Y37" s="181">
        <f t="shared" si="13"/>
      </c>
      <c r="Z37" s="473">
        <f t="shared" si="14"/>
      </c>
      <c r="AA37" s="60"/>
    </row>
    <row r="38" spans="2:27" s="8" customFormat="1" ht="16.5" customHeight="1">
      <c r="B38" s="55"/>
      <c r="C38" s="151"/>
      <c r="D38" s="151"/>
      <c r="E38" s="170"/>
      <c r="F38" s="542"/>
      <c r="G38" s="464"/>
      <c r="H38" s="543"/>
      <c r="I38" s="362">
        <f t="shared" si="0"/>
        <v>0</v>
      </c>
      <c r="J38" s="467"/>
      <c r="K38" s="205"/>
      <c r="L38" s="469">
        <f t="shared" si="1"/>
      </c>
      <c r="M38" s="470">
        <f t="shared" si="2"/>
      </c>
      <c r="N38" s="179"/>
      <c r="O38" s="274">
        <f t="shared" si="3"/>
      </c>
      <c r="P38" s="181">
        <f t="shared" si="4"/>
      </c>
      <c r="Q38" s="544">
        <f t="shared" si="5"/>
        <v>20</v>
      </c>
      <c r="R38" s="545" t="str">
        <f t="shared" si="6"/>
        <v>--</v>
      </c>
      <c r="S38" s="538" t="str">
        <f t="shared" si="7"/>
        <v>--</v>
      </c>
      <c r="T38" s="539" t="str">
        <f t="shared" si="8"/>
        <v>--</v>
      </c>
      <c r="U38" s="373" t="str">
        <f t="shared" si="9"/>
        <v>--</v>
      </c>
      <c r="V38" s="374" t="str">
        <f t="shared" si="10"/>
        <v>--</v>
      </c>
      <c r="W38" s="540" t="str">
        <f t="shared" si="11"/>
        <v>--</v>
      </c>
      <c r="X38" s="417" t="str">
        <f t="shared" si="12"/>
        <v>--</v>
      </c>
      <c r="Y38" s="181">
        <f t="shared" si="13"/>
      </c>
      <c r="Z38" s="473">
        <f t="shared" si="14"/>
      </c>
      <c r="AA38" s="60"/>
    </row>
    <row r="39" spans="2:27" s="8" customFormat="1" ht="16.5" customHeight="1">
      <c r="B39" s="55"/>
      <c r="C39" s="151"/>
      <c r="D39" s="151"/>
      <c r="E39" s="151"/>
      <c r="F39" s="542"/>
      <c r="G39" s="464"/>
      <c r="H39" s="543"/>
      <c r="I39" s="362">
        <f t="shared" si="0"/>
        <v>0</v>
      </c>
      <c r="J39" s="467"/>
      <c r="K39" s="205"/>
      <c r="L39" s="469">
        <f t="shared" si="1"/>
      </c>
      <c r="M39" s="470">
        <f t="shared" si="2"/>
      </c>
      <c r="N39" s="179"/>
      <c r="O39" s="274">
        <f t="shared" si="3"/>
      </c>
      <c r="P39" s="181">
        <f t="shared" si="4"/>
      </c>
      <c r="Q39" s="544">
        <f t="shared" si="5"/>
        <v>20</v>
      </c>
      <c r="R39" s="545" t="str">
        <f t="shared" si="6"/>
        <v>--</v>
      </c>
      <c r="S39" s="538" t="str">
        <f t="shared" si="7"/>
        <v>--</v>
      </c>
      <c r="T39" s="539" t="str">
        <f t="shared" si="8"/>
        <v>--</v>
      </c>
      <c r="U39" s="373" t="str">
        <f t="shared" si="9"/>
        <v>--</v>
      </c>
      <c r="V39" s="374" t="str">
        <f t="shared" si="10"/>
        <v>--</v>
      </c>
      <c r="W39" s="540" t="str">
        <f t="shared" si="11"/>
        <v>--</v>
      </c>
      <c r="X39" s="417" t="str">
        <f t="shared" si="12"/>
        <v>--</v>
      </c>
      <c r="Y39" s="181">
        <f t="shared" si="13"/>
      </c>
      <c r="Z39" s="473">
        <f t="shared" si="14"/>
      </c>
      <c r="AA39" s="60"/>
    </row>
    <row r="40" spans="2:27" s="8" customFormat="1" ht="16.5" customHeight="1">
      <c r="B40" s="55"/>
      <c r="C40" s="151"/>
      <c r="D40" s="151"/>
      <c r="E40" s="170"/>
      <c r="F40" s="542"/>
      <c r="G40" s="464"/>
      <c r="H40" s="543"/>
      <c r="I40" s="362">
        <f t="shared" si="0"/>
        <v>0</v>
      </c>
      <c r="J40" s="467"/>
      <c r="K40" s="205"/>
      <c r="L40" s="469">
        <f t="shared" si="1"/>
      </c>
      <c r="M40" s="470">
        <f t="shared" si="2"/>
      </c>
      <c r="N40" s="179"/>
      <c r="O40" s="274">
        <f t="shared" si="3"/>
      </c>
      <c r="P40" s="181">
        <f t="shared" si="4"/>
      </c>
      <c r="Q40" s="544">
        <f t="shared" si="5"/>
        <v>20</v>
      </c>
      <c r="R40" s="545" t="str">
        <f t="shared" si="6"/>
        <v>--</v>
      </c>
      <c r="S40" s="538" t="str">
        <f t="shared" si="7"/>
        <v>--</v>
      </c>
      <c r="T40" s="539" t="str">
        <f t="shared" si="8"/>
        <v>--</v>
      </c>
      <c r="U40" s="373" t="str">
        <f t="shared" si="9"/>
        <v>--</v>
      </c>
      <c r="V40" s="374" t="str">
        <f t="shared" si="10"/>
        <v>--</v>
      </c>
      <c r="W40" s="540" t="str">
        <f t="shared" si="11"/>
        <v>--</v>
      </c>
      <c r="X40" s="417" t="str">
        <f t="shared" si="12"/>
        <v>--</v>
      </c>
      <c r="Y40" s="181">
        <f t="shared" si="13"/>
      </c>
      <c r="Z40" s="473">
        <f t="shared" si="14"/>
      </c>
      <c r="AA40" s="60"/>
    </row>
    <row r="41" spans="2:27" s="8" customFormat="1" ht="16.5" customHeight="1">
      <c r="B41" s="55"/>
      <c r="C41" s="151"/>
      <c r="D41" s="151"/>
      <c r="E41" s="151"/>
      <c r="F41" s="542"/>
      <c r="G41" s="464"/>
      <c r="H41" s="543"/>
      <c r="I41" s="362">
        <f t="shared" si="0"/>
        <v>0</v>
      </c>
      <c r="J41" s="467"/>
      <c r="K41" s="205"/>
      <c r="L41" s="469">
        <f t="shared" si="1"/>
      </c>
      <c r="M41" s="470">
        <f t="shared" si="2"/>
      </c>
      <c r="N41" s="179"/>
      <c r="O41" s="274">
        <f t="shared" si="3"/>
      </c>
      <c r="P41" s="181">
        <f t="shared" si="4"/>
      </c>
      <c r="Q41" s="544">
        <f t="shared" si="5"/>
        <v>20</v>
      </c>
      <c r="R41" s="545" t="str">
        <f t="shared" si="6"/>
        <v>--</v>
      </c>
      <c r="S41" s="538" t="str">
        <f t="shared" si="7"/>
        <v>--</v>
      </c>
      <c r="T41" s="539" t="str">
        <f t="shared" si="8"/>
        <v>--</v>
      </c>
      <c r="U41" s="373" t="str">
        <f t="shared" si="9"/>
        <v>--</v>
      </c>
      <c r="V41" s="374" t="str">
        <f t="shared" si="10"/>
        <v>--</v>
      </c>
      <c r="W41" s="540" t="str">
        <f t="shared" si="11"/>
        <v>--</v>
      </c>
      <c r="X41" s="417" t="str">
        <f t="shared" si="12"/>
        <v>--</v>
      </c>
      <c r="Y41" s="181">
        <f t="shared" si="13"/>
      </c>
      <c r="Z41" s="473">
        <f t="shared" si="14"/>
      </c>
      <c r="AA41" s="60"/>
    </row>
    <row r="42" spans="2:27" s="8" customFormat="1" ht="16.5" customHeight="1" thickBot="1">
      <c r="B42" s="55"/>
      <c r="C42" s="547"/>
      <c r="D42" s="547"/>
      <c r="E42" s="547"/>
      <c r="F42" s="547"/>
      <c r="G42" s="547"/>
      <c r="H42" s="547"/>
      <c r="I42" s="382"/>
      <c r="J42" s="474"/>
      <c r="K42" s="474"/>
      <c r="L42" s="475"/>
      <c r="M42" s="475"/>
      <c r="N42" s="474"/>
      <c r="O42" s="217"/>
      <c r="P42" s="216"/>
      <c r="Q42" s="548"/>
      <c r="R42" s="549"/>
      <c r="S42" s="550"/>
      <c r="T42" s="551"/>
      <c r="U42" s="394"/>
      <c r="V42" s="395"/>
      <c r="W42" s="552"/>
      <c r="X42" s="552"/>
      <c r="Y42" s="216"/>
      <c r="Z42" s="553"/>
      <c r="AA42" s="60"/>
    </row>
    <row r="43" spans="2:27" s="8" customFormat="1" ht="16.5" customHeight="1" thickBot="1" thickTop="1">
      <c r="B43" s="55"/>
      <c r="C43" s="230" t="s">
        <v>297</v>
      </c>
      <c r="D43" s="271" t="s">
        <v>400</v>
      </c>
      <c r="E43" s="230"/>
      <c r="F43" s="231"/>
      <c r="I43" s="11"/>
      <c r="J43" s="11"/>
      <c r="K43" s="11"/>
      <c r="L43" s="11"/>
      <c r="M43" s="11"/>
      <c r="N43" s="11"/>
      <c r="O43" s="11"/>
      <c r="P43" s="11"/>
      <c r="Q43" s="11"/>
      <c r="R43" s="554">
        <f aca="true" t="shared" si="15" ref="R43:X43">SUM(R20:R42)</f>
        <v>18479.20816</v>
      </c>
      <c r="S43" s="555">
        <f t="shared" si="15"/>
        <v>0</v>
      </c>
      <c r="T43" s="556">
        <f t="shared" si="15"/>
        <v>0</v>
      </c>
      <c r="U43" s="404">
        <f t="shared" si="15"/>
        <v>0</v>
      </c>
      <c r="V43" s="405">
        <f t="shared" si="15"/>
        <v>0</v>
      </c>
      <c r="W43" s="557">
        <f t="shared" si="15"/>
        <v>2642472</v>
      </c>
      <c r="X43" s="557">
        <f t="shared" si="15"/>
        <v>0</v>
      </c>
      <c r="Z43" s="487">
        <f>ROUND(SUM(Z20:Z42),2)</f>
        <v>2656913.39</v>
      </c>
      <c r="AA43" s="558"/>
    </row>
    <row r="44" spans="2:27" s="8" customFormat="1" ht="16.5" customHeight="1" thickBot="1" thickTop="1">
      <c r="B44" s="245"/>
      <c r="C44" s="246"/>
      <c r="D44" s="246" t="s">
        <v>399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7"/>
    </row>
    <row r="45" spans="6:29" ht="16.5" customHeight="1" thickTop="1">
      <c r="F45" s="559"/>
      <c r="G45" s="559"/>
      <c r="H45" s="559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</row>
    <row r="46" spans="6:29" ht="16.5" customHeight="1">
      <c r="F46" s="559"/>
      <c r="G46" s="559"/>
      <c r="H46" s="559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</row>
    <row r="47" spans="6:29" ht="16.5" customHeight="1">
      <c r="F47" s="559"/>
      <c r="G47" s="559"/>
      <c r="H47" s="559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</row>
    <row r="48" spans="6:29" ht="16.5" customHeight="1">
      <c r="F48" s="559"/>
      <c r="G48" s="559"/>
      <c r="H48" s="559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</row>
    <row r="49" spans="6:29" ht="16.5" customHeight="1">
      <c r="F49" s="559"/>
      <c r="G49" s="559"/>
      <c r="H49" s="559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</row>
    <row r="50" spans="6:29" ht="16.5" customHeight="1">
      <c r="F50" s="559"/>
      <c r="G50" s="559"/>
      <c r="H50" s="559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</row>
    <row r="51" spans="6:29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</row>
    <row r="52" spans="6:29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</row>
    <row r="53" spans="6:29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</row>
    <row r="54" spans="6:29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</row>
    <row r="55" spans="6:29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</row>
    <row r="56" spans="6:29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</row>
    <row r="57" spans="6:29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</row>
    <row r="58" spans="6:29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</row>
    <row r="59" spans="6:29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</row>
    <row r="60" spans="6:29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</row>
    <row r="61" spans="6:29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</row>
    <row r="62" spans="6:29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</row>
    <row r="63" spans="6:29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</row>
    <row r="64" spans="6:29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</row>
    <row r="65" spans="6:29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</row>
    <row r="66" spans="6:29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</row>
    <row r="67" spans="6:29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</row>
    <row r="68" spans="6:29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</row>
    <row r="69" spans="6:29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</row>
    <row r="70" spans="6:29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</row>
    <row r="71" spans="6:29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</row>
    <row r="72" spans="6:29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</row>
    <row r="73" spans="6:29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</row>
    <row r="74" spans="6:29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</row>
    <row r="75" spans="6:29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</row>
    <row r="76" spans="6:29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</row>
    <row r="77" spans="6:29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</row>
    <row r="78" spans="6:29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</row>
    <row r="79" spans="6:29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</row>
    <row r="80" spans="6:29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</row>
    <row r="81" spans="6:29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</row>
    <row r="82" spans="6:29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</row>
    <row r="83" spans="6:29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</row>
    <row r="84" spans="6:29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</row>
    <row r="85" spans="6:29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</row>
    <row r="86" spans="6:29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</row>
    <row r="87" spans="6:29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</row>
    <row r="88" spans="6:29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</row>
    <row r="89" spans="6:29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</row>
    <row r="90" spans="6:29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</row>
    <row r="91" spans="6:29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</row>
    <row r="92" spans="6:29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</row>
    <row r="93" spans="6:29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</row>
    <row r="94" spans="6:29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</row>
    <row r="95" spans="6:29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</row>
    <row r="96" spans="6:29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</row>
    <row r="97" spans="6:29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</row>
    <row r="98" spans="6:29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</row>
    <row r="99" spans="6:29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</row>
    <row r="100" spans="6:29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</row>
    <row r="101" spans="6:29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</row>
    <row r="102" spans="6:29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</row>
    <row r="103" spans="6:29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</row>
    <row r="104" spans="6:29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</row>
    <row r="105" spans="6:29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</row>
    <row r="106" spans="6:29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</row>
    <row r="107" spans="6:29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</row>
    <row r="108" spans="6:29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</row>
    <row r="109" spans="6:29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</row>
    <row r="110" spans="6:29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</row>
    <row r="111" spans="6:29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</row>
    <row r="112" spans="6:29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</row>
    <row r="113" spans="6:29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</row>
    <row r="114" spans="6:29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</row>
    <row r="115" spans="6:29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</row>
    <row r="116" spans="6:29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</row>
    <row r="117" spans="6:29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</row>
    <row r="118" spans="6:29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</row>
    <row r="119" spans="6:29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</row>
    <row r="120" spans="6:29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</row>
    <row r="121" spans="6:29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</row>
    <row r="122" spans="6:29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</row>
    <row r="123" spans="6:29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</row>
    <row r="124" spans="6:29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</row>
    <row r="125" spans="6:29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</row>
    <row r="126" spans="6:29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</row>
    <row r="127" spans="6:29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</row>
    <row r="128" spans="6:29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</row>
    <row r="129" spans="6:29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</row>
    <row r="130" spans="6:29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</row>
    <row r="131" spans="6:29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</row>
    <row r="132" spans="6:29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</row>
    <row r="133" spans="6:29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</row>
    <row r="134" spans="6:29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</row>
    <row r="135" spans="6:29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</row>
    <row r="136" spans="6:29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</row>
    <row r="137" spans="6:29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</row>
    <row r="138" spans="6:29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</row>
    <row r="139" spans="6:29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</row>
    <row r="140" spans="6:29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</row>
    <row r="141" spans="6:29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</row>
    <row r="142" spans="6:29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</row>
    <row r="143" spans="6:29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</row>
    <row r="144" spans="6:29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</row>
    <row r="145" spans="6:29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</row>
    <row r="146" spans="6:29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</row>
    <row r="147" spans="6:29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</row>
    <row r="148" spans="6:29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</row>
    <row r="149" spans="6:29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</row>
    <row r="150" spans="6:29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</row>
    <row r="151" spans="6:29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</row>
    <row r="152" spans="6:29" ht="16.5" customHeight="1">
      <c r="F152" s="413"/>
      <c r="G152" s="413"/>
      <c r="H152" s="413"/>
      <c r="AB152" s="413"/>
      <c r="AC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5"/>
  <sheetViews>
    <sheetView zoomScale="60" zoomScaleNormal="60" zoomScalePageLayoutView="0" workbookViewId="0" topLeftCell="A1">
      <selection activeCell="E46" sqref="E46"/>
    </sheetView>
  </sheetViews>
  <sheetFormatPr defaultColWidth="11.421875" defaultRowHeight="12.75"/>
  <cols>
    <col min="1" max="1" width="5.140625" style="9" customWidth="1"/>
    <col min="2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17.57421875" style="9" customWidth="1"/>
    <col min="8" max="8" width="14.57421875" style="9" customWidth="1"/>
    <col min="9" max="9" width="10.28125" style="9" customWidth="1"/>
    <col min="10" max="10" width="12.7109375" style="9" hidden="1" customWidth="1"/>
    <col min="11" max="11" width="15.7109375" style="9" customWidth="1"/>
    <col min="12" max="12" width="15.57421875" style="9" customWidth="1"/>
    <col min="13" max="15" width="9.7109375" style="9" customWidth="1"/>
    <col min="16" max="17" width="6.00390625" style="9" customWidth="1"/>
    <col min="18" max="18" width="5.7109375" style="9" hidden="1" customWidth="1"/>
    <col min="19" max="19" width="13.140625" style="9" hidden="1" customWidth="1"/>
    <col min="20" max="21" width="5.7109375" style="9" hidden="1" customWidth="1"/>
    <col min="22" max="22" width="12.28125" style="9" hidden="1" customWidth="1"/>
    <col min="23" max="23" width="9.7109375" style="9" hidden="1" customWidth="1"/>
    <col min="24" max="25" width="15.7109375" style="9" customWidth="1"/>
    <col min="26" max="26" width="4.140625" style="9" customWidth="1"/>
    <col min="27" max="16384" width="11.421875" style="9" customWidth="1"/>
  </cols>
  <sheetData>
    <row r="1" s="3" customFormat="1" ht="26.25">
      <c r="Y1" s="5"/>
    </row>
    <row r="2" spans="1:25" s="3" customFormat="1" ht="26.25">
      <c r="A2" s="89"/>
      <c r="B2" s="498" t="str">
        <f>+'TOT-0412'!B2</f>
        <v>ANEXO V al Memorándum  D.T.E.E.  N°     461       / 2014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6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419"/>
    </row>
    <row r="8" spans="2:26" s="18" customFormat="1" ht="20.25">
      <c r="B8" s="96"/>
      <c r="C8" s="23"/>
      <c r="D8" s="23"/>
      <c r="F8" s="97" t="s">
        <v>73</v>
      </c>
      <c r="G8" s="49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500"/>
    </row>
    <row r="9" spans="2:26" s="8" customFormat="1" ht="14.2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60"/>
    </row>
    <row r="10" spans="2:26" s="18" customFormat="1" ht="20.25">
      <c r="B10" s="96"/>
      <c r="C10" s="23"/>
      <c r="D10" s="23"/>
      <c r="F10" s="98" t="s">
        <v>495</v>
      </c>
      <c r="H10" s="501"/>
      <c r="I10" s="502"/>
      <c r="J10" s="502"/>
      <c r="K10" s="502"/>
      <c r="L10" s="502"/>
      <c r="M10" s="502"/>
      <c r="N10" s="502"/>
      <c r="O10" s="502"/>
      <c r="P10" s="502"/>
      <c r="Q10" s="502"/>
      <c r="R10" s="23"/>
      <c r="S10" s="23"/>
      <c r="T10" s="23"/>
      <c r="U10" s="23"/>
      <c r="V10" s="23"/>
      <c r="W10" s="23"/>
      <c r="X10" s="23"/>
      <c r="Y10" s="23"/>
      <c r="Z10" s="421"/>
    </row>
    <row r="11" spans="2:26" s="8" customFormat="1" ht="14.25" customHeight="1">
      <c r="B11" s="55"/>
      <c r="C11" s="11"/>
      <c r="D11" s="11"/>
      <c r="E11" s="11"/>
      <c r="F11" s="503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11"/>
      <c r="Z11" s="60"/>
    </row>
    <row r="12" spans="2:26" s="18" customFormat="1" ht="20.25">
      <c r="B12" s="96"/>
      <c r="C12" s="23"/>
      <c r="D12" s="23"/>
      <c r="F12" s="98" t="s">
        <v>496</v>
      </c>
      <c r="H12" s="501"/>
      <c r="I12" s="502"/>
      <c r="J12" s="502"/>
      <c r="K12" s="502"/>
      <c r="L12" s="502"/>
      <c r="M12" s="502"/>
      <c r="N12" s="502"/>
      <c r="O12" s="502"/>
      <c r="P12" s="502"/>
      <c r="Q12" s="502"/>
      <c r="R12" s="23"/>
      <c r="S12" s="23"/>
      <c r="T12" s="23"/>
      <c r="U12" s="23"/>
      <c r="V12" s="23"/>
      <c r="W12" s="23"/>
      <c r="X12" s="23"/>
      <c r="Y12" s="23"/>
      <c r="Z12" s="421"/>
    </row>
    <row r="13" spans="2:26" s="8" customFormat="1" ht="14.25" customHeight="1">
      <c r="B13" s="55"/>
      <c r="C13" s="11"/>
      <c r="D13" s="11"/>
      <c r="E13" s="11"/>
      <c r="F13" s="503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11"/>
      <c r="Z13" s="60"/>
    </row>
    <row r="14" spans="2:26" s="34" customFormat="1" ht="16.5" customHeight="1">
      <c r="B14" s="35" t="str">
        <f>+'TOT-0412'!B14</f>
        <v>Desde el 01 al 30 de abril de 2013</v>
      </c>
      <c r="C14" s="39"/>
      <c r="D14" s="39"/>
      <c r="E14" s="504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4"/>
      <c r="S14" s="504"/>
      <c r="T14" s="504"/>
      <c r="U14" s="504"/>
      <c r="V14" s="504"/>
      <c r="W14" s="504"/>
      <c r="X14" s="504"/>
      <c r="Y14" s="504"/>
      <c r="Z14" s="506"/>
    </row>
    <row r="15" spans="2:26" s="8" customFormat="1" ht="14.25" customHeigh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60"/>
    </row>
    <row r="16" spans="2:26" s="8" customFormat="1" ht="14.25" customHeight="1" thickBot="1">
      <c r="B16" s="55"/>
      <c r="C16" s="11"/>
      <c r="D16" s="11"/>
      <c r="E16" s="11"/>
      <c r="F16" s="1476"/>
      <c r="G16" s="108"/>
      <c r="H16" s="1477"/>
      <c r="I16" s="43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60"/>
    </row>
    <row r="17" spans="2:26" s="8" customFormat="1" ht="16.5" customHeight="1" thickBot="1" thickTop="1">
      <c r="B17" s="55"/>
      <c r="C17" s="11"/>
      <c r="D17" s="11"/>
      <c r="E17" s="11"/>
      <c r="F17" s="508" t="s">
        <v>55</v>
      </c>
      <c r="G17" s="509"/>
      <c r="H17" s="510">
        <v>20</v>
      </c>
      <c r="I17" s="433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110"/>
      <c r="Z17" s="60"/>
    </row>
    <row r="18" spans="2:26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60"/>
    </row>
    <row r="19" spans="2:26" s="8" customFormat="1" ht="33.75" customHeight="1" thickBot="1" thickTop="1">
      <c r="B19" s="55"/>
      <c r="C19" s="317" t="s">
        <v>26</v>
      </c>
      <c r="D19" s="112" t="s">
        <v>27</v>
      </c>
      <c r="E19" s="112" t="s">
        <v>28</v>
      </c>
      <c r="F19" s="115" t="s">
        <v>56</v>
      </c>
      <c r="G19" s="113" t="s">
        <v>57</v>
      </c>
      <c r="H19" s="115" t="s">
        <v>497</v>
      </c>
      <c r="I19" s="511" t="s">
        <v>58</v>
      </c>
      <c r="J19" s="322" t="s">
        <v>33</v>
      </c>
      <c r="K19" s="113" t="s">
        <v>34</v>
      </c>
      <c r="L19" s="113" t="s">
        <v>35</v>
      </c>
      <c r="M19" s="115" t="s">
        <v>36</v>
      </c>
      <c r="N19" s="115" t="s">
        <v>37</v>
      </c>
      <c r="O19" s="120" t="s">
        <v>296</v>
      </c>
      <c r="P19" s="120" t="s">
        <v>38</v>
      </c>
      <c r="Q19" s="113" t="s">
        <v>40</v>
      </c>
      <c r="R19" s="322" t="s">
        <v>32</v>
      </c>
      <c r="S19" s="512" t="s">
        <v>69</v>
      </c>
      <c r="T19" s="513" t="s">
        <v>79</v>
      </c>
      <c r="U19" s="514"/>
      <c r="V19" s="515" t="s">
        <v>45</v>
      </c>
      <c r="W19" s="326" t="s">
        <v>42</v>
      </c>
      <c r="X19" s="131" t="s">
        <v>47</v>
      </c>
      <c r="Y19" s="516" t="s">
        <v>48</v>
      </c>
      <c r="Z19" s="60"/>
    </row>
    <row r="20" spans="2:26" s="8" customFormat="1" ht="16.5" customHeight="1" thickTop="1">
      <c r="B20" s="55"/>
      <c r="C20" s="331"/>
      <c r="D20" s="331"/>
      <c r="E20" s="331"/>
      <c r="F20" s="517"/>
      <c r="G20" s="517"/>
      <c r="H20" s="517"/>
      <c r="I20" s="517"/>
      <c r="J20" s="415"/>
      <c r="K20" s="518"/>
      <c r="L20" s="518"/>
      <c r="M20" s="519"/>
      <c r="N20" s="519"/>
      <c r="O20" s="517"/>
      <c r="P20" s="152"/>
      <c r="Q20" s="519"/>
      <c r="R20" s="520"/>
      <c r="S20" s="521"/>
      <c r="T20" s="522"/>
      <c r="U20" s="523"/>
      <c r="V20" s="524"/>
      <c r="W20" s="524"/>
      <c r="X20" s="525"/>
      <c r="Y20" s="526"/>
      <c r="Z20" s="60"/>
    </row>
    <row r="21" spans="2:26" s="8" customFormat="1" ht="16.5" customHeight="1">
      <c r="B21" s="55"/>
      <c r="C21" s="151"/>
      <c r="D21" s="151"/>
      <c r="E21" s="151"/>
      <c r="F21" s="527"/>
      <c r="G21" s="528"/>
      <c r="H21" s="528"/>
      <c r="I21" s="529"/>
      <c r="J21" s="530"/>
      <c r="K21" s="531"/>
      <c r="L21" s="532"/>
      <c r="M21" s="533"/>
      <c r="N21" s="534"/>
      <c r="O21" s="535"/>
      <c r="P21" s="158"/>
      <c r="Q21" s="416"/>
      <c r="R21" s="536"/>
      <c r="S21" s="537"/>
      <c r="T21" s="538"/>
      <c r="U21" s="539"/>
      <c r="V21" s="540"/>
      <c r="W21" s="540"/>
      <c r="X21" s="416"/>
      <c r="Y21" s="541"/>
      <c r="Z21" s="60"/>
    </row>
    <row r="22" spans="2:26" s="8" customFormat="1" ht="16.5" customHeight="1">
      <c r="B22" s="55"/>
      <c r="C22" s="151">
        <v>74</v>
      </c>
      <c r="D22" s="151">
        <v>259701</v>
      </c>
      <c r="E22" s="151">
        <v>4272</v>
      </c>
      <c r="F22" s="542" t="s">
        <v>388</v>
      </c>
      <c r="G22" s="464" t="s">
        <v>389</v>
      </c>
      <c r="H22" s="464">
        <v>0.1365</v>
      </c>
      <c r="I22" s="543">
        <v>45</v>
      </c>
      <c r="J22" s="362">
        <f aca="true" t="shared" si="0" ref="J22:J39">I22*H22</f>
        <v>6.1425</v>
      </c>
      <c r="K22" s="467">
        <v>41383.260416666664</v>
      </c>
      <c r="L22" s="205">
        <v>41384.572916666664</v>
      </c>
      <c r="M22" s="469">
        <f aca="true" t="shared" si="1" ref="M22:M39">IF(F22="","",(L22-K22)*24)</f>
        <v>31.5</v>
      </c>
      <c r="N22" s="470">
        <f aca="true" t="shared" si="2" ref="N22:N39">IF(F22="","",ROUND((L22-K22)*24*60,0))</f>
        <v>1890</v>
      </c>
      <c r="O22" s="179" t="s">
        <v>310</v>
      </c>
      <c r="P22" s="274" t="str">
        <f aca="true" t="shared" si="3" ref="P22:P39">IF(F22="","","--")</f>
        <v>--</v>
      </c>
      <c r="Q22" s="181" t="str">
        <f aca="true" t="shared" si="4" ref="Q22:Q39">IF(F22="","",IF(OR(O22="P",O22="RP"),"--","NO"))</f>
        <v>NO</v>
      </c>
      <c r="R22" s="544">
        <f aca="true" t="shared" si="5" ref="R22:R39">IF(OR(O22="P",O22="RP"),$H$17/10,$H$17)</f>
        <v>20</v>
      </c>
      <c r="S22" s="545" t="str">
        <f aca="true" t="shared" si="6" ref="S22:S39">IF(O22="P",J22*R22*ROUND(N22/60,2),"--")</f>
        <v>--</v>
      </c>
      <c r="T22" s="538">
        <f aca="true" t="shared" si="7" ref="T22:T39">IF(AND(O22="F",Q22="NO"),J22*R22,"--")</f>
        <v>122.85</v>
      </c>
      <c r="U22" s="539">
        <f aca="true" t="shared" si="8" ref="U22:U39">IF(O22="F",J22*R22*ROUND(N22/60,2),"--")</f>
        <v>3869.7749999999996</v>
      </c>
      <c r="V22" s="540" t="str">
        <f aca="true" t="shared" si="9" ref="V22:V39">IF(O22="RF",J22*R22*ROUND(N22/60,2),"--")</f>
        <v>--</v>
      </c>
      <c r="W22" s="417" t="s">
        <v>80</v>
      </c>
      <c r="X22" s="181" t="str">
        <f aca="true" t="shared" si="10" ref="X22:X39">IF(F22="","","SI")</f>
        <v>SI</v>
      </c>
      <c r="Y22" s="473">
        <f aca="true" t="shared" si="11" ref="Y22:Y39">IF(F22="","",SUM(S22:W22)*IF(X22="SI",1,2))</f>
        <v>3992.6249999999995</v>
      </c>
      <c r="Z22" s="60"/>
    </row>
    <row r="23" spans="2:26" s="8" customFormat="1" ht="16.5" customHeight="1">
      <c r="B23" s="55"/>
      <c r="C23" s="151"/>
      <c r="D23" s="151"/>
      <c r="E23" s="151"/>
      <c r="F23" s="542"/>
      <c r="G23" s="464"/>
      <c r="H23" s="464"/>
      <c r="I23" s="543"/>
      <c r="J23" s="362">
        <f t="shared" si="0"/>
        <v>0</v>
      </c>
      <c r="K23" s="467"/>
      <c r="L23" s="205"/>
      <c r="M23" s="469">
        <f t="shared" si="1"/>
      </c>
      <c r="N23" s="470">
        <f t="shared" si="2"/>
      </c>
      <c r="O23" s="179"/>
      <c r="P23" s="274">
        <f t="shared" si="3"/>
      </c>
      <c r="Q23" s="181">
        <f t="shared" si="4"/>
      </c>
      <c r="R23" s="544">
        <f t="shared" si="5"/>
        <v>20</v>
      </c>
      <c r="S23" s="545" t="str">
        <f t="shared" si="6"/>
        <v>--</v>
      </c>
      <c r="T23" s="538" t="str">
        <f t="shared" si="7"/>
        <v>--</v>
      </c>
      <c r="U23" s="539" t="str">
        <f t="shared" si="8"/>
        <v>--</v>
      </c>
      <c r="V23" s="540" t="str">
        <f t="shared" si="9"/>
        <v>--</v>
      </c>
      <c r="W23" s="417" t="s">
        <v>80</v>
      </c>
      <c r="X23" s="181">
        <f t="shared" si="10"/>
      </c>
      <c r="Y23" s="473">
        <f t="shared" si="11"/>
      </c>
      <c r="Z23" s="60"/>
    </row>
    <row r="24" spans="2:26" s="8" customFormat="1" ht="16.5" customHeight="1">
      <c r="B24" s="55"/>
      <c r="C24" s="151"/>
      <c r="D24" s="151"/>
      <c r="E24" s="151"/>
      <c r="F24" s="542"/>
      <c r="G24" s="464"/>
      <c r="H24" s="464"/>
      <c r="I24" s="543"/>
      <c r="J24" s="362">
        <f t="shared" si="0"/>
        <v>0</v>
      </c>
      <c r="K24" s="467"/>
      <c r="L24" s="205"/>
      <c r="M24" s="469">
        <f t="shared" si="1"/>
      </c>
      <c r="N24" s="470">
        <f t="shared" si="2"/>
      </c>
      <c r="O24" s="179"/>
      <c r="P24" s="274">
        <f t="shared" si="3"/>
      </c>
      <c r="Q24" s="181">
        <f t="shared" si="4"/>
      </c>
      <c r="R24" s="544">
        <f t="shared" si="5"/>
        <v>20</v>
      </c>
      <c r="S24" s="545" t="str">
        <f t="shared" si="6"/>
        <v>--</v>
      </c>
      <c r="T24" s="538" t="str">
        <f t="shared" si="7"/>
        <v>--</v>
      </c>
      <c r="U24" s="539" t="str">
        <f t="shared" si="8"/>
        <v>--</v>
      </c>
      <c r="V24" s="540" t="str">
        <f t="shared" si="9"/>
        <v>--</v>
      </c>
      <c r="W24" s="417" t="s">
        <v>80</v>
      </c>
      <c r="X24" s="181">
        <f t="shared" si="10"/>
      </c>
      <c r="Y24" s="473">
        <f t="shared" si="11"/>
      </c>
      <c r="Z24" s="60"/>
    </row>
    <row r="25" spans="2:26" s="8" customFormat="1" ht="16.5" customHeight="1">
      <c r="B25" s="55"/>
      <c r="C25" s="151"/>
      <c r="D25" s="151"/>
      <c r="E25" s="151"/>
      <c r="F25" s="542"/>
      <c r="G25" s="464"/>
      <c r="H25" s="464"/>
      <c r="I25" s="543"/>
      <c r="J25" s="362">
        <f t="shared" si="0"/>
        <v>0</v>
      </c>
      <c r="K25" s="467"/>
      <c r="L25" s="205"/>
      <c r="M25" s="469">
        <f t="shared" si="1"/>
      </c>
      <c r="N25" s="470">
        <f t="shared" si="2"/>
      </c>
      <c r="O25" s="179"/>
      <c r="P25" s="274">
        <f t="shared" si="3"/>
      </c>
      <c r="Q25" s="181">
        <f t="shared" si="4"/>
      </c>
      <c r="R25" s="544">
        <f t="shared" si="5"/>
        <v>20</v>
      </c>
      <c r="S25" s="545" t="str">
        <f t="shared" si="6"/>
        <v>--</v>
      </c>
      <c r="T25" s="538" t="str">
        <f t="shared" si="7"/>
        <v>--</v>
      </c>
      <c r="U25" s="539" t="str">
        <f t="shared" si="8"/>
        <v>--</v>
      </c>
      <c r="V25" s="540" t="str">
        <f t="shared" si="9"/>
        <v>--</v>
      </c>
      <c r="W25" s="417" t="s">
        <v>80</v>
      </c>
      <c r="X25" s="181">
        <f t="shared" si="10"/>
      </c>
      <c r="Y25" s="473">
        <f t="shared" si="11"/>
      </c>
      <c r="Z25" s="546"/>
    </row>
    <row r="26" spans="2:26" s="8" customFormat="1" ht="16.5" customHeight="1">
      <c r="B26" s="55"/>
      <c r="C26" s="151"/>
      <c r="D26" s="151"/>
      <c r="E26" s="151"/>
      <c r="F26" s="542"/>
      <c r="G26" s="464"/>
      <c r="H26" s="464"/>
      <c r="I26" s="543"/>
      <c r="J26" s="362">
        <f t="shared" si="0"/>
        <v>0</v>
      </c>
      <c r="K26" s="467"/>
      <c r="L26" s="205"/>
      <c r="M26" s="469">
        <f t="shared" si="1"/>
      </c>
      <c r="N26" s="470">
        <f t="shared" si="2"/>
      </c>
      <c r="O26" s="179"/>
      <c r="P26" s="274">
        <f t="shared" si="3"/>
      </c>
      <c r="Q26" s="181">
        <f t="shared" si="4"/>
      </c>
      <c r="R26" s="544">
        <f t="shared" si="5"/>
        <v>20</v>
      </c>
      <c r="S26" s="545" t="str">
        <f t="shared" si="6"/>
        <v>--</v>
      </c>
      <c r="T26" s="538" t="str">
        <f t="shared" si="7"/>
        <v>--</v>
      </c>
      <c r="U26" s="539" t="str">
        <f t="shared" si="8"/>
        <v>--</v>
      </c>
      <c r="V26" s="540" t="str">
        <f t="shared" si="9"/>
        <v>--</v>
      </c>
      <c r="W26" s="417" t="s">
        <v>80</v>
      </c>
      <c r="X26" s="181">
        <f t="shared" si="10"/>
      </c>
      <c r="Y26" s="473">
        <f t="shared" si="11"/>
      </c>
      <c r="Z26" s="546"/>
    </row>
    <row r="27" spans="2:26" s="8" customFormat="1" ht="16.5" customHeight="1">
      <c r="B27" s="55"/>
      <c r="C27" s="151"/>
      <c r="D27" s="151"/>
      <c r="E27" s="151"/>
      <c r="F27" s="542"/>
      <c r="G27" s="464"/>
      <c r="H27" s="464"/>
      <c r="I27" s="543"/>
      <c r="J27" s="362">
        <f t="shared" si="0"/>
        <v>0</v>
      </c>
      <c r="K27" s="467"/>
      <c r="L27" s="205"/>
      <c r="M27" s="469">
        <f t="shared" si="1"/>
      </c>
      <c r="N27" s="470">
        <f t="shared" si="2"/>
      </c>
      <c r="O27" s="179"/>
      <c r="P27" s="274">
        <f t="shared" si="3"/>
      </c>
      <c r="Q27" s="181">
        <f t="shared" si="4"/>
      </c>
      <c r="R27" s="544">
        <f t="shared" si="5"/>
        <v>20</v>
      </c>
      <c r="S27" s="545" t="str">
        <f t="shared" si="6"/>
        <v>--</v>
      </c>
      <c r="T27" s="538" t="str">
        <f t="shared" si="7"/>
        <v>--</v>
      </c>
      <c r="U27" s="539" t="str">
        <f t="shared" si="8"/>
        <v>--</v>
      </c>
      <c r="V27" s="540" t="str">
        <f t="shared" si="9"/>
        <v>--</v>
      </c>
      <c r="W27" s="417" t="s">
        <v>80</v>
      </c>
      <c r="X27" s="181">
        <f t="shared" si="10"/>
      </c>
      <c r="Y27" s="473">
        <f t="shared" si="11"/>
      </c>
      <c r="Z27" s="546"/>
    </row>
    <row r="28" spans="2:26" s="8" customFormat="1" ht="16.5" customHeight="1">
      <c r="B28" s="55"/>
      <c r="C28" s="151"/>
      <c r="D28" s="151"/>
      <c r="E28" s="151"/>
      <c r="F28" s="542"/>
      <c r="G28" s="464"/>
      <c r="H28" s="464"/>
      <c r="I28" s="543"/>
      <c r="J28" s="362">
        <f t="shared" si="0"/>
        <v>0</v>
      </c>
      <c r="K28" s="467"/>
      <c r="L28" s="205"/>
      <c r="M28" s="469">
        <f t="shared" si="1"/>
      </c>
      <c r="N28" s="470">
        <f t="shared" si="2"/>
      </c>
      <c r="O28" s="179"/>
      <c r="P28" s="274">
        <f t="shared" si="3"/>
      </c>
      <c r="Q28" s="181">
        <f t="shared" si="4"/>
      </c>
      <c r="R28" s="544">
        <f t="shared" si="5"/>
        <v>20</v>
      </c>
      <c r="S28" s="545" t="str">
        <f t="shared" si="6"/>
        <v>--</v>
      </c>
      <c r="T28" s="538" t="str">
        <f t="shared" si="7"/>
        <v>--</v>
      </c>
      <c r="U28" s="539" t="str">
        <f t="shared" si="8"/>
        <v>--</v>
      </c>
      <c r="V28" s="540" t="str">
        <f t="shared" si="9"/>
        <v>--</v>
      </c>
      <c r="W28" s="417" t="s">
        <v>80</v>
      </c>
      <c r="X28" s="181">
        <f t="shared" si="10"/>
      </c>
      <c r="Y28" s="473">
        <f t="shared" si="11"/>
      </c>
      <c r="Z28" s="546"/>
    </row>
    <row r="29" spans="2:26" s="8" customFormat="1" ht="16.5" customHeight="1">
      <c r="B29" s="55"/>
      <c r="C29" s="151"/>
      <c r="D29" s="151"/>
      <c r="E29" s="151"/>
      <c r="F29" s="542"/>
      <c r="G29" s="464"/>
      <c r="H29" s="464"/>
      <c r="I29" s="543"/>
      <c r="J29" s="362">
        <f t="shared" si="0"/>
        <v>0</v>
      </c>
      <c r="K29" s="467"/>
      <c r="L29" s="205"/>
      <c r="M29" s="469">
        <f t="shared" si="1"/>
      </c>
      <c r="N29" s="470">
        <f t="shared" si="2"/>
      </c>
      <c r="O29" s="179"/>
      <c r="P29" s="274">
        <f t="shared" si="3"/>
      </c>
      <c r="Q29" s="181">
        <f t="shared" si="4"/>
      </c>
      <c r="R29" s="544">
        <f t="shared" si="5"/>
        <v>20</v>
      </c>
      <c r="S29" s="545" t="str">
        <f t="shared" si="6"/>
        <v>--</v>
      </c>
      <c r="T29" s="538" t="str">
        <f t="shared" si="7"/>
        <v>--</v>
      </c>
      <c r="U29" s="539" t="str">
        <f t="shared" si="8"/>
        <v>--</v>
      </c>
      <c r="V29" s="540" t="str">
        <f t="shared" si="9"/>
        <v>--</v>
      </c>
      <c r="W29" s="417" t="s">
        <v>80</v>
      </c>
      <c r="X29" s="181">
        <f t="shared" si="10"/>
      </c>
      <c r="Y29" s="473">
        <f t="shared" si="11"/>
      </c>
      <c r="Z29" s="546"/>
    </row>
    <row r="30" spans="2:26" s="8" customFormat="1" ht="16.5" customHeight="1">
      <c r="B30" s="55"/>
      <c r="C30" s="151"/>
      <c r="D30" s="151"/>
      <c r="E30" s="151"/>
      <c r="F30" s="542"/>
      <c r="G30" s="464"/>
      <c r="H30" s="464"/>
      <c r="I30" s="543"/>
      <c r="J30" s="362">
        <f t="shared" si="0"/>
        <v>0</v>
      </c>
      <c r="K30" s="467"/>
      <c r="L30" s="205"/>
      <c r="M30" s="469">
        <f t="shared" si="1"/>
      </c>
      <c r="N30" s="470">
        <f t="shared" si="2"/>
      </c>
      <c r="O30" s="179"/>
      <c r="P30" s="274">
        <f t="shared" si="3"/>
      </c>
      <c r="Q30" s="181">
        <f t="shared" si="4"/>
      </c>
      <c r="R30" s="544">
        <f t="shared" si="5"/>
        <v>20</v>
      </c>
      <c r="S30" s="545" t="str">
        <f t="shared" si="6"/>
        <v>--</v>
      </c>
      <c r="T30" s="538" t="str">
        <f t="shared" si="7"/>
        <v>--</v>
      </c>
      <c r="U30" s="539" t="str">
        <f t="shared" si="8"/>
        <v>--</v>
      </c>
      <c r="V30" s="540" t="str">
        <f t="shared" si="9"/>
        <v>--</v>
      </c>
      <c r="W30" s="417" t="s">
        <v>80</v>
      </c>
      <c r="X30" s="181">
        <f t="shared" si="10"/>
      </c>
      <c r="Y30" s="473">
        <f t="shared" si="11"/>
      </c>
      <c r="Z30" s="60"/>
    </row>
    <row r="31" spans="2:26" s="8" customFormat="1" ht="16.5" customHeight="1">
      <c r="B31" s="55"/>
      <c r="C31" s="151"/>
      <c r="D31" s="151"/>
      <c r="E31" s="151"/>
      <c r="F31" s="542"/>
      <c r="G31" s="464"/>
      <c r="H31" s="464"/>
      <c r="I31" s="543"/>
      <c r="J31" s="362">
        <f t="shared" si="0"/>
        <v>0</v>
      </c>
      <c r="K31" s="467"/>
      <c r="L31" s="205"/>
      <c r="M31" s="469">
        <f t="shared" si="1"/>
      </c>
      <c r="N31" s="470">
        <f t="shared" si="2"/>
      </c>
      <c r="O31" s="179"/>
      <c r="P31" s="274">
        <f t="shared" si="3"/>
      </c>
      <c r="Q31" s="181">
        <f t="shared" si="4"/>
      </c>
      <c r="R31" s="544">
        <f t="shared" si="5"/>
        <v>20</v>
      </c>
      <c r="S31" s="545" t="str">
        <f t="shared" si="6"/>
        <v>--</v>
      </c>
      <c r="T31" s="538" t="str">
        <f t="shared" si="7"/>
        <v>--</v>
      </c>
      <c r="U31" s="539" t="str">
        <f t="shared" si="8"/>
        <v>--</v>
      </c>
      <c r="V31" s="540" t="str">
        <f t="shared" si="9"/>
        <v>--</v>
      </c>
      <c r="W31" s="417" t="s">
        <v>80</v>
      </c>
      <c r="X31" s="181">
        <f t="shared" si="10"/>
      </c>
      <c r="Y31" s="473">
        <f t="shared" si="11"/>
      </c>
      <c r="Z31" s="60"/>
    </row>
    <row r="32" spans="2:26" s="8" customFormat="1" ht="16.5" customHeight="1">
      <c r="B32" s="55"/>
      <c r="C32" s="151"/>
      <c r="D32" s="151"/>
      <c r="E32" s="151"/>
      <c r="F32" s="542"/>
      <c r="G32" s="464"/>
      <c r="H32" s="464"/>
      <c r="I32" s="543"/>
      <c r="J32" s="362">
        <f t="shared" si="0"/>
        <v>0</v>
      </c>
      <c r="K32" s="467"/>
      <c r="L32" s="205"/>
      <c r="M32" s="469">
        <f t="shared" si="1"/>
      </c>
      <c r="N32" s="470">
        <f t="shared" si="2"/>
      </c>
      <c r="O32" s="179"/>
      <c r="P32" s="274">
        <f t="shared" si="3"/>
      </c>
      <c r="Q32" s="181">
        <f t="shared" si="4"/>
      </c>
      <c r="R32" s="544">
        <f t="shared" si="5"/>
        <v>20</v>
      </c>
      <c r="S32" s="545" t="str">
        <f t="shared" si="6"/>
        <v>--</v>
      </c>
      <c r="T32" s="538" t="str">
        <f t="shared" si="7"/>
        <v>--</v>
      </c>
      <c r="U32" s="539" t="str">
        <f t="shared" si="8"/>
        <v>--</v>
      </c>
      <c r="V32" s="540" t="str">
        <f t="shared" si="9"/>
        <v>--</v>
      </c>
      <c r="W32" s="417" t="s">
        <v>80</v>
      </c>
      <c r="X32" s="181">
        <f t="shared" si="10"/>
      </c>
      <c r="Y32" s="473">
        <f t="shared" si="11"/>
      </c>
      <c r="Z32" s="60"/>
    </row>
    <row r="33" spans="2:26" s="8" customFormat="1" ht="16.5" customHeight="1">
      <c r="B33" s="55"/>
      <c r="C33" s="151"/>
      <c r="D33" s="151"/>
      <c r="E33" s="151"/>
      <c r="F33" s="542"/>
      <c r="G33" s="464"/>
      <c r="H33" s="464"/>
      <c r="I33" s="543"/>
      <c r="J33" s="362">
        <f t="shared" si="0"/>
        <v>0</v>
      </c>
      <c r="K33" s="467"/>
      <c r="L33" s="205"/>
      <c r="M33" s="469">
        <f t="shared" si="1"/>
      </c>
      <c r="N33" s="470">
        <f t="shared" si="2"/>
      </c>
      <c r="O33" s="179"/>
      <c r="P33" s="274">
        <f t="shared" si="3"/>
      </c>
      <c r="Q33" s="181">
        <f t="shared" si="4"/>
      </c>
      <c r="R33" s="544">
        <f t="shared" si="5"/>
        <v>20</v>
      </c>
      <c r="S33" s="545" t="str">
        <f t="shared" si="6"/>
        <v>--</v>
      </c>
      <c r="T33" s="538" t="str">
        <f t="shared" si="7"/>
        <v>--</v>
      </c>
      <c r="U33" s="539" t="str">
        <f t="shared" si="8"/>
        <v>--</v>
      </c>
      <c r="V33" s="540" t="str">
        <f t="shared" si="9"/>
        <v>--</v>
      </c>
      <c r="W33" s="417" t="s">
        <v>80</v>
      </c>
      <c r="X33" s="181">
        <f t="shared" si="10"/>
      </c>
      <c r="Y33" s="473">
        <f t="shared" si="11"/>
      </c>
      <c r="Z33" s="60"/>
    </row>
    <row r="34" spans="2:26" s="8" customFormat="1" ht="16.5" customHeight="1">
      <c r="B34" s="55"/>
      <c r="C34" s="151"/>
      <c r="D34" s="151"/>
      <c r="E34" s="151"/>
      <c r="F34" s="542"/>
      <c r="G34" s="464"/>
      <c r="H34" s="464"/>
      <c r="I34" s="543"/>
      <c r="J34" s="362">
        <f t="shared" si="0"/>
        <v>0</v>
      </c>
      <c r="K34" s="467"/>
      <c r="L34" s="205"/>
      <c r="M34" s="469">
        <f t="shared" si="1"/>
      </c>
      <c r="N34" s="470">
        <f t="shared" si="2"/>
      </c>
      <c r="O34" s="179"/>
      <c r="P34" s="274">
        <f t="shared" si="3"/>
      </c>
      <c r="Q34" s="181">
        <f t="shared" si="4"/>
      </c>
      <c r="R34" s="544">
        <f t="shared" si="5"/>
        <v>20</v>
      </c>
      <c r="S34" s="545" t="str">
        <f t="shared" si="6"/>
        <v>--</v>
      </c>
      <c r="T34" s="538" t="str">
        <f t="shared" si="7"/>
        <v>--</v>
      </c>
      <c r="U34" s="539" t="str">
        <f t="shared" si="8"/>
        <v>--</v>
      </c>
      <c r="V34" s="540" t="str">
        <f t="shared" si="9"/>
        <v>--</v>
      </c>
      <c r="W34" s="417" t="s">
        <v>80</v>
      </c>
      <c r="X34" s="181">
        <f t="shared" si="10"/>
      </c>
      <c r="Y34" s="473">
        <f t="shared" si="11"/>
      </c>
      <c r="Z34" s="60"/>
    </row>
    <row r="35" spans="2:26" s="8" customFormat="1" ht="16.5" customHeight="1">
      <c r="B35" s="55"/>
      <c r="C35" s="151"/>
      <c r="D35" s="151"/>
      <c r="E35" s="151"/>
      <c r="F35" s="542"/>
      <c r="G35" s="464"/>
      <c r="H35" s="464"/>
      <c r="I35" s="543"/>
      <c r="J35" s="362">
        <f t="shared" si="0"/>
        <v>0</v>
      </c>
      <c r="K35" s="467"/>
      <c r="L35" s="205"/>
      <c r="M35" s="469">
        <f t="shared" si="1"/>
      </c>
      <c r="N35" s="470">
        <f t="shared" si="2"/>
      </c>
      <c r="O35" s="179"/>
      <c r="P35" s="274">
        <f t="shared" si="3"/>
      </c>
      <c r="Q35" s="181">
        <f t="shared" si="4"/>
      </c>
      <c r="R35" s="544">
        <f t="shared" si="5"/>
        <v>20</v>
      </c>
      <c r="S35" s="545" t="str">
        <f t="shared" si="6"/>
        <v>--</v>
      </c>
      <c r="T35" s="538" t="str">
        <f t="shared" si="7"/>
        <v>--</v>
      </c>
      <c r="U35" s="539" t="str">
        <f t="shared" si="8"/>
        <v>--</v>
      </c>
      <c r="V35" s="540" t="str">
        <f t="shared" si="9"/>
        <v>--</v>
      </c>
      <c r="W35" s="417" t="s">
        <v>80</v>
      </c>
      <c r="X35" s="181">
        <f t="shared" si="10"/>
      </c>
      <c r="Y35" s="473">
        <f t="shared" si="11"/>
      </c>
      <c r="Z35" s="60"/>
    </row>
    <row r="36" spans="2:26" s="8" customFormat="1" ht="16.5" customHeight="1">
      <c r="B36" s="55"/>
      <c r="C36" s="151"/>
      <c r="D36" s="151"/>
      <c r="E36" s="151"/>
      <c r="F36" s="542"/>
      <c r="G36" s="464"/>
      <c r="H36" s="464"/>
      <c r="I36" s="543"/>
      <c r="J36" s="362">
        <f t="shared" si="0"/>
        <v>0</v>
      </c>
      <c r="K36" s="467"/>
      <c r="L36" s="205"/>
      <c r="M36" s="469">
        <f t="shared" si="1"/>
      </c>
      <c r="N36" s="470">
        <f t="shared" si="2"/>
      </c>
      <c r="O36" s="179"/>
      <c r="P36" s="274">
        <f t="shared" si="3"/>
      </c>
      <c r="Q36" s="181">
        <f t="shared" si="4"/>
      </c>
      <c r="R36" s="544">
        <f t="shared" si="5"/>
        <v>20</v>
      </c>
      <c r="S36" s="545" t="str">
        <f t="shared" si="6"/>
        <v>--</v>
      </c>
      <c r="T36" s="538" t="str">
        <f t="shared" si="7"/>
        <v>--</v>
      </c>
      <c r="U36" s="539" t="str">
        <f t="shared" si="8"/>
        <v>--</v>
      </c>
      <c r="V36" s="540" t="str">
        <f t="shared" si="9"/>
        <v>--</v>
      </c>
      <c r="W36" s="417" t="s">
        <v>80</v>
      </c>
      <c r="X36" s="181">
        <f t="shared" si="10"/>
      </c>
      <c r="Y36" s="473">
        <f t="shared" si="11"/>
      </c>
      <c r="Z36" s="60"/>
    </row>
    <row r="37" spans="2:26" s="8" customFormat="1" ht="16.5" customHeight="1">
      <c r="B37" s="55"/>
      <c r="C37" s="151"/>
      <c r="D37" s="151"/>
      <c r="E37" s="151"/>
      <c r="F37" s="542"/>
      <c r="G37" s="464"/>
      <c r="H37" s="464"/>
      <c r="I37" s="543"/>
      <c r="J37" s="362">
        <f t="shared" si="0"/>
        <v>0</v>
      </c>
      <c r="K37" s="467"/>
      <c r="L37" s="205"/>
      <c r="M37" s="469">
        <f t="shared" si="1"/>
      </c>
      <c r="N37" s="470">
        <f t="shared" si="2"/>
      </c>
      <c r="O37" s="179"/>
      <c r="P37" s="274">
        <f t="shared" si="3"/>
      </c>
      <c r="Q37" s="181">
        <f t="shared" si="4"/>
      </c>
      <c r="R37" s="544">
        <f t="shared" si="5"/>
        <v>20</v>
      </c>
      <c r="S37" s="545" t="str">
        <f t="shared" si="6"/>
        <v>--</v>
      </c>
      <c r="T37" s="538" t="str">
        <f t="shared" si="7"/>
        <v>--</v>
      </c>
      <c r="U37" s="539" t="str">
        <f t="shared" si="8"/>
        <v>--</v>
      </c>
      <c r="V37" s="540" t="str">
        <f t="shared" si="9"/>
        <v>--</v>
      </c>
      <c r="W37" s="417" t="s">
        <v>80</v>
      </c>
      <c r="X37" s="181">
        <f t="shared" si="10"/>
      </c>
      <c r="Y37" s="473">
        <f t="shared" si="11"/>
      </c>
      <c r="Z37" s="60"/>
    </row>
    <row r="38" spans="2:26" s="8" customFormat="1" ht="16.5" customHeight="1">
      <c r="B38" s="55"/>
      <c r="C38" s="151"/>
      <c r="D38" s="151"/>
      <c r="E38" s="151"/>
      <c r="F38" s="542"/>
      <c r="G38" s="464"/>
      <c r="H38" s="464"/>
      <c r="I38" s="543"/>
      <c r="J38" s="362">
        <f t="shared" si="0"/>
        <v>0</v>
      </c>
      <c r="K38" s="467"/>
      <c r="L38" s="205"/>
      <c r="M38" s="469">
        <f t="shared" si="1"/>
      </c>
      <c r="N38" s="470">
        <f t="shared" si="2"/>
      </c>
      <c r="O38" s="179"/>
      <c r="P38" s="274">
        <f t="shared" si="3"/>
      </c>
      <c r="Q38" s="181">
        <f t="shared" si="4"/>
      </c>
      <c r="R38" s="544">
        <f t="shared" si="5"/>
        <v>20</v>
      </c>
      <c r="S38" s="545" t="str">
        <f t="shared" si="6"/>
        <v>--</v>
      </c>
      <c r="T38" s="538" t="str">
        <f t="shared" si="7"/>
        <v>--</v>
      </c>
      <c r="U38" s="539" t="str">
        <f t="shared" si="8"/>
        <v>--</v>
      </c>
      <c r="V38" s="540" t="str">
        <f t="shared" si="9"/>
        <v>--</v>
      </c>
      <c r="W38" s="417" t="s">
        <v>80</v>
      </c>
      <c r="X38" s="181">
        <f t="shared" si="10"/>
      </c>
      <c r="Y38" s="473">
        <f t="shared" si="11"/>
      </c>
      <c r="Z38" s="60"/>
    </row>
    <row r="39" spans="2:26" s="8" customFormat="1" ht="16.5" customHeight="1">
      <c r="B39" s="55"/>
      <c r="C39" s="151"/>
      <c r="D39" s="151"/>
      <c r="E39" s="151"/>
      <c r="F39" s="542"/>
      <c r="G39" s="464"/>
      <c r="H39" s="464"/>
      <c r="I39" s="543"/>
      <c r="J39" s="362">
        <f t="shared" si="0"/>
        <v>0</v>
      </c>
      <c r="K39" s="467"/>
      <c r="L39" s="205"/>
      <c r="M39" s="469">
        <f t="shared" si="1"/>
      </c>
      <c r="N39" s="470">
        <f t="shared" si="2"/>
      </c>
      <c r="O39" s="179"/>
      <c r="P39" s="274">
        <f t="shared" si="3"/>
      </c>
      <c r="Q39" s="181">
        <f t="shared" si="4"/>
      </c>
      <c r="R39" s="544">
        <f t="shared" si="5"/>
        <v>20</v>
      </c>
      <c r="S39" s="545" t="str">
        <f t="shared" si="6"/>
        <v>--</v>
      </c>
      <c r="T39" s="538" t="str">
        <f t="shared" si="7"/>
        <v>--</v>
      </c>
      <c r="U39" s="539" t="str">
        <f t="shared" si="8"/>
        <v>--</v>
      </c>
      <c r="V39" s="540" t="str">
        <f t="shared" si="9"/>
        <v>--</v>
      </c>
      <c r="W39" s="417" t="s">
        <v>80</v>
      </c>
      <c r="X39" s="181">
        <f t="shared" si="10"/>
      </c>
      <c r="Y39" s="473">
        <f t="shared" si="11"/>
      </c>
      <c r="Z39" s="60"/>
    </row>
    <row r="40" spans="2:26" s="8" customFormat="1" ht="16.5" customHeight="1" thickBot="1">
      <c r="B40" s="55"/>
      <c r="C40" s="1478"/>
      <c r="D40" s="547"/>
      <c r="E40" s="547"/>
      <c r="F40" s="547"/>
      <c r="G40" s="547"/>
      <c r="H40" s="547"/>
      <c r="I40" s="547"/>
      <c r="J40" s="382"/>
      <c r="K40" s="474"/>
      <c r="L40" s="474"/>
      <c r="M40" s="475"/>
      <c r="N40" s="475"/>
      <c r="O40" s="474"/>
      <c r="P40" s="217"/>
      <c r="Q40" s="216"/>
      <c r="R40" s="548"/>
      <c r="S40" s="549"/>
      <c r="T40" s="550"/>
      <c r="U40" s="551"/>
      <c r="V40" s="552"/>
      <c r="W40" s="552"/>
      <c r="X40" s="216"/>
      <c r="Y40" s="553"/>
      <c r="Z40" s="60"/>
    </row>
    <row r="41" spans="2:26" s="8" customFormat="1" ht="16.5" customHeight="1" thickBot="1" thickTop="1">
      <c r="B41" s="55"/>
      <c r="C41" s="910" t="s">
        <v>402</v>
      </c>
      <c r="D41" s="1479" t="s">
        <v>498</v>
      </c>
      <c r="I41" s="11"/>
      <c r="J41" s="11"/>
      <c r="K41" s="11"/>
      <c r="L41" s="11"/>
      <c r="M41" s="11"/>
      <c r="N41" s="11"/>
      <c r="O41" s="11"/>
      <c r="P41" s="11"/>
      <c r="Q41" s="11"/>
      <c r="R41" s="554">
        <f>SUM(S20:S40)</f>
        <v>0</v>
      </c>
      <c r="S41" s="555">
        <f>SUM(T20:T40)</f>
        <v>122.85</v>
      </c>
      <c r="T41" s="556">
        <f>SUM(U20:U40)</f>
        <v>3869.7749999999996</v>
      </c>
      <c r="U41" s="557">
        <f>SUM(V20:V40)</f>
        <v>0</v>
      </c>
      <c r="V41" s="557">
        <f>SUM(W20:W40)</f>
        <v>0</v>
      </c>
      <c r="Y41" s="487">
        <f>ROUND(SUM(Y20:Y40),2)</f>
        <v>3992.63</v>
      </c>
      <c r="Z41" s="558"/>
    </row>
    <row r="42" spans="2:26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7"/>
    </row>
    <row r="43" spans="6:27" ht="16.5" customHeight="1" thickTop="1">
      <c r="F43" s="559"/>
      <c r="G43" s="559"/>
      <c r="H43" s="559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</row>
    <row r="44" spans="6:27" ht="16.5" customHeight="1">
      <c r="F44" s="559"/>
      <c r="G44" s="559"/>
      <c r="H44" s="559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</row>
    <row r="45" spans="6:27" ht="16.5" customHeight="1">
      <c r="F45" s="559"/>
      <c r="G45" s="559"/>
      <c r="H45" s="559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</row>
    <row r="46" spans="6:27" ht="16.5" customHeight="1">
      <c r="F46" s="559"/>
      <c r="G46" s="559"/>
      <c r="H46" s="559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</row>
    <row r="47" spans="6:27" ht="16.5" customHeight="1">
      <c r="F47" s="559"/>
      <c r="G47" s="559"/>
      <c r="H47" s="559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</row>
    <row r="48" spans="6:27" ht="16.5" customHeight="1">
      <c r="F48" s="559"/>
      <c r="G48" s="559"/>
      <c r="H48" s="559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</row>
    <row r="49" spans="6:27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</row>
    <row r="50" spans="6:27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</row>
    <row r="51" spans="6:27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</row>
    <row r="52" spans="6:27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</row>
    <row r="53" spans="6:27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</row>
    <row r="54" spans="6:27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</row>
    <row r="55" spans="6:27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</row>
    <row r="56" spans="6:27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</row>
    <row r="57" spans="6:27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</row>
    <row r="58" spans="6:27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</row>
    <row r="59" spans="6:27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</row>
    <row r="60" spans="6:27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</row>
    <row r="61" spans="6:27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</row>
    <row r="62" spans="6:27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</row>
    <row r="63" spans="6:27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</row>
    <row r="64" spans="6:27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</row>
    <row r="65" spans="6:27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</row>
    <row r="66" spans="6:27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</row>
    <row r="67" spans="6:27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</row>
    <row r="68" spans="6:27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</row>
    <row r="69" spans="6:27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</row>
    <row r="70" spans="6:27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</row>
    <row r="71" spans="6:27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</row>
    <row r="72" spans="6:27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</row>
    <row r="73" spans="6:27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</row>
    <row r="74" spans="6:27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</row>
    <row r="75" spans="6:27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</row>
    <row r="76" spans="6:27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</row>
    <row r="77" spans="6:27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</row>
    <row r="78" spans="6:27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</row>
    <row r="79" spans="6:27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</row>
    <row r="80" spans="6:27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</row>
    <row r="81" spans="6:27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</row>
    <row r="82" spans="6:27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</row>
    <row r="83" spans="6:27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</row>
    <row r="84" spans="6:27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</row>
    <row r="85" spans="6:27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</row>
    <row r="86" spans="6:27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</row>
    <row r="87" spans="6:27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</row>
    <row r="88" spans="6:27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</row>
    <row r="89" spans="6:27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</row>
    <row r="90" spans="6:27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</row>
    <row r="91" spans="6:27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</row>
    <row r="92" spans="6:27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</row>
    <row r="93" spans="6:27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</row>
    <row r="94" spans="6:27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</row>
    <row r="95" spans="6:27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</row>
    <row r="96" spans="6:27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</row>
    <row r="97" spans="6:27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</row>
    <row r="98" spans="6:27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</row>
    <row r="99" spans="6:27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</row>
    <row r="100" spans="6:27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</row>
    <row r="101" spans="6:27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</row>
    <row r="102" spans="6:27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</row>
    <row r="103" spans="6:27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</row>
    <row r="104" spans="6:27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</row>
    <row r="105" spans="6:27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</row>
    <row r="106" spans="6:27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</row>
    <row r="107" spans="6:27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</row>
    <row r="108" spans="6:27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</row>
    <row r="109" spans="6:27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</row>
    <row r="110" spans="6:27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</row>
    <row r="111" spans="6:27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</row>
    <row r="112" spans="6:27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</row>
    <row r="113" spans="6:27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</row>
    <row r="114" spans="6:27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</row>
    <row r="115" spans="6:27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</row>
    <row r="116" spans="6:27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</row>
    <row r="117" spans="6:27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</row>
    <row r="118" spans="6:27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</row>
    <row r="119" spans="6:27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</row>
    <row r="120" spans="6:27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</row>
    <row r="121" spans="6:27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</row>
    <row r="122" spans="6:27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</row>
    <row r="123" spans="6:27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</row>
    <row r="124" spans="6:27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</row>
    <row r="125" spans="6:27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</row>
    <row r="126" spans="6:27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</row>
    <row r="127" spans="6:27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</row>
    <row r="128" spans="6:27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</row>
    <row r="129" spans="6:27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</row>
    <row r="130" spans="6:27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</row>
    <row r="131" spans="6:27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</row>
    <row r="132" spans="6:27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</row>
    <row r="133" spans="6:27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</row>
    <row r="134" spans="6:27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</row>
    <row r="135" spans="6:27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</row>
    <row r="136" spans="6:27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</row>
    <row r="137" spans="6:27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</row>
    <row r="138" spans="6:27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</row>
    <row r="139" spans="6:27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</row>
    <row r="140" spans="6:27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</row>
    <row r="141" spans="6:27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</row>
    <row r="142" spans="6:27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</row>
    <row r="143" spans="6:27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</row>
    <row r="144" spans="6:27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</row>
    <row r="145" spans="6:27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</row>
    <row r="146" spans="6:27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</row>
    <row r="147" spans="6:27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</row>
    <row r="148" spans="6:27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</row>
    <row r="149" spans="6:27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</row>
    <row r="150" spans="6:27" ht="16.5" customHeight="1">
      <c r="F150" s="413"/>
      <c r="G150" s="413"/>
      <c r="H150" s="413"/>
      <c r="Z150" s="413"/>
      <c r="AA150" s="413"/>
    </row>
    <row r="151" spans="6:8" ht="16.5" customHeight="1">
      <c r="F151" s="413"/>
      <c r="G151" s="413"/>
      <c r="H151" s="413"/>
    </row>
    <row r="152" spans="6:8" ht="16.5" customHeight="1">
      <c r="F152" s="413"/>
      <c r="G152" s="413"/>
      <c r="H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</sheetData>
  <sheetProtection/>
  <printOptions/>
  <pageMargins left="0.75" right="0.75" top="0.79" bottom="1" header="0" footer="0"/>
  <pageSetup fitToHeight="1" fitToWidth="1" horizontalDpi="600" verticalDpi="600" orientation="landscape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AA157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7109375" style="9" customWidth="1"/>
    <col min="9" max="9" width="13.421875" style="9" hidden="1" customWidth="1"/>
    <col min="10" max="11" width="15.71093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0" width="5.7109375" style="9" hidden="1" customWidth="1"/>
    <col min="21" max="22" width="12.28125" style="9" hidden="1" customWidth="1"/>
    <col min="23" max="23" width="9.7109375" style="9" customWidth="1"/>
    <col min="24" max="24" width="15.7109375" style="9" customWidth="1"/>
    <col min="25" max="25" width="4.140625" style="9" customWidth="1"/>
    <col min="26" max="16384" width="11.421875" style="9" customWidth="1"/>
  </cols>
  <sheetData>
    <row r="1" s="3" customFormat="1" ht="26.25">
      <c r="Y1" s="5"/>
    </row>
    <row r="2" spans="1:25" s="3" customFormat="1" ht="26.25">
      <c r="A2" s="89"/>
      <c r="B2" s="498" t="str">
        <f>'TOT-0412'!B2</f>
        <v>ANEXO V al Memorándum  D.T.E.E.  N°     461       / 2014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5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419"/>
    </row>
    <row r="8" spans="2:25" s="18" customFormat="1" ht="20.25">
      <c r="B8" s="96"/>
      <c r="C8" s="23"/>
      <c r="D8" s="23"/>
      <c r="F8" s="97" t="s">
        <v>73</v>
      </c>
      <c r="G8" s="499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500"/>
    </row>
    <row r="9" spans="2:25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60"/>
    </row>
    <row r="10" spans="2:25" s="18" customFormat="1" ht="20.25">
      <c r="B10" s="96"/>
      <c r="C10" s="23"/>
      <c r="D10" s="23"/>
      <c r="F10" s="98" t="s">
        <v>74</v>
      </c>
      <c r="H10" s="501"/>
      <c r="I10" s="502"/>
      <c r="J10" s="502"/>
      <c r="K10" s="502"/>
      <c r="L10" s="502"/>
      <c r="M10" s="502"/>
      <c r="N10" s="502"/>
      <c r="O10" s="502"/>
      <c r="P10" s="502"/>
      <c r="Q10" s="502"/>
      <c r="R10" s="23"/>
      <c r="S10" s="23"/>
      <c r="T10" s="23"/>
      <c r="U10" s="23"/>
      <c r="V10" s="23"/>
      <c r="W10" s="23"/>
      <c r="X10" s="23"/>
      <c r="Y10" s="421"/>
    </row>
    <row r="11" spans="2:25" s="8" customFormat="1" ht="16.5" customHeight="1">
      <c r="B11" s="55"/>
      <c r="C11" s="11"/>
      <c r="D11" s="11"/>
      <c r="E11" s="11"/>
      <c r="F11" s="503"/>
      <c r="H11" s="24"/>
      <c r="I11" s="101"/>
      <c r="J11" s="101"/>
      <c r="K11" s="101"/>
      <c r="L11" s="101"/>
      <c r="M11" s="101"/>
      <c r="N11" s="101"/>
      <c r="O11" s="101"/>
      <c r="P11" s="101"/>
      <c r="Q11" s="101"/>
      <c r="R11" s="11"/>
      <c r="S11" s="11"/>
      <c r="T11" s="11"/>
      <c r="U11" s="11"/>
      <c r="V11" s="11"/>
      <c r="W11" s="11"/>
      <c r="X11" s="11"/>
      <c r="Y11" s="60"/>
    </row>
    <row r="12" spans="2:25" s="18" customFormat="1" ht="20.25">
      <c r="B12" s="96"/>
      <c r="C12" s="23"/>
      <c r="D12" s="23"/>
      <c r="F12" s="98" t="s">
        <v>81</v>
      </c>
      <c r="H12" s="501"/>
      <c r="I12" s="502"/>
      <c r="J12" s="502"/>
      <c r="K12" s="502"/>
      <c r="L12" s="502"/>
      <c r="M12" s="502"/>
      <c r="N12" s="502"/>
      <c r="O12" s="502"/>
      <c r="P12" s="502"/>
      <c r="Q12" s="502"/>
      <c r="R12" s="23"/>
      <c r="S12" s="23"/>
      <c r="T12" s="23"/>
      <c r="U12" s="23"/>
      <c r="V12" s="23"/>
      <c r="W12" s="23"/>
      <c r="X12" s="23"/>
      <c r="Y12" s="421"/>
    </row>
    <row r="13" spans="2:25" s="8" customFormat="1" ht="16.5" customHeight="1">
      <c r="B13" s="55"/>
      <c r="C13" s="11"/>
      <c r="D13" s="11"/>
      <c r="E13" s="11"/>
      <c r="F13" s="503"/>
      <c r="H13" s="24"/>
      <c r="I13" s="101"/>
      <c r="J13" s="101"/>
      <c r="K13" s="101"/>
      <c r="L13" s="101"/>
      <c r="M13" s="101"/>
      <c r="N13" s="101"/>
      <c r="O13" s="101"/>
      <c r="P13" s="101"/>
      <c r="Q13" s="101"/>
      <c r="R13" s="11"/>
      <c r="S13" s="11"/>
      <c r="T13" s="11"/>
      <c r="U13" s="11"/>
      <c r="V13" s="11"/>
      <c r="W13" s="11"/>
      <c r="X13" s="11"/>
      <c r="Y13" s="60"/>
    </row>
    <row r="14" spans="2:25" s="34" customFormat="1" ht="16.5" customHeight="1">
      <c r="B14" s="35" t="str">
        <f>'TOT-0412'!B14</f>
        <v>Desde el 01 al 30 de abril de 2013</v>
      </c>
      <c r="C14" s="39"/>
      <c r="D14" s="39"/>
      <c r="E14" s="504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4"/>
      <c r="S14" s="504"/>
      <c r="T14" s="504"/>
      <c r="U14" s="504"/>
      <c r="V14" s="504"/>
      <c r="W14" s="504"/>
      <c r="X14" s="504"/>
      <c r="Y14" s="506"/>
    </row>
    <row r="15" spans="2:25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60"/>
    </row>
    <row r="16" spans="2:25" s="8" customFormat="1" ht="16.5" customHeight="1" thickBot="1" thickTop="1">
      <c r="B16" s="55"/>
      <c r="C16" s="11"/>
      <c r="D16" s="11"/>
      <c r="E16" s="11"/>
      <c r="F16" s="507" t="s">
        <v>54</v>
      </c>
      <c r="G16" s="275"/>
      <c r="H16" s="560">
        <v>0.749</v>
      </c>
      <c r="I16" s="433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60"/>
    </row>
    <row r="17" spans="2:25" s="8" customFormat="1" ht="16.5" customHeight="1" thickBot="1" thickTop="1">
      <c r="B17" s="55"/>
      <c r="C17" s="11"/>
      <c r="D17" s="11"/>
      <c r="E17" s="11"/>
      <c r="F17" s="508" t="s">
        <v>55</v>
      </c>
      <c r="G17" s="509"/>
      <c r="H17" s="510">
        <v>20</v>
      </c>
      <c r="I17" s="433"/>
      <c r="J17" s="9"/>
      <c r="K17" s="108"/>
      <c r="L17" s="109"/>
      <c r="M17" s="11"/>
      <c r="N17" s="11"/>
      <c r="O17" s="11"/>
      <c r="Q17" s="11"/>
      <c r="R17" s="11"/>
      <c r="S17" s="11"/>
      <c r="T17" s="110"/>
      <c r="U17" s="110"/>
      <c r="V17" s="110"/>
      <c r="W17" s="110"/>
      <c r="X17" s="110"/>
      <c r="Y17" s="60"/>
    </row>
    <row r="18" spans="2:25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60"/>
    </row>
    <row r="19" spans="2:25" s="8" customFormat="1" ht="33.75" customHeight="1" thickBot="1" thickTop="1">
      <c r="B19" s="55"/>
      <c r="C19" s="317" t="s">
        <v>26</v>
      </c>
      <c r="D19" s="112" t="s">
        <v>27</v>
      </c>
      <c r="E19" s="112" t="s">
        <v>28</v>
      </c>
      <c r="F19" s="115" t="s">
        <v>56</v>
      </c>
      <c r="G19" s="113" t="s">
        <v>57</v>
      </c>
      <c r="H19" s="511" t="s">
        <v>58</v>
      </c>
      <c r="I19" s="322" t="s">
        <v>33</v>
      </c>
      <c r="J19" s="113" t="s">
        <v>34</v>
      </c>
      <c r="K19" s="113" t="s">
        <v>35</v>
      </c>
      <c r="L19" s="115" t="s">
        <v>36</v>
      </c>
      <c r="M19" s="115" t="s">
        <v>37</v>
      </c>
      <c r="N19" s="120" t="s">
        <v>296</v>
      </c>
      <c r="O19" s="120" t="s">
        <v>38</v>
      </c>
      <c r="P19" s="113" t="s">
        <v>40</v>
      </c>
      <c r="Q19" s="322" t="s">
        <v>32</v>
      </c>
      <c r="R19" s="512" t="s">
        <v>69</v>
      </c>
      <c r="S19" s="513" t="s">
        <v>79</v>
      </c>
      <c r="T19" s="514"/>
      <c r="U19" s="515" t="s">
        <v>45</v>
      </c>
      <c r="V19" s="326" t="s">
        <v>42</v>
      </c>
      <c r="W19" s="131" t="s">
        <v>47</v>
      </c>
      <c r="X19" s="516" t="s">
        <v>48</v>
      </c>
      <c r="Y19" s="60"/>
    </row>
    <row r="20" spans="2:25" s="8" customFormat="1" ht="16.5" customHeight="1" thickTop="1">
      <c r="B20" s="55"/>
      <c r="C20" s="331"/>
      <c r="D20" s="331"/>
      <c r="E20" s="331"/>
      <c r="F20" s="517"/>
      <c r="G20" s="517"/>
      <c r="H20" s="517"/>
      <c r="I20" s="415"/>
      <c r="J20" s="518"/>
      <c r="K20" s="518"/>
      <c r="L20" s="519"/>
      <c r="M20" s="519"/>
      <c r="N20" s="517"/>
      <c r="O20" s="152"/>
      <c r="P20" s="519"/>
      <c r="Q20" s="520"/>
      <c r="R20" s="521"/>
      <c r="S20" s="522"/>
      <c r="T20" s="523"/>
      <c r="U20" s="524"/>
      <c r="V20" s="524"/>
      <c r="W20" s="525"/>
      <c r="X20" s="526"/>
      <c r="Y20" s="60"/>
    </row>
    <row r="21" spans="2:25" s="8" customFormat="1" ht="16.5" customHeight="1">
      <c r="B21" s="55"/>
      <c r="C21" s="151"/>
      <c r="D21" s="151"/>
      <c r="E21" s="151"/>
      <c r="F21" s="527"/>
      <c r="G21" s="528"/>
      <c r="H21" s="529"/>
      <c r="I21" s="530"/>
      <c r="J21" s="531"/>
      <c r="K21" s="532"/>
      <c r="L21" s="533"/>
      <c r="M21" s="534"/>
      <c r="N21" s="535"/>
      <c r="O21" s="158"/>
      <c r="P21" s="416"/>
      <c r="Q21" s="536"/>
      <c r="R21" s="537"/>
      <c r="S21" s="538"/>
      <c r="T21" s="539"/>
      <c r="U21" s="540"/>
      <c r="V21" s="540"/>
      <c r="W21" s="416"/>
      <c r="X21" s="541"/>
      <c r="Y21" s="60"/>
    </row>
    <row r="22" spans="2:25" s="8" customFormat="1" ht="16.5" customHeight="1">
      <c r="B22" s="55"/>
      <c r="C22" s="464">
        <v>79</v>
      </c>
      <c r="D22" s="151">
        <v>259677</v>
      </c>
      <c r="E22" s="170">
        <v>3712</v>
      </c>
      <c r="F22" s="542" t="s">
        <v>353</v>
      </c>
      <c r="G22" s="464" t="s">
        <v>379</v>
      </c>
      <c r="H22" s="543">
        <v>199</v>
      </c>
      <c r="I22" s="362">
        <f aca="true" t="shared" si="0" ref="I22:I41">H22*$H$16</f>
        <v>149.051</v>
      </c>
      <c r="J22" s="467">
        <v>41380.350694444445</v>
      </c>
      <c r="K22" s="205">
        <v>41380.70625</v>
      </c>
      <c r="L22" s="469">
        <f aca="true" t="shared" si="1" ref="L22:L41">IF(F22="","",(K22-J22)*24)</f>
        <v>8.53333333338378</v>
      </c>
      <c r="M22" s="470">
        <f aca="true" t="shared" si="2" ref="M22:M41">IF(F22="","",ROUND((K22-J22)*24*60,0))</f>
        <v>512</v>
      </c>
      <c r="N22" s="179" t="s">
        <v>309</v>
      </c>
      <c r="O22" s="274" t="str">
        <f aca="true" t="shared" si="3" ref="O22:O41">IF(F22="","","--")</f>
        <v>--</v>
      </c>
      <c r="P22" s="181" t="str">
        <f aca="true" t="shared" si="4" ref="P22:P41">IF(F22="","",IF(OR(N22="P",N22="RP"),"--","NO"))</f>
        <v>--</v>
      </c>
      <c r="Q22" s="544">
        <f aca="true" t="shared" si="5" ref="Q22:Q41">IF(OR(N22="P",N22="RP"),$H$17/10,$H$17)</f>
        <v>2</v>
      </c>
      <c r="R22" s="545">
        <f aca="true" t="shared" si="6" ref="R22:R41">IF(N22="P",I22*Q22*ROUND(M22/60,2),"--")</f>
        <v>2542.81006</v>
      </c>
      <c r="S22" s="538" t="str">
        <f aca="true" t="shared" si="7" ref="S22:S41">IF(AND(N22="F",P22="NO"),I22*Q22,"--")</f>
        <v>--</v>
      </c>
      <c r="T22" s="539" t="str">
        <f aca="true" t="shared" si="8" ref="T22:T41">IF(N22="F",I22*Q22*ROUND(M22/60,2),"--")</f>
        <v>--</v>
      </c>
      <c r="U22" s="540" t="str">
        <f aca="true" t="shared" si="9" ref="U22:U41">IF(N22="RF",I22*Q22*ROUND(M22/60,2),"--")</f>
        <v>--</v>
      </c>
      <c r="V22" s="417" t="s">
        <v>80</v>
      </c>
      <c r="W22" s="181" t="str">
        <f aca="true" t="shared" si="10" ref="W22:W41">IF(F22="","","SI")</f>
        <v>SI</v>
      </c>
      <c r="X22" s="473">
        <v>0</v>
      </c>
      <c r="Y22" s="60"/>
    </row>
    <row r="23" spans="2:25" s="8" customFormat="1" ht="16.5" customHeight="1">
      <c r="B23" s="55"/>
      <c r="C23" s="464">
        <v>80</v>
      </c>
      <c r="D23" s="151">
        <v>259687</v>
      </c>
      <c r="E23" s="151">
        <v>3712</v>
      </c>
      <c r="F23" s="542" t="s">
        <v>353</v>
      </c>
      <c r="G23" s="464" t="s">
        <v>379</v>
      </c>
      <c r="H23" s="543">
        <v>199</v>
      </c>
      <c r="I23" s="362">
        <f t="shared" si="0"/>
        <v>149.051</v>
      </c>
      <c r="J23" s="467">
        <v>41381.376388888886</v>
      </c>
      <c r="K23" s="205">
        <v>41381.76458333333</v>
      </c>
      <c r="L23" s="469">
        <f t="shared" si="1"/>
        <v>9.316666666651145</v>
      </c>
      <c r="M23" s="470">
        <f t="shared" si="2"/>
        <v>559</v>
      </c>
      <c r="N23" s="179" t="s">
        <v>309</v>
      </c>
      <c r="O23" s="274" t="str">
        <f t="shared" si="3"/>
        <v>--</v>
      </c>
      <c r="P23" s="181" t="str">
        <f t="shared" si="4"/>
        <v>--</v>
      </c>
      <c r="Q23" s="544">
        <f t="shared" si="5"/>
        <v>2</v>
      </c>
      <c r="R23" s="545">
        <f t="shared" si="6"/>
        <v>2778.3106399999997</v>
      </c>
      <c r="S23" s="538" t="str">
        <f t="shared" si="7"/>
        <v>--</v>
      </c>
      <c r="T23" s="539" t="str">
        <f t="shared" si="8"/>
        <v>--</v>
      </c>
      <c r="U23" s="540" t="str">
        <f t="shared" si="9"/>
        <v>--</v>
      </c>
      <c r="V23" s="417" t="s">
        <v>80</v>
      </c>
      <c r="W23" s="181" t="str">
        <f t="shared" si="10"/>
        <v>SI</v>
      </c>
      <c r="X23" s="473">
        <v>0</v>
      </c>
      <c r="Y23" s="60"/>
    </row>
    <row r="24" spans="2:25" s="8" customFormat="1" ht="16.5" customHeight="1">
      <c r="B24" s="55" t="s">
        <v>500</v>
      </c>
      <c r="C24" s="464">
        <v>81</v>
      </c>
      <c r="D24" s="151">
        <v>259696</v>
      </c>
      <c r="E24" s="170">
        <v>3722</v>
      </c>
      <c r="F24" s="542" t="s">
        <v>380</v>
      </c>
      <c r="G24" s="464" t="s">
        <v>381</v>
      </c>
      <c r="H24" s="543">
        <f>250-150</f>
        <v>100</v>
      </c>
      <c r="I24" s="362">
        <f t="shared" si="0"/>
        <v>74.9</v>
      </c>
      <c r="J24" s="467">
        <v>41382.364583333336</v>
      </c>
      <c r="K24" s="205">
        <v>41382.731944444444</v>
      </c>
      <c r="L24" s="469">
        <f t="shared" si="1"/>
        <v>8.816666666592937</v>
      </c>
      <c r="M24" s="470">
        <f t="shared" si="2"/>
        <v>529</v>
      </c>
      <c r="N24" s="179" t="s">
        <v>309</v>
      </c>
      <c r="O24" s="274" t="str">
        <f t="shared" si="3"/>
        <v>--</v>
      </c>
      <c r="P24" s="181" t="str">
        <f t="shared" si="4"/>
        <v>--</v>
      </c>
      <c r="Q24" s="544">
        <f t="shared" si="5"/>
        <v>2</v>
      </c>
      <c r="R24" s="545">
        <f t="shared" si="6"/>
        <v>1321.236</v>
      </c>
      <c r="S24" s="538" t="str">
        <f t="shared" si="7"/>
        <v>--</v>
      </c>
      <c r="T24" s="539" t="str">
        <f t="shared" si="8"/>
        <v>--</v>
      </c>
      <c r="U24" s="540" t="str">
        <f t="shared" si="9"/>
        <v>--</v>
      </c>
      <c r="V24" s="417" t="s">
        <v>80</v>
      </c>
      <c r="W24" s="181" t="str">
        <f t="shared" si="10"/>
        <v>SI</v>
      </c>
      <c r="X24" s="473">
        <f aca="true" t="shared" si="11" ref="X24:X41">IF(F24="","",SUM(R24:V24)*IF(W24="SI",1,2)*IF(AND(O24&lt;&gt;"--",N24="RF"),O24/100,1))</f>
        <v>1321.236</v>
      </c>
      <c r="Y24" s="60"/>
    </row>
    <row r="25" spans="2:25" s="8" customFormat="1" ht="16.5" customHeight="1">
      <c r="B25" s="55"/>
      <c r="C25" s="464">
        <v>82</v>
      </c>
      <c r="D25" s="151">
        <v>259698</v>
      </c>
      <c r="E25" s="151">
        <v>3712</v>
      </c>
      <c r="F25" s="542" t="s">
        <v>353</v>
      </c>
      <c r="G25" s="464" t="s">
        <v>379</v>
      </c>
      <c r="H25" s="543">
        <v>199</v>
      </c>
      <c r="I25" s="362">
        <f t="shared" si="0"/>
        <v>149.051</v>
      </c>
      <c r="J25" s="467">
        <v>41382.38333333333</v>
      </c>
      <c r="K25" s="205">
        <v>41382.736805555556</v>
      </c>
      <c r="L25" s="469">
        <f t="shared" si="1"/>
        <v>8.483333333395422</v>
      </c>
      <c r="M25" s="470">
        <f t="shared" si="2"/>
        <v>509</v>
      </c>
      <c r="N25" s="179" t="s">
        <v>309</v>
      </c>
      <c r="O25" s="274" t="str">
        <f t="shared" si="3"/>
        <v>--</v>
      </c>
      <c r="P25" s="181" t="str">
        <f t="shared" si="4"/>
        <v>--</v>
      </c>
      <c r="Q25" s="544">
        <f t="shared" si="5"/>
        <v>2</v>
      </c>
      <c r="R25" s="545">
        <f t="shared" si="6"/>
        <v>2527.90496</v>
      </c>
      <c r="S25" s="538" t="str">
        <f t="shared" si="7"/>
        <v>--</v>
      </c>
      <c r="T25" s="539" t="str">
        <f t="shared" si="8"/>
        <v>--</v>
      </c>
      <c r="U25" s="540" t="str">
        <f t="shared" si="9"/>
        <v>--</v>
      </c>
      <c r="V25" s="417" t="str">
        <f aca="true" t="shared" si="12" ref="V25:V41">IF(N25="RP",I25*Q25*O25/100*ROUND(M25/60,2),"--")</f>
        <v>--</v>
      </c>
      <c r="W25" s="181" t="str">
        <f t="shared" si="10"/>
        <v>SI</v>
      </c>
      <c r="X25" s="473">
        <v>0</v>
      </c>
      <c r="Y25" s="60"/>
    </row>
    <row r="26" spans="2:25" s="8" customFormat="1" ht="16.5" customHeight="1">
      <c r="B26" s="55"/>
      <c r="C26" s="464"/>
      <c r="D26" s="464"/>
      <c r="E26" s="464"/>
      <c r="F26" s="464"/>
      <c r="G26" s="464"/>
      <c r="H26" s="543"/>
      <c r="I26" s="362">
        <f t="shared" si="0"/>
        <v>0</v>
      </c>
      <c r="J26" s="467"/>
      <c r="K26" s="205"/>
      <c r="L26" s="469">
        <f t="shared" si="1"/>
      </c>
      <c r="M26" s="470">
        <f t="shared" si="2"/>
      </c>
      <c r="N26" s="179"/>
      <c r="O26" s="274">
        <f t="shared" si="3"/>
      </c>
      <c r="P26" s="181">
        <f t="shared" si="4"/>
      </c>
      <c r="Q26" s="544">
        <f t="shared" si="5"/>
        <v>20</v>
      </c>
      <c r="R26" s="545" t="str">
        <f t="shared" si="6"/>
        <v>--</v>
      </c>
      <c r="S26" s="538" t="str">
        <f t="shared" si="7"/>
        <v>--</v>
      </c>
      <c r="T26" s="539" t="str">
        <f t="shared" si="8"/>
        <v>--</v>
      </c>
      <c r="U26" s="540" t="str">
        <f t="shared" si="9"/>
        <v>--</v>
      </c>
      <c r="V26" s="417" t="str">
        <f t="shared" si="12"/>
        <v>--</v>
      </c>
      <c r="W26" s="181">
        <f t="shared" si="10"/>
      </c>
      <c r="X26" s="473">
        <f t="shared" si="11"/>
      </c>
      <c r="Y26" s="546"/>
    </row>
    <row r="27" spans="2:25" s="8" customFormat="1" ht="16.5" customHeight="1">
      <c r="B27" s="55"/>
      <c r="C27" s="464"/>
      <c r="D27" s="464"/>
      <c r="E27" s="464"/>
      <c r="F27" s="464"/>
      <c r="G27" s="464"/>
      <c r="H27" s="543"/>
      <c r="I27" s="362">
        <f t="shared" si="0"/>
        <v>0</v>
      </c>
      <c r="J27" s="467"/>
      <c r="K27" s="205"/>
      <c r="L27" s="469">
        <f t="shared" si="1"/>
      </c>
      <c r="M27" s="470">
        <f t="shared" si="2"/>
      </c>
      <c r="N27" s="179"/>
      <c r="O27" s="274">
        <f t="shared" si="3"/>
      </c>
      <c r="P27" s="181">
        <f t="shared" si="4"/>
      </c>
      <c r="Q27" s="544">
        <f t="shared" si="5"/>
        <v>20</v>
      </c>
      <c r="R27" s="545" t="str">
        <f t="shared" si="6"/>
        <v>--</v>
      </c>
      <c r="S27" s="538" t="str">
        <f t="shared" si="7"/>
        <v>--</v>
      </c>
      <c r="T27" s="539" t="str">
        <f t="shared" si="8"/>
        <v>--</v>
      </c>
      <c r="U27" s="540" t="str">
        <f t="shared" si="9"/>
        <v>--</v>
      </c>
      <c r="V27" s="417" t="str">
        <f t="shared" si="12"/>
        <v>--</v>
      </c>
      <c r="W27" s="181">
        <f t="shared" si="10"/>
      </c>
      <c r="X27" s="473">
        <f t="shared" si="11"/>
      </c>
      <c r="Y27" s="546"/>
    </row>
    <row r="28" spans="2:25" s="8" customFormat="1" ht="16.5" customHeight="1">
      <c r="B28" s="55"/>
      <c r="C28" s="464"/>
      <c r="D28" s="464"/>
      <c r="E28" s="464"/>
      <c r="F28" s="464"/>
      <c r="G28" s="464"/>
      <c r="H28" s="543"/>
      <c r="I28" s="362">
        <f t="shared" si="0"/>
        <v>0</v>
      </c>
      <c r="J28" s="467"/>
      <c r="K28" s="205"/>
      <c r="L28" s="469">
        <f t="shared" si="1"/>
      </c>
      <c r="M28" s="470">
        <f t="shared" si="2"/>
      </c>
      <c r="N28" s="179"/>
      <c r="O28" s="274">
        <f t="shared" si="3"/>
      </c>
      <c r="P28" s="181">
        <f t="shared" si="4"/>
      </c>
      <c r="Q28" s="544">
        <f t="shared" si="5"/>
        <v>20</v>
      </c>
      <c r="R28" s="545" t="str">
        <f t="shared" si="6"/>
        <v>--</v>
      </c>
      <c r="S28" s="538" t="str">
        <f t="shared" si="7"/>
        <v>--</v>
      </c>
      <c r="T28" s="539" t="str">
        <f t="shared" si="8"/>
        <v>--</v>
      </c>
      <c r="U28" s="540" t="str">
        <f t="shared" si="9"/>
        <v>--</v>
      </c>
      <c r="V28" s="417" t="str">
        <f t="shared" si="12"/>
        <v>--</v>
      </c>
      <c r="W28" s="181">
        <f t="shared" si="10"/>
      </c>
      <c r="X28" s="473">
        <f t="shared" si="11"/>
      </c>
      <c r="Y28" s="546"/>
    </row>
    <row r="29" spans="2:25" s="8" customFormat="1" ht="16.5" customHeight="1">
      <c r="B29" s="55"/>
      <c r="C29" s="464"/>
      <c r="D29" s="464"/>
      <c r="E29" s="464"/>
      <c r="F29" s="464"/>
      <c r="G29" s="464"/>
      <c r="H29" s="543"/>
      <c r="I29" s="362">
        <f t="shared" si="0"/>
        <v>0</v>
      </c>
      <c r="J29" s="467"/>
      <c r="K29" s="205"/>
      <c r="L29" s="469">
        <f t="shared" si="1"/>
      </c>
      <c r="M29" s="470">
        <f t="shared" si="2"/>
      </c>
      <c r="N29" s="179"/>
      <c r="O29" s="274">
        <f t="shared" si="3"/>
      </c>
      <c r="P29" s="181">
        <f t="shared" si="4"/>
      </c>
      <c r="Q29" s="544">
        <f t="shared" si="5"/>
        <v>20</v>
      </c>
      <c r="R29" s="545" t="str">
        <f t="shared" si="6"/>
        <v>--</v>
      </c>
      <c r="S29" s="538" t="str">
        <f t="shared" si="7"/>
        <v>--</v>
      </c>
      <c r="T29" s="539" t="str">
        <f t="shared" si="8"/>
        <v>--</v>
      </c>
      <c r="U29" s="540" t="str">
        <f t="shared" si="9"/>
        <v>--</v>
      </c>
      <c r="V29" s="417" t="str">
        <f t="shared" si="12"/>
        <v>--</v>
      </c>
      <c r="W29" s="181">
        <f t="shared" si="10"/>
      </c>
      <c r="X29" s="473">
        <f t="shared" si="11"/>
      </c>
      <c r="Y29" s="546"/>
    </row>
    <row r="30" spans="2:25" s="8" customFormat="1" ht="16.5" customHeight="1">
      <c r="B30" s="55"/>
      <c r="C30" s="464"/>
      <c r="D30" s="464"/>
      <c r="E30" s="464"/>
      <c r="F30" s="464"/>
      <c r="G30" s="464"/>
      <c r="H30" s="543"/>
      <c r="I30" s="362">
        <f t="shared" si="0"/>
        <v>0</v>
      </c>
      <c r="J30" s="467"/>
      <c r="K30" s="205"/>
      <c r="L30" s="469">
        <f t="shared" si="1"/>
      </c>
      <c r="M30" s="470">
        <f t="shared" si="2"/>
      </c>
      <c r="N30" s="179"/>
      <c r="O30" s="274">
        <f t="shared" si="3"/>
      </c>
      <c r="P30" s="181">
        <f t="shared" si="4"/>
      </c>
      <c r="Q30" s="544">
        <f t="shared" si="5"/>
        <v>20</v>
      </c>
      <c r="R30" s="545" t="str">
        <f t="shared" si="6"/>
        <v>--</v>
      </c>
      <c r="S30" s="538" t="str">
        <f t="shared" si="7"/>
        <v>--</v>
      </c>
      <c r="T30" s="539" t="str">
        <f t="shared" si="8"/>
        <v>--</v>
      </c>
      <c r="U30" s="540" t="str">
        <f t="shared" si="9"/>
        <v>--</v>
      </c>
      <c r="V30" s="417" t="str">
        <f t="shared" si="12"/>
        <v>--</v>
      </c>
      <c r="W30" s="181">
        <f t="shared" si="10"/>
      </c>
      <c r="X30" s="473">
        <f t="shared" si="11"/>
      </c>
      <c r="Y30" s="546"/>
    </row>
    <row r="31" spans="2:25" s="8" customFormat="1" ht="16.5" customHeight="1">
      <c r="B31" s="55"/>
      <c r="C31" s="464"/>
      <c r="D31" s="464"/>
      <c r="E31" s="464"/>
      <c r="F31" s="464"/>
      <c r="G31" s="464"/>
      <c r="H31" s="543"/>
      <c r="I31" s="362">
        <f t="shared" si="0"/>
        <v>0</v>
      </c>
      <c r="J31" s="467"/>
      <c r="K31" s="205"/>
      <c r="L31" s="469">
        <f t="shared" si="1"/>
      </c>
      <c r="M31" s="470">
        <f t="shared" si="2"/>
      </c>
      <c r="N31" s="179"/>
      <c r="O31" s="274">
        <f t="shared" si="3"/>
      </c>
      <c r="P31" s="181">
        <f t="shared" si="4"/>
      </c>
      <c r="Q31" s="544">
        <f t="shared" si="5"/>
        <v>20</v>
      </c>
      <c r="R31" s="545" t="str">
        <f t="shared" si="6"/>
        <v>--</v>
      </c>
      <c r="S31" s="538" t="str">
        <f t="shared" si="7"/>
        <v>--</v>
      </c>
      <c r="T31" s="539" t="str">
        <f t="shared" si="8"/>
        <v>--</v>
      </c>
      <c r="U31" s="540" t="str">
        <f t="shared" si="9"/>
        <v>--</v>
      </c>
      <c r="V31" s="417" t="str">
        <f t="shared" si="12"/>
        <v>--</v>
      </c>
      <c r="W31" s="181">
        <f t="shared" si="10"/>
      </c>
      <c r="X31" s="473">
        <f t="shared" si="11"/>
      </c>
      <c r="Y31" s="546"/>
    </row>
    <row r="32" spans="2:25" s="8" customFormat="1" ht="16.5" customHeight="1">
      <c r="B32" s="55"/>
      <c r="C32" s="464"/>
      <c r="D32" s="464"/>
      <c r="E32" s="464"/>
      <c r="F32" s="464"/>
      <c r="G32" s="464"/>
      <c r="H32" s="543"/>
      <c r="I32" s="362">
        <f t="shared" si="0"/>
        <v>0</v>
      </c>
      <c r="J32" s="467"/>
      <c r="K32" s="205"/>
      <c r="L32" s="469">
        <f t="shared" si="1"/>
      </c>
      <c r="M32" s="470">
        <f t="shared" si="2"/>
      </c>
      <c r="N32" s="179"/>
      <c r="O32" s="274">
        <f t="shared" si="3"/>
      </c>
      <c r="P32" s="181">
        <f t="shared" si="4"/>
      </c>
      <c r="Q32" s="544">
        <f t="shared" si="5"/>
        <v>20</v>
      </c>
      <c r="R32" s="545" t="str">
        <f t="shared" si="6"/>
        <v>--</v>
      </c>
      <c r="S32" s="538" t="str">
        <f t="shared" si="7"/>
        <v>--</v>
      </c>
      <c r="T32" s="539" t="str">
        <f t="shared" si="8"/>
        <v>--</v>
      </c>
      <c r="U32" s="540" t="str">
        <f t="shared" si="9"/>
        <v>--</v>
      </c>
      <c r="V32" s="417" t="str">
        <f t="shared" si="12"/>
        <v>--</v>
      </c>
      <c r="W32" s="181">
        <f t="shared" si="10"/>
      </c>
      <c r="X32" s="473">
        <f t="shared" si="11"/>
      </c>
      <c r="Y32" s="60"/>
    </row>
    <row r="33" spans="2:25" s="8" customFormat="1" ht="16.5" customHeight="1">
      <c r="B33" s="55"/>
      <c r="C33" s="464"/>
      <c r="D33" s="464"/>
      <c r="E33" s="464"/>
      <c r="F33" s="464"/>
      <c r="G33" s="464"/>
      <c r="H33" s="543"/>
      <c r="I33" s="362">
        <f t="shared" si="0"/>
        <v>0</v>
      </c>
      <c r="J33" s="467"/>
      <c r="K33" s="205"/>
      <c r="L33" s="469">
        <f t="shared" si="1"/>
      </c>
      <c r="M33" s="470">
        <f t="shared" si="2"/>
      </c>
      <c r="N33" s="179"/>
      <c r="O33" s="274">
        <f t="shared" si="3"/>
      </c>
      <c r="P33" s="181">
        <f t="shared" si="4"/>
      </c>
      <c r="Q33" s="544">
        <f t="shared" si="5"/>
        <v>20</v>
      </c>
      <c r="R33" s="545" t="str">
        <f t="shared" si="6"/>
        <v>--</v>
      </c>
      <c r="S33" s="538" t="str">
        <f t="shared" si="7"/>
        <v>--</v>
      </c>
      <c r="T33" s="539" t="str">
        <f t="shared" si="8"/>
        <v>--</v>
      </c>
      <c r="U33" s="540" t="str">
        <f t="shared" si="9"/>
        <v>--</v>
      </c>
      <c r="V33" s="417" t="str">
        <f t="shared" si="12"/>
        <v>--</v>
      </c>
      <c r="W33" s="181">
        <f t="shared" si="10"/>
      </c>
      <c r="X33" s="473">
        <f t="shared" si="11"/>
      </c>
      <c r="Y33" s="60"/>
    </row>
    <row r="34" spans="2:25" s="8" customFormat="1" ht="16.5" customHeight="1">
      <c r="B34" s="55"/>
      <c r="C34" s="464"/>
      <c r="D34" s="464"/>
      <c r="E34" s="464"/>
      <c r="F34" s="464"/>
      <c r="G34" s="464"/>
      <c r="H34" s="543"/>
      <c r="I34" s="362">
        <f t="shared" si="0"/>
        <v>0</v>
      </c>
      <c r="J34" s="467"/>
      <c r="K34" s="205"/>
      <c r="L34" s="469">
        <f t="shared" si="1"/>
      </c>
      <c r="M34" s="470">
        <f t="shared" si="2"/>
      </c>
      <c r="N34" s="179"/>
      <c r="O34" s="274">
        <f t="shared" si="3"/>
      </c>
      <c r="P34" s="181">
        <f t="shared" si="4"/>
      </c>
      <c r="Q34" s="544">
        <f t="shared" si="5"/>
        <v>20</v>
      </c>
      <c r="R34" s="545" t="str">
        <f t="shared" si="6"/>
        <v>--</v>
      </c>
      <c r="S34" s="538" t="str">
        <f t="shared" si="7"/>
        <v>--</v>
      </c>
      <c r="T34" s="539" t="str">
        <f t="shared" si="8"/>
        <v>--</v>
      </c>
      <c r="U34" s="540" t="str">
        <f t="shared" si="9"/>
        <v>--</v>
      </c>
      <c r="V34" s="417" t="str">
        <f t="shared" si="12"/>
        <v>--</v>
      </c>
      <c r="W34" s="181">
        <f t="shared" si="10"/>
      </c>
      <c r="X34" s="473">
        <f t="shared" si="11"/>
      </c>
      <c r="Y34" s="60"/>
    </row>
    <row r="35" spans="2:25" s="8" customFormat="1" ht="16.5" customHeight="1">
      <c r="B35" s="55"/>
      <c r="C35" s="464"/>
      <c r="D35" s="464"/>
      <c r="E35" s="464"/>
      <c r="F35" s="464"/>
      <c r="G35" s="464"/>
      <c r="H35" s="543"/>
      <c r="I35" s="362">
        <f t="shared" si="0"/>
        <v>0</v>
      </c>
      <c r="J35" s="467"/>
      <c r="K35" s="205"/>
      <c r="L35" s="469">
        <f t="shared" si="1"/>
      </c>
      <c r="M35" s="470">
        <f t="shared" si="2"/>
      </c>
      <c r="N35" s="179"/>
      <c r="O35" s="274">
        <f t="shared" si="3"/>
      </c>
      <c r="P35" s="181">
        <f t="shared" si="4"/>
      </c>
      <c r="Q35" s="544">
        <f t="shared" si="5"/>
        <v>20</v>
      </c>
      <c r="R35" s="545" t="str">
        <f t="shared" si="6"/>
        <v>--</v>
      </c>
      <c r="S35" s="538" t="str">
        <f t="shared" si="7"/>
        <v>--</v>
      </c>
      <c r="T35" s="539" t="str">
        <f t="shared" si="8"/>
        <v>--</v>
      </c>
      <c r="U35" s="540" t="str">
        <f t="shared" si="9"/>
        <v>--</v>
      </c>
      <c r="V35" s="417" t="str">
        <f t="shared" si="12"/>
        <v>--</v>
      </c>
      <c r="W35" s="181">
        <f t="shared" si="10"/>
      </c>
      <c r="X35" s="473">
        <f t="shared" si="11"/>
      </c>
      <c r="Y35" s="60"/>
    </row>
    <row r="36" spans="2:25" s="8" customFormat="1" ht="16.5" customHeight="1">
      <c r="B36" s="55"/>
      <c r="C36" s="464"/>
      <c r="D36" s="464"/>
      <c r="E36" s="464"/>
      <c r="F36" s="464"/>
      <c r="G36" s="464"/>
      <c r="H36" s="543"/>
      <c r="I36" s="362">
        <f t="shared" si="0"/>
        <v>0</v>
      </c>
      <c r="J36" s="467"/>
      <c r="K36" s="205"/>
      <c r="L36" s="469">
        <f t="shared" si="1"/>
      </c>
      <c r="M36" s="470">
        <f t="shared" si="2"/>
      </c>
      <c r="N36" s="179"/>
      <c r="O36" s="274">
        <f t="shared" si="3"/>
      </c>
      <c r="P36" s="181">
        <f t="shared" si="4"/>
      </c>
      <c r="Q36" s="544">
        <f t="shared" si="5"/>
        <v>20</v>
      </c>
      <c r="R36" s="545" t="str">
        <f t="shared" si="6"/>
        <v>--</v>
      </c>
      <c r="S36" s="538" t="str">
        <f t="shared" si="7"/>
        <v>--</v>
      </c>
      <c r="T36" s="539" t="str">
        <f t="shared" si="8"/>
        <v>--</v>
      </c>
      <c r="U36" s="540" t="str">
        <f t="shared" si="9"/>
        <v>--</v>
      </c>
      <c r="V36" s="417" t="str">
        <f t="shared" si="12"/>
        <v>--</v>
      </c>
      <c r="W36" s="181">
        <f t="shared" si="10"/>
      </c>
      <c r="X36" s="473">
        <f t="shared" si="11"/>
      </c>
      <c r="Y36" s="60"/>
    </row>
    <row r="37" spans="2:25" s="8" customFormat="1" ht="16.5" customHeight="1">
      <c r="B37" s="55"/>
      <c r="C37" s="464"/>
      <c r="D37" s="464"/>
      <c r="E37" s="464"/>
      <c r="F37" s="464"/>
      <c r="G37" s="464"/>
      <c r="H37" s="543"/>
      <c r="I37" s="362">
        <f t="shared" si="0"/>
        <v>0</v>
      </c>
      <c r="J37" s="467"/>
      <c r="K37" s="205"/>
      <c r="L37" s="469">
        <f t="shared" si="1"/>
      </c>
      <c r="M37" s="470">
        <f t="shared" si="2"/>
      </c>
      <c r="N37" s="179"/>
      <c r="O37" s="274">
        <f t="shared" si="3"/>
      </c>
      <c r="P37" s="181">
        <f t="shared" si="4"/>
      </c>
      <c r="Q37" s="544">
        <f t="shared" si="5"/>
        <v>20</v>
      </c>
      <c r="R37" s="545" t="str">
        <f t="shared" si="6"/>
        <v>--</v>
      </c>
      <c r="S37" s="538" t="str">
        <f t="shared" si="7"/>
        <v>--</v>
      </c>
      <c r="T37" s="539" t="str">
        <f t="shared" si="8"/>
        <v>--</v>
      </c>
      <c r="U37" s="540" t="str">
        <f t="shared" si="9"/>
        <v>--</v>
      </c>
      <c r="V37" s="417" t="str">
        <f t="shared" si="12"/>
        <v>--</v>
      </c>
      <c r="W37" s="181">
        <f t="shared" si="10"/>
      </c>
      <c r="X37" s="473">
        <f t="shared" si="11"/>
      </c>
      <c r="Y37" s="60"/>
    </row>
    <row r="38" spans="2:25" s="8" customFormat="1" ht="16.5" customHeight="1">
      <c r="B38" s="55"/>
      <c r="C38" s="464"/>
      <c r="D38" s="464"/>
      <c r="E38" s="464"/>
      <c r="F38" s="464"/>
      <c r="G38" s="464"/>
      <c r="H38" s="543"/>
      <c r="I38" s="362">
        <f t="shared" si="0"/>
        <v>0</v>
      </c>
      <c r="J38" s="467"/>
      <c r="K38" s="205"/>
      <c r="L38" s="469">
        <f t="shared" si="1"/>
      </c>
      <c r="M38" s="470">
        <f t="shared" si="2"/>
      </c>
      <c r="N38" s="179"/>
      <c r="O38" s="274">
        <f t="shared" si="3"/>
      </c>
      <c r="P38" s="181">
        <f t="shared" si="4"/>
      </c>
      <c r="Q38" s="544">
        <f t="shared" si="5"/>
        <v>20</v>
      </c>
      <c r="R38" s="545" t="str">
        <f t="shared" si="6"/>
        <v>--</v>
      </c>
      <c r="S38" s="538" t="str">
        <f t="shared" si="7"/>
        <v>--</v>
      </c>
      <c r="T38" s="539" t="str">
        <f t="shared" si="8"/>
        <v>--</v>
      </c>
      <c r="U38" s="540" t="str">
        <f t="shared" si="9"/>
        <v>--</v>
      </c>
      <c r="V38" s="417" t="str">
        <f t="shared" si="12"/>
        <v>--</v>
      </c>
      <c r="W38" s="181">
        <f t="shared" si="10"/>
      </c>
      <c r="X38" s="473">
        <f t="shared" si="11"/>
      </c>
      <c r="Y38" s="60"/>
    </row>
    <row r="39" spans="2:25" s="8" customFormat="1" ht="16.5" customHeight="1">
      <c r="B39" s="55"/>
      <c r="C39" s="464"/>
      <c r="D39" s="464"/>
      <c r="E39" s="464"/>
      <c r="F39" s="464"/>
      <c r="G39" s="464"/>
      <c r="H39" s="543"/>
      <c r="I39" s="362">
        <f t="shared" si="0"/>
        <v>0</v>
      </c>
      <c r="J39" s="467"/>
      <c r="K39" s="205"/>
      <c r="L39" s="469">
        <f t="shared" si="1"/>
      </c>
      <c r="M39" s="470">
        <f t="shared" si="2"/>
      </c>
      <c r="N39" s="179"/>
      <c r="O39" s="274">
        <f t="shared" si="3"/>
      </c>
      <c r="P39" s="181">
        <f t="shared" si="4"/>
      </c>
      <c r="Q39" s="544">
        <f t="shared" si="5"/>
        <v>20</v>
      </c>
      <c r="R39" s="545" t="str">
        <f t="shared" si="6"/>
        <v>--</v>
      </c>
      <c r="S39" s="538" t="str">
        <f t="shared" si="7"/>
        <v>--</v>
      </c>
      <c r="T39" s="539" t="str">
        <f t="shared" si="8"/>
        <v>--</v>
      </c>
      <c r="U39" s="540" t="str">
        <f t="shared" si="9"/>
        <v>--</v>
      </c>
      <c r="V39" s="417" t="str">
        <f t="shared" si="12"/>
        <v>--</v>
      </c>
      <c r="W39" s="181">
        <f t="shared" si="10"/>
      </c>
      <c r="X39" s="473">
        <f t="shared" si="11"/>
      </c>
      <c r="Y39" s="60"/>
    </row>
    <row r="40" spans="2:25" s="8" customFormat="1" ht="16.5" customHeight="1">
      <c r="B40" s="55"/>
      <c r="C40" s="464"/>
      <c r="D40" s="464"/>
      <c r="E40" s="464"/>
      <c r="F40" s="464"/>
      <c r="G40" s="464"/>
      <c r="H40" s="543"/>
      <c r="I40" s="362">
        <f t="shared" si="0"/>
        <v>0</v>
      </c>
      <c r="J40" s="467"/>
      <c r="K40" s="205"/>
      <c r="L40" s="469">
        <f t="shared" si="1"/>
      </c>
      <c r="M40" s="470">
        <f t="shared" si="2"/>
      </c>
      <c r="N40" s="179"/>
      <c r="O40" s="274">
        <f t="shared" si="3"/>
      </c>
      <c r="P40" s="181">
        <f t="shared" si="4"/>
      </c>
      <c r="Q40" s="544">
        <f t="shared" si="5"/>
        <v>20</v>
      </c>
      <c r="R40" s="545" t="str">
        <f t="shared" si="6"/>
        <v>--</v>
      </c>
      <c r="S40" s="538" t="str">
        <f t="shared" si="7"/>
        <v>--</v>
      </c>
      <c r="T40" s="539" t="str">
        <f t="shared" si="8"/>
        <v>--</v>
      </c>
      <c r="U40" s="540" t="str">
        <f t="shared" si="9"/>
        <v>--</v>
      </c>
      <c r="V40" s="417" t="str">
        <f t="shared" si="12"/>
        <v>--</v>
      </c>
      <c r="W40" s="181">
        <f t="shared" si="10"/>
      </c>
      <c r="X40" s="473">
        <f t="shared" si="11"/>
      </c>
      <c r="Y40" s="60"/>
    </row>
    <row r="41" spans="2:25" s="8" customFormat="1" ht="16.5" customHeight="1">
      <c r="B41" s="55"/>
      <c r="C41" s="464"/>
      <c r="D41" s="464"/>
      <c r="E41" s="464"/>
      <c r="F41" s="464"/>
      <c r="G41" s="464"/>
      <c r="H41" s="543"/>
      <c r="I41" s="362">
        <f t="shared" si="0"/>
        <v>0</v>
      </c>
      <c r="J41" s="467"/>
      <c r="K41" s="205"/>
      <c r="L41" s="469">
        <f t="shared" si="1"/>
      </c>
      <c r="M41" s="470">
        <f t="shared" si="2"/>
      </c>
      <c r="N41" s="179"/>
      <c r="O41" s="274">
        <f t="shared" si="3"/>
      </c>
      <c r="P41" s="181">
        <f t="shared" si="4"/>
      </c>
      <c r="Q41" s="544">
        <f t="shared" si="5"/>
        <v>20</v>
      </c>
      <c r="R41" s="545" t="str">
        <f t="shared" si="6"/>
        <v>--</v>
      </c>
      <c r="S41" s="538" t="str">
        <f t="shared" si="7"/>
        <v>--</v>
      </c>
      <c r="T41" s="539" t="str">
        <f t="shared" si="8"/>
        <v>--</v>
      </c>
      <c r="U41" s="540" t="str">
        <f t="shared" si="9"/>
        <v>--</v>
      </c>
      <c r="V41" s="417" t="str">
        <f t="shared" si="12"/>
        <v>--</v>
      </c>
      <c r="W41" s="181">
        <f t="shared" si="10"/>
      </c>
      <c r="X41" s="473">
        <f t="shared" si="11"/>
      </c>
      <c r="Y41" s="60"/>
    </row>
    <row r="42" spans="2:25" s="8" customFormat="1" ht="16.5" customHeight="1" thickBot="1">
      <c r="B42" s="55"/>
      <c r="C42" s="497"/>
      <c r="D42" s="497"/>
      <c r="E42" s="497"/>
      <c r="F42" s="497"/>
      <c r="G42" s="497"/>
      <c r="H42" s="547"/>
      <c r="I42" s="382"/>
      <c r="J42" s="474"/>
      <c r="K42" s="474"/>
      <c r="L42" s="475"/>
      <c r="M42" s="475"/>
      <c r="N42" s="474"/>
      <c r="O42" s="217"/>
      <c r="P42" s="216"/>
      <c r="Q42" s="548"/>
      <c r="R42" s="549"/>
      <c r="S42" s="550"/>
      <c r="T42" s="551"/>
      <c r="U42" s="552"/>
      <c r="V42" s="552"/>
      <c r="W42" s="216"/>
      <c r="X42" s="553"/>
      <c r="Y42" s="60"/>
    </row>
    <row r="43" spans="2:25" s="8" customFormat="1" ht="16.5" customHeight="1" thickBot="1" thickTop="1">
      <c r="B43" s="55"/>
      <c r="C43" s="230" t="s">
        <v>297</v>
      </c>
      <c r="D43" s="271" t="s">
        <v>501</v>
      </c>
      <c r="E43" s="230"/>
      <c r="F43" s="231"/>
      <c r="I43" s="11"/>
      <c r="J43" s="11"/>
      <c r="K43" s="11"/>
      <c r="L43" s="11"/>
      <c r="M43" s="11"/>
      <c r="N43" s="11"/>
      <c r="O43" s="11"/>
      <c r="P43" s="11"/>
      <c r="Q43" s="11"/>
      <c r="R43" s="554">
        <f>SUM(R20:R42)</f>
        <v>9170.26166</v>
      </c>
      <c r="S43" s="555">
        <f>SUM(S20:S42)</f>
        <v>0</v>
      </c>
      <c r="T43" s="556">
        <f>SUM(T20:T42)</f>
        <v>0</v>
      </c>
      <c r="U43" s="557">
        <f>SUM(U20:U42)</f>
        <v>0</v>
      </c>
      <c r="V43" s="557">
        <f>SUM(V20:V42)</f>
        <v>0</v>
      </c>
      <c r="X43" s="487">
        <f>ROUND(SUM(X20:X42),2)</f>
        <v>1321.24</v>
      </c>
      <c r="Y43" s="558"/>
    </row>
    <row r="44" spans="2:25" s="8" customFormat="1" ht="16.5" customHeight="1" thickBot="1" thickTop="1">
      <c r="B44" s="245"/>
      <c r="C44" s="246"/>
      <c r="D44" s="246" t="s">
        <v>399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7"/>
    </row>
    <row r="45" spans="6:27" ht="16.5" customHeight="1" thickTop="1">
      <c r="F45" s="559"/>
      <c r="G45" s="559"/>
      <c r="H45" s="559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</row>
    <row r="46" spans="6:27" ht="16.5" customHeight="1">
      <c r="F46" s="559"/>
      <c r="G46" s="559"/>
      <c r="H46" s="559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</row>
    <row r="47" spans="6:27" ht="16.5" customHeight="1">
      <c r="F47" s="559"/>
      <c r="G47" s="559"/>
      <c r="H47" s="559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</row>
    <row r="48" spans="6:27" ht="16.5" customHeight="1">
      <c r="F48" s="559"/>
      <c r="G48" s="559"/>
      <c r="H48" s="559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</row>
    <row r="49" spans="6:27" ht="16.5" customHeight="1">
      <c r="F49" s="559"/>
      <c r="G49" s="559"/>
      <c r="H49" s="559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</row>
    <row r="50" spans="6:27" ht="16.5" customHeight="1">
      <c r="F50" s="559"/>
      <c r="G50" s="559"/>
      <c r="H50" s="559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</row>
    <row r="51" spans="6:27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</row>
    <row r="52" spans="6:27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</row>
    <row r="53" spans="6:27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</row>
    <row r="54" spans="6:27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</row>
    <row r="55" spans="6:27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</row>
    <row r="56" spans="6:27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</row>
    <row r="57" spans="6:27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</row>
    <row r="58" spans="6:27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</row>
    <row r="59" spans="6:27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</row>
    <row r="60" spans="6:27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</row>
    <row r="61" spans="6:27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</row>
    <row r="62" spans="6:27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</row>
    <row r="63" spans="6:27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</row>
    <row r="64" spans="6:27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</row>
    <row r="65" spans="6:27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</row>
    <row r="66" spans="6:27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</row>
    <row r="67" spans="6:27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</row>
    <row r="68" spans="6:27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</row>
    <row r="69" spans="6:27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</row>
    <row r="70" spans="6:27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</row>
    <row r="71" spans="6:27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</row>
    <row r="72" spans="6:27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</row>
    <row r="73" spans="6:27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</row>
    <row r="74" spans="6:27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</row>
    <row r="75" spans="6:27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</row>
    <row r="76" spans="6:27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</row>
    <row r="77" spans="6:27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</row>
    <row r="78" spans="6:27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</row>
    <row r="79" spans="6:27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</row>
    <row r="80" spans="6:27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</row>
    <row r="81" spans="6:27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</row>
    <row r="82" spans="6:27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</row>
    <row r="83" spans="6:27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</row>
    <row r="84" spans="6:27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</row>
    <row r="85" spans="6:27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</row>
    <row r="86" spans="6:27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</row>
    <row r="87" spans="6:27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</row>
    <row r="88" spans="6:27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</row>
    <row r="89" spans="6:27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</row>
    <row r="90" spans="6:27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</row>
    <row r="91" spans="6:27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</row>
    <row r="92" spans="6:27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</row>
    <row r="93" spans="6:27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</row>
    <row r="94" spans="6:27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</row>
    <row r="95" spans="6:27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</row>
    <row r="96" spans="6:27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</row>
    <row r="97" spans="6:27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</row>
    <row r="98" spans="6:27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</row>
    <row r="99" spans="6:27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</row>
    <row r="100" spans="6:27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</row>
    <row r="101" spans="6:27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</row>
    <row r="102" spans="6:27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</row>
    <row r="103" spans="6:27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</row>
    <row r="104" spans="6:27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</row>
    <row r="105" spans="6:27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</row>
    <row r="106" spans="6:27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</row>
    <row r="107" spans="6:27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</row>
    <row r="108" spans="6:27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</row>
    <row r="109" spans="6:27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</row>
    <row r="110" spans="6:27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</row>
    <row r="111" spans="6:27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</row>
    <row r="112" spans="6:27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</row>
    <row r="113" spans="6:27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</row>
    <row r="114" spans="6:27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</row>
    <row r="115" spans="6:27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</row>
    <row r="116" spans="6:27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</row>
    <row r="117" spans="6:27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</row>
    <row r="118" spans="6:27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</row>
    <row r="119" spans="6:27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</row>
    <row r="120" spans="6:27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</row>
    <row r="121" spans="6:27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</row>
    <row r="122" spans="6:27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</row>
    <row r="123" spans="6:27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</row>
    <row r="124" spans="6:27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</row>
    <row r="125" spans="6:27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</row>
    <row r="126" spans="6:27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</row>
    <row r="127" spans="6:27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</row>
    <row r="128" spans="6:27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</row>
    <row r="129" spans="6:27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</row>
    <row r="130" spans="6:27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</row>
    <row r="131" spans="6:27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</row>
    <row r="132" spans="6:27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</row>
    <row r="133" spans="6:27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</row>
    <row r="134" spans="6:27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</row>
    <row r="135" spans="6:27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</row>
    <row r="136" spans="6:27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</row>
    <row r="137" spans="6:27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</row>
    <row r="138" spans="6:27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</row>
    <row r="139" spans="6:27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</row>
    <row r="140" spans="6:27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</row>
    <row r="141" spans="6:27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</row>
    <row r="142" spans="6:27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</row>
    <row r="143" spans="6:27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</row>
    <row r="144" spans="6:27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</row>
    <row r="145" spans="6:27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</row>
    <row r="146" spans="6:27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</row>
    <row r="147" spans="6:27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</row>
    <row r="148" spans="6:27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</row>
    <row r="149" spans="6:27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</row>
    <row r="150" spans="6:27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</row>
    <row r="151" spans="6:27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</row>
    <row r="152" spans="6:27" ht="16.5" customHeight="1">
      <c r="F152" s="413"/>
      <c r="G152" s="413"/>
      <c r="H152" s="413"/>
      <c r="Z152" s="413"/>
      <c r="AA152" s="413"/>
    </row>
    <row r="153" spans="6:8" ht="16.5" customHeight="1">
      <c r="F153" s="413"/>
      <c r="G153" s="413"/>
      <c r="H153" s="413"/>
    </row>
    <row r="154" spans="6:8" ht="16.5" customHeight="1">
      <c r="F154" s="413"/>
      <c r="G154" s="413"/>
      <c r="H154" s="413"/>
    </row>
    <row r="155" spans="6:8" ht="16.5" customHeight="1">
      <c r="F155" s="413"/>
      <c r="G155" s="413"/>
      <c r="H155" s="413"/>
    </row>
    <row r="156" spans="6:8" ht="16.5" customHeight="1">
      <c r="F156" s="413"/>
      <c r="G156" s="413"/>
      <c r="H156" s="413"/>
    </row>
    <row r="157" spans="6:8" ht="16.5" customHeight="1">
      <c r="F157" s="413"/>
      <c r="G157" s="413"/>
      <c r="H157" s="413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zoomScale="60" zoomScaleNormal="60" zoomScalePageLayoutView="0" workbookViewId="0" topLeftCell="A1">
      <selection activeCell="E46" sqref="E46"/>
    </sheetView>
  </sheetViews>
  <sheetFormatPr defaultColWidth="11.421875" defaultRowHeight="12.75"/>
  <cols>
    <col min="1" max="1" width="7.00390625" style="914" customWidth="1"/>
    <col min="2" max="2" width="16.28125" style="914" customWidth="1"/>
    <col min="3" max="3" width="4.7109375" style="914" customWidth="1"/>
    <col min="4" max="4" width="36.140625" style="914" customWidth="1"/>
    <col min="5" max="5" width="20.7109375" style="914" customWidth="1"/>
    <col min="6" max="6" width="15.00390625" style="914" customWidth="1"/>
    <col min="7" max="7" width="14.8515625" style="914" customWidth="1"/>
    <col min="8" max="8" width="6.421875" style="914" hidden="1" customWidth="1"/>
    <col min="9" max="9" width="8.28125" style="914" hidden="1" customWidth="1"/>
    <col min="10" max="11" width="18.7109375" style="914" customWidth="1"/>
    <col min="12" max="13" width="10.7109375" style="914" customWidth="1"/>
    <col min="14" max="14" width="9.7109375" style="914" customWidth="1"/>
    <col min="15" max="15" width="10.57421875" style="914" customWidth="1"/>
    <col min="16" max="16" width="8.421875" style="914" customWidth="1"/>
    <col min="17" max="17" width="12.57421875" style="914" bestFit="1" customWidth="1"/>
    <col min="18" max="18" width="12.28125" style="914" hidden="1" customWidth="1"/>
    <col min="19" max="19" width="13.140625" style="914" hidden="1" customWidth="1"/>
    <col min="20" max="21" width="5.28125" style="914" hidden="1" customWidth="1"/>
    <col min="22" max="22" width="8.140625" style="914" hidden="1" customWidth="1"/>
    <col min="23" max="23" width="5.28125" style="914" hidden="1" customWidth="1"/>
    <col min="24" max="25" width="12.28125" style="914" hidden="1" customWidth="1"/>
    <col min="26" max="27" width="5.28125" style="914" hidden="1" customWidth="1"/>
    <col min="28" max="28" width="10.8515625" style="914" customWidth="1"/>
    <col min="29" max="29" width="18.28125" style="914" customWidth="1"/>
    <col min="30" max="30" width="14.00390625" style="914" customWidth="1"/>
    <col min="31" max="31" width="4.140625" style="914" customWidth="1"/>
    <col min="32" max="32" width="7.140625" style="914" customWidth="1"/>
    <col min="33" max="33" width="5.28125" style="914" customWidth="1"/>
    <col min="34" max="34" width="5.421875" style="914" customWidth="1"/>
    <col min="35" max="35" width="4.7109375" style="914" customWidth="1"/>
    <col min="36" max="36" width="5.28125" style="914" customWidth="1"/>
    <col min="37" max="38" width="13.28125" style="914" customWidth="1"/>
    <col min="39" max="39" width="6.57421875" style="914" customWidth="1"/>
    <col min="40" max="40" width="6.421875" style="914" customWidth="1"/>
    <col min="41" max="44" width="11.421875" style="914" customWidth="1"/>
    <col min="45" max="45" width="12.7109375" style="914" customWidth="1"/>
    <col min="46" max="48" width="11.421875" style="914" customWidth="1"/>
    <col min="49" max="49" width="21.00390625" style="914" customWidth="1"/>
    <col min="50" max="16384" width="11.421875" style="914" customWidth="1"/>
  </cols>
  <sheetData>
    <row r="1" spans="1:30" ht="13.5">
      <c r="A1" s="912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AD1" s="915"/>
    </row>
    <row r="2" spans="1:23" ht="27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1:30" s="919" customFormat="1" ht="30.75">
      <c r="A3" s="916"/>
      <c r="B3" s="917" t="str">
        <f>'TOT-0412'!B2</f>
        <v>ANEXO V al Memorándum  D.T.E.E.  N°     461       / 2014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AB3" s="918"/>
      <c r="AC3" s="918"/>
      <c r="AD3" s="918"/>
    </row>
    <row r="4" spans="1:2" s="921" customFormat="1" ht="11.25">
      <c r="A4" s="920" t="s">
        <v>2</v>
      </c>
      <c r="B4" s="920"/>
    </row>
    <row r="5" spans="1:2" s="921" customFormat="1" ht="11.25">
      <c r="A5" s="920" t="s">
        <v>3</v>
      </c>
      <c r="B5" s="920"/>
    </row>
    <row r="6" s="921" customFormat="1" ht="12" thickBot="1">
      <c r="A6" s="920"/>
    </row>
    <row r="7" spans="1:30" ht="16.5" customHeight="1" thickTop="1">
      <c r="A7" s="913"/>
      <c r="B7" s="922"/>
      <c r="C7" s="923"/>
      <c r="D7" s="923"/>
      <c r="E7" s="924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5"/>
      <c r="X7" s="925"/>
      <c r="Y7" s="925"/>
      <c r="Z7" s="925"/>
      <c r="AA7" s="925"/>
      <c r="AB7" s="925"/>
      <c r="AC7" s="925"/>
      <c r="AD7" s="926"/>
    </row>
    <row r="8" spans="1:30" ht="20.25">
      <c r="A8" s="913"/>
      <c r="B8" s="927"/>
      <c r="C8" s="928"/>
      <c r="D8" s="929" t="s">
        <v>82</v>
      </c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30"/>
      <c r="Q8" s="930"/>
      <c r="R8" s="928"/>
      <c r="S8" s="928"/>
      <c r="T8" s="928"/>
      <c r="U8" s="928"/>
      <c r="V8" s="928"/>
      <c r="AD8" s="931"/>
    </row>
    <row r="9" spans="1:30" ht="16.5" customHeight="1">
      <c r="A9" s="913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AD9" s="931"/>
    </row>
    <row r="10" spans="2:30" s="932" customFormat="1" ht="20.25">
      <c r="B10" s="933"/>
      <c r="C10" s="934"/>
      <c r="D10" s="929" t="s">
        <v>83</v>
      </c>
      <c r="E10" s="934"/>
      <c r="F10" s="934"/>
      <c r="G10" s="934"/>
      <c r="H10" s="934"/>
      <c r="N10" s="934"/>
      <c r="O10" s="934"/>
      <c r="P10" s="935"/>
      <c r="Q10" s="935"/>
      <c r="R10" s="934"/>
      <c r="S10" s="934"/>
      <c r="T10" s="934"/>
      <c r="U10" s="934"/>
      <c r="V10" s="934"/>
      <c r="W10" s="914"/>
      <c r="X10" s="934"/>
      <c r="Y10" s="934"/>
      <c r="Z10" s="934"/>
      <c r="AA10" s="934"/>
      <c r="AB10" s="934"/>
      <c r="AC10" s="914"/>
      <c r="AD10" s="936"/>
    </row>
    <row r="11" spans="1:30" ht="16.5" customHeight="1">
      <c r="A11" s="913"/>
      <c r="B11" s="927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AD11" s="931"/>
    </row>
    <row r="12" spans="2:30" s="932" customFormat="1" ht="20.25">
      <c r="B12" s="933"/>
      <c r="C12" s="934"/>
      <c r="D12" s="929" t="s">
        <v>84</v>
      </c>
      <c r="E12" s="934"/>
      <c r="F12" s="934"/>
      <c r="G12" s="934"/>
      <c r="H12" s="934"/>
      <c r="N12" s="934"/>
      <c r="O12" s="934"/>
      <c r="P12" s="935"/>
      <c r="Q12" s="935"/>
      <c r="R12" s="934"/>
      <c r="S12" s="934"/>
      <c r="T12" s="934"/>
      <c r="U12" s="934"/>
      <c r="V12" s="934"/>
      <c r="W12" s="914"/>
      <c r="X12" s="934"/>
      <c r="Y12" s="934"/>
      <c r="Z12" s="934"/>
      <c r="AA12" s="934"/>
      <c r="AB12" s="934"/>
      <c r="AC12" s="914"/>
      <c r="AD12" s="936"/>
    </row>
    <row r="13" spans="1:30" ht="16.5" customHeight="1">
      <c r="A13" s="913"/>
      <c r="B13" s="927"/>
      <c r="C13" s="928"/>
      <c r="D13" s="928"/>
      <c r="E13" s="913"/>
      <c r="F13" s="913"/>
      <c r="G13" s="913"/>
      <c r="H13" s="913"/>
      <c r="I13" s="937"/>
      <c r="J13" s="937"/>
      <c r="K13" s="937"/>
      <c r="L13" s="937"/>
      <c r="M13" s="937"/>
      <c r="N13" s="937"/>
      <c r="O13" s="937"/>
      <c r="P13" s="937"/>
      <c r="Q13" s="937"/>
      <c r="R13" s="928"/>
      <c r="S13" s="928"/>
      <c r="T13" s="928"/>
      <c r="U13" s="928"/>
      <c r="V13" s="928"/>
      <c r="AD13" s="931"/>
    </row>
    <row r="14" spans="2:30" s="932" customFormat="1" ht="19.5">
      <c r="B14" s="938" t="str">
        <f>'TOT-0412'!B14</f>
        <v>Desde el 01 al 30 de abril de 2013</v>
      </c>
      <c r="C14" s="939"/>
      <c r="D14" s="940"/>
      <c r="E14" s="940"/>
      <c r="F14" s="940"/>
      <c r="G14" s="940"/>
      <c r="H14" s="940"/>
      <c r="I14" s="941"/>
      <c r="J14" s="942"/>
      <c r="K14" s="941"/>
      <c r="L14" s="941"/>
      <c r="M14" s="941"/>
      <c r="N14" s="941"/>
      <c r="O14" s="941"/>
      <c r="P14" s="941"/>
      <c r="Q14" s="941"/>
      <c r="R14" s="941"/>
      <c r="S14" s="941"/>
      <c r="T14" s="941"/>
      <c r="U14" s="943"/>
      <c r="V14" s="943"/>
      <c r="W14" s="914"/>
      <c r="X14" s="944"/>
      <c r="Y14" s="944"/>
      <c r="Z14" s="944"/>
      <c r="AA14" s="944"/>
      <c r="AB14" s="943"/>
      <c r="AC14" s="942"/>
      <c r="AD14" s="945"/>
    </row>
    <row r="15" spans="1:30" ht="16.5" customHeight="1">
      <c r="A15" s="913"/>
      <c r="B15" s="927"/>
      <c r="C15" s="928"/>
      <c r="D15" s="928"/>
      <c r="E15" s="946"/>
      <c r="F15" s="946"/>
      <c r="G15" s="928"/>
      <c r="H15" s="928"/>
      <c r="I15" s="928"/>
      <c r="J15" s="947"/>
      <c r="K15" s="928"/>
      <c r="L15" s="928"/>
      <c r="M15" s="928"/>
      <c r="N15" s="913"/>
      <c r="O15" s="913"/>
      <c r="P15" s="928"/>
      <c r="Q15" s="928"/>
      <c r="R15" s="928"/>
      <c r="S15" s="928"/>
      <c r="T15" s="928"/>
      <c r="U15" s="928"/>
      <c r="V15" s="928"/>
      <c r="AD15" s="931"/>
    </row>
    <row r="16" spans="1:30" ht="16.5" customHeight="1">
      <c r="A16" s="913"/>
      <c r="B16" s="927"/>
      <c r="C16" s="928"/>
      <c r="D16" s="928"/>
      <c r="E16" s="946"/>
      <c r="F16" s="946"/>
      <c r="G16" s="928"/>
      <c r="H16" s="928"/>
      <c r="I16" s="948"/>
      <c r="J16" s="928"/>
      <c r="K16" s="949"/>
      <c r="M16" s="928"/>
      <c r="N16" s="913"/>
      <c r="O16" s="913"/>
      <c r="P16" s="928"/>
      <c r="Q16" s="928"/>
      <c r="R16" s="928"/>
      <c r="S16" s="928"/>
      <c r="T16" s="928"/>
      <c r="U16" s="928"/>
      <c r="V16" s="928"/>
      <c r="AD16" s="931"/>
    </row>
    <row r="17" spans="1:30" ht="16.5" customHeight="1">
      <c r="A17" s="913"/>
      <c r="B17" s="927"/>
      <c r="C17" s="928"/>
      <c r="D17" s="928"/>
      <c r="E17" s="946"/>
      <c r="F17" s="946"/>
      <c r="G17" s="928"/>
      <c r="H17" s="928"/>
      <c r="I17" s="948"/>
      <c r="J17" s="928"/>
      <c r="K17" s="949"/>
      <c r="M17" s="928"/>
      <c r="N17" s="913"/>
      <c r="O17" s="913"/>
      <c r="P17" s="928"/>
      <c r="Q17" s="928"/>
      <c r="R17" s="928"/>
      <c r="S17" s="928"/>
      <c r="T17" s="928"/>
      <c r="U17" s="928"/>
      <c r="V17" s="928"/>
      <c r="AD17" s="931"/>
    </row>
    <row r="18" spans="1:30" ht="16.5" customHeight="1">
      <c r="A18" s="913"/>
      <c r="B18" s="927"/>
      <c r="C18" s="950" t="s">
        <v>85</v>
      </c>
      <c r="D18" s="951" t="s">
        <v>86</v>
      </c>
      <c r="E18" s="946"/>
      <c r="F18" s="946"/>
      <c r="G18" s="928"/>
      <c r="H18" s="928"/>
      <c r="I18" s="928"/>
      <c r="J18" s="947"/>
      <c r="K18" s="928"/>
      <c r="L18" s="928"/>
      <c r="M18" s="928"/>
      <c r="N18" s="913"/>
      <c r="O18" s="913"/>
      <c r="P18" s="928"/>
      <c r="Q18" s="928"/>
      <c r="R18" s="928"/>
      <c r="S18" s="928"/>
      <c r="T18" s="928"/>
      <c r="U18" s="928"/>
      <c r="V18" s="928"/>
      <c r="AD18" s="931"/>
    </row>
    <row r="19" spans="2:30" s="952" customFormat="1" ht="16.5" customHeight="1">
      <c r="B19" s="953"/>
      <c r="C19" s="954"/>
      <c r="D19" s="955"/>
      <c r="E19" s="956"/>
      <c r="F19" s="957"/>
      <c r="G19" s="954"/>
      <c r="H19" s="954"/>
      <c r="I19" s="954"/>
      <c r="J19" s="958"/>
      <c r="K19" s="954"/>
      <c r="L19" s="954"/>
      <c r="M19" s="954"/>
      <c r="P19" s="954"/>
      <c r="Q19" s="954"/>
      <c r="R19" s="954"/>
      <c r="S19" s="954"/>
      <c r="T19" s="954"/>
      <c r="U19" s="954"/>
      <c r="V19" s="954"/>
      <c r="W19" s="914"/>
      <c r="AD19" s="959"/>
    </row>
    <row r="20" spans="2:30" s="952" customFormat="1" ht="16.5" customHeight="1">
      <c r="B20" s="953"/>
      <c r="C20" s="954"/>
      <c r="D20" s="960" t="s">
        <v>87</v>
      </c>
      <c r="F20" s="961">
        <v>272.761</v>
      </c>
      <c r="G20" s="960" t="s">
        <v>88</v>
      </c>
      <c r="H20" s="954"/>
      <c r="I20" s="954"/>
      <c r="J20" s="962"/>
      <c r="K20" s="963" t="s">
        <v>89</v>
      </c>
      <c r="L20" s="964">
        <v>0.025</v>
      </c>
      <c r="R20" s="954"/>
      <c r="S20" s="954"/>
      <c r="T20" s="954"/>
      <c r="U20" s="954"/>
      <c r="V20" s="954"/>
      <c r="W20" s="914"/>
      <c r="AD20" s="959"/>
    </row>
    <row r="21" spans="2:30" s="952" customFormat="1" ht="16.5" customHeight="1">
      <c r="B21" s="953"/>
      <c r="C21" s="954"/>
      <c r="D21" s="960" t="s">
        <v>422</v>
      </c>
      <c r="E21" s="965"/>
      <c r="F21" s="966">
        <v>148.761</v>
      </c>
      <c r="G21" s="967" t="s">
        <v>91</v>
      </c>
      <c r="H21" s="954"/>
      <c r="I21" s="954"/>
      <c r="J21" s="954"/>
      <c r="K21" s="955" t="s">
        <v>92</v>
      </c>
      <c r="L21" s="954">
        <f>MID(B14,16,2)*24</f>
        <v>720</v>
      </c>
      <c r="M21" s="954" t="s">
        <v>93</v>
      </c>
      <c r="N21" s="954"/>
      <c r="O21" s="968"/>
      <c r="P21" s="969"/>
      <c r="Q21" s="928"/>
      <c r="R21" s="954"/>
      <c r="S21" s="954"/>
      <c r="T21" s="954"/>
      <c r="U21" s="954"/>
      <c r="V21" s="954"/>
      <c r="W21" s="914"/>
      <c r="AD21" s="959"/>
    </row>
    <row r="22" spans="2:30" s="952" customFormat="1" ht="16.5" customHeight="1">
      <c r="B22" s="953"/>
      <c r="C22" s="954"/>
      <c r="D22" s="960" t="s">
        <v>421</v>
      </c>
      <c r="E22" s="965"/>
      <c r="F22" s="970">
        <v>20</v>
      </c>
      <c r="G22" s="967"/>
      <c r="H22" s="954"/>
      <c r="I22" s="954"/>
      <c r="J22" s="954"/>
      <c r="K22" s="955"/>
      <c r="L22" s="954"/>
      <c r="M22" s="954"/>
      <c r="N22" s="954"/>
      <c r="O22" s="968"/>
      <c r="P22" s="969"/>
      <c r="Q22" s="928"/>
      <c r="R22" s="954"/>
      <c r="S22" s="954"/>
      <c r="T22" s="954"/>
      <c r="U22" s="954"/>
      <c r="V22" s="954"/>
      <c r="W22" s="914"/>
      <c r="AD22" s="959"/>
    </row>
    <row r="23" spans="2:30" s="952" customFormat="1" ht="16.5" customHeight="1">
      <c r="B23" s="953"/>
      <c r="C23" s="954"/>
      <c r="D23" s="954"/>
      <c r="E23" s="971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14"/>
      <c r="AD23" s="959"/>
    </row>
    <row r="24" spans="1:30" ht="16.5" customHeight="1">
      <c r="A24" s="913"/>
      <c r="B24" s="927"/>
      <c r="C24" s="950" t="s">
        <v>94</v>
      </c>
      <c r="D24" s="972" t="s">
        <v>298</v>
      </c>
      <c r="I24" s="928"/>
      <c r="J24" s="952"/>
      <c r="O24" s="928"/>
      <c r="P24" s="928"/>
      <c r="Q24" s="928"/>
      <c r="R24" s="928"/>
      <c r="S24" s="928"/>
      <c r="T24" s="928"/>
      <c r="V24" s="928"/>
      <c r="X24" s="928"/>
      <c r="Y24" s="928"/>
      <c r="Z24" s="928"/>
      <c r="AA24" s="928"/>
      <c r="AB24" s="928"/>
      <c r="AC24" s="928"/>
      <c r="AD24" s="931"/>
    </row>
    <row r="25" spans="1:30" ht="10.5" customHeight="1" thickBot="1">
      <c r="A25" s="913"/>
      <c r="B25" s="927"/>
      <c r="C25" s="946"/>
      <c r="D25" s="972"/>
      <c r="I25" s="928"/>
      <c r="J25" s="952"/>
      <c r="O25" s="928"/>
      <c r="P25" s="928"/>
      <c r="Q25" s="928"/>
      <c r="R25" s="928"/>
      <c r="S25" s="928"/>
      <c r="T25" s="928"/>
      <c r="V25" s="928"/>
      <c r="X25" s="928"/>
      <c r="Y25" s="928"/>
      <c r="Z25" s="928"/>
      <c r="AA25" s="928"/>
      <c r="AB25" s="928"/>
      <c r="AC25" s="928"/>
      <c r="AD25" s="931"/>
    </row>
    <row r="26" spans="2:30" s="952" customFormat="1" ht="21" customHeight="1" thickBot="1" thickTop="1">
      <c r="B26" s="953"/>
      <c r="C26" s="957"/>
      <c r="D26" s="914"/>
      <c r="E26" s="914"/>
      <c r="F26" s="914"/>
      <c r="G26" s="914"/>
      <c r="H26" s="914"/>
      <c r="I26" s="914"/>
      <c r="J26" s="973" t="s">
        <v>95</v>
      </c>
      <c r="K26" s="974">
        <f>AC72*L20</f>
        <v>34947.728716</v>
      </c>
      <c r="L26" s="914"/>
      <c r="S26" s="914"/>
      <c r="T26" s="914"/>
      <c r="U26" s="914"/>
      <c r="W26" s="914"/>
      <c r="AD26" s="959"/>
    </row>
    <row r="27" spans="2:30" s="952" customFormat="1" ht="11.25" customHeight="1" thickTop="1">
      <c r="B27" s="953"/>
      <c r="C27" s="957"/>
      <c r="D27" s="954"/>
      <c r="E27" s="971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14"/>
      <c r="W27" s="914"/>
      <c r="AD27" s="959"/>
    </row>
    <row r="28" spans="1:30" ht="16.5" customHeight="1">
      <c r="A28" s="913"/>
      <c r="B28" s="927"/>
      <c r="C28" s="950" t="s">
        <v>96</v>
      </c>
      <c r="D28" s="972" t="s">
        <v>299</v>
      </c>
      <c r="E28" s="975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AD28" s="931"/>
    </row>
    <row r="29" spans="1:30" ht="21.75" customHeight="1" thickBot="1">
      <c r="A29" s="913"/>
      <c r="B29" s="927"/>
      <c r="C29" s="928"/>
      <c r="D29" s="928"/>
      <c r="E29" s="975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T29" s="928"/>
      <c r="U29" s="928"/>
      <c r="V29" s="928"/>
      <c r="AD29" s="931"/>
    </row>
    <row r="30" spans="2:31" s="913" customFormat="1" ht="33.75" customHeight="1" thickBot="1" thickTop="1">
      <c r="B30" s="927"/>
      <c r="C30" s="976" t="s">
        <v>26</v>
      </c>
      <c r="D30" s="272" t="s">
        <v>5</v>
      </c>
      <c r="E30" s="977" t="s">
        <v>29</v>
      </c>
      <c r="F30" s="978" t="s">
        <v>30</v>
      </c>
      <c r="G30" s="979" t="s">
        <v>31</v>
      </c>
      <c r="H30" s="980" t="s">
        <v>32</v>
      </c>
      <c r="I30" s="981" t="s">
        <v>33</v>
      </c>
      <c r="J30" s="982" t="s">
        <v>34</v>
      </c>
      <c r="K30" s="983" t="s">
        <v>35</v>
      </c>
      <c r="L30" s="984" t="s">
        <v>36</v>
      </c>
      <c r="M30" s="985" t="s">
        <v>37</v>
      </c>
      <c r="N30" s="984" t="s">
        <v>97</v>
      </c>
      <c r="O30" s="984" t="s">
        <v>38</v>
      </c>
      <c r="P30" s="983" t="s">
        <v>39</v>
      </c>
      <c r="Q30" s="982" t="s">
        <v>40</v>
      </c>
      <c r="R30" s="986" t="s">
        <v>41</v>
      </c>
      <c r="S30" s="987" t="s">
        <v>42</v>
      </c>
      <c r="T30" s="988" t="s">
        <v>50</v>
      </c>
      <c r="U30" s="989"/>
      <c r="V30" s="990"/>
      <c r="W30" s="991" t="s">
        <v>98</v>
      </c>
      <c r="X30" s="992"/>
      <c r="Y30" s="993"/>
      <c r="Z30" s="994" t="s">
        <v>45</v>
      </c>
      <c r="AA30" s="995" t="s">
        <v>99</v>
      </c>
      <c r="AB30" s="996" t="s">
        <v>47</v>
      </c>
      <c r="AC30" s="997" t="s">
        <v>48</v>
      </c>
      <c r="AD30" s="998"/>
      <c r="AE30" s="914"/>
    </row>
    <row r="31" spans="1:30" ht="16.5" customHeight="1" thickTop="1">
      <c r="A31" s="913"/>
      <c r="B31" s="927"/>
      <c r="C31" s="999"/>
      <c r="D31" s="1000"/>
      <c r="E31" s="1001"/>
      <c r="F31" s="1002"/>
      <c r="G31" s="1003"/>
      <c r="H31" s="1004"/>
      <c r="I31" s="1005"/>
      <c r="J31" s="1006"/>
      <c r="K31" s="1007"/>
      <c r="L31" s="999"/>
      <c r="M31" s="999"/>
      <c r="N31" s="1008"/>
      <c r="O31" s="1008"/>
      <c r="P31" s="999"/>
      <c r="Q31" s="1009"/>
      <c r="R31" s="1010"/>
      <c r="S31" s="1011"/>
      <c r="T31" s="1012"/>
      <c r="U31" s="1013"/>
      <c r="V31" s="1014"/>
      <c r="W31" s="1015"/>
      <c r="X31" s="1016"/>
      <c r="Y31" s="1017"/>
      <c r="Z31" s="1018"/>
      <c r="AA31" s="1019"/>
      <c r="AB31" s="1020"/>
      <c r="AC31" s="1021"/>
      <c r="AD31" s="931"/>
    </row>
    <row r="32" spans="1:30" ht="16.5" customHeight="1">
      <c r="A32" s="913"/>
      <c r="B32" s="927"/>
      <c r="C32" s="561" t="s">
        <v>100</v>
      </c>
      <c r="D32" s="195" t="s">
        <v>319</v>
      </c>
      <c r="E32" s="196">
        <v>500</v>
      </c>
      <c r="F32" s="197">
        <v>40</v>
      </c>
      <c r="G32" s="1022" t="s">
        <v>308</v>
      </c>
      <c r="H32" s="1023">
        <f>IF(G32="A",200,IF(G32="B",60,20))</f>
        <v>20</v>
      </c>
      <c r="I32" s="1024">
        <f>IF(F32&gt;100,F32,100)*$F$20/100</f>
        <v>272.761</v>
      </c>
      <c r="J32" s="175">
        <v>41382.32013888889</v>
      </c>
      <c r="K32" s="176">
        <v>41382.52222222222</v>
      </c>
      <c r="L32" s="1025">
        <f>IF(D32="","",(K32-J32)*24)</f>
        <v>4.849999999918509</v>
      </c>
      <c r="M32" s="1026">
        <f>IF(D32="","",ROUND((K32-J32)*24*60,0))</f>
        <v>291</v>
      </c>
      <c r="N32" s="1027" t="s">
        <v>309</v>
      </c>
      <c r="O32" s="1028" t="str">
        <f>IF(D32="","","--")</f>
        <v>--</v>
      </c>
      <c r="P32" s="1029" t="str">
        <f>IF(D32="","","NO")</f>
        <v>NO</v>
      </c>
      <c r="Q32" s="1029" t="str">
        <f>IF(D32="","",IF(OR(N32="P",N32="RP"),"--","NO"))</f>
        <v>--</v>
      </c>
      <c r="R32" s="1030">
        <f>IF(N32="P",+I32*H32*ROUND(M32/60,2)/100,"--")</f>
        <v>264.57817</v>
      </c>
      <c r="S32" s="1031" t="str">
        <f>IF(N32="RP",I32*H32*ROUND(M32/60,2)*0.01*O32/100,"--")</f>
        <v>--</v>
      </c>
      <c r="T32" s="1032" t="str">
        <f>IF(AND(N32="F",Q32="NO"),IF(P32="SI",1.2,1)*I32*H32,"--")</f>
        <v>--</v>
      </c>
      <c r="U32" s="1033" t="str">
        <f>IF(AND(M32&gt;10,N32="F"),IF(M32&lt;=300,ROUND(M32/60,2),5)*I32*H32*IF(P32="SI",1.2,1),"--")</f>
        <v>--</v>
      </c>
      <c r="V32" s="1034" t="str">
        <f>IF(AND(N32="F",M32&gt;300),IF(P32="SI",1.2,1)*(ROUND(M32/60,2)-5)*I32*H32*0.1,"--")</f>
        <v>--</v>
      </c>
      <c r="W32" s="1035" t="str">
        <f>IF(AND(N32="R",Q32="NO"),IF(P32="SI",1.2,1)*I32*H32*O32/100,"--")</f>
        <v>--</v>
      </c>
      <c r="X32" s="1036" t="str">
        <f>IF(AND(M32&gt;10,N32="R"),IF(M32&lt;=300,ROUND(M32/60,2),5)*I32*H32*O32/100*IF(P32="SI",1.2,1),"--")</f>
        <v>--</v>
      </c>
      <c r="Y32" s="1037" t="str">
        <f>IF(AND(N32="R",M32&gt;300),IF(P32="SI",1.2,1)*(ROUND(M32/60,2)-5)*I32*H32*O32/100*0.1,"--")</f>
        <v>--</v>
      </c>
      <c r="Z32" s="1038" t="str">
        <f>IF(N32="RF",IF(P32="SI",1.2,1)*ROUND(M32/60,2)*I32*H32*0.1,"--")</f>
        <v>--</v>
      </c>
      <c r="AA32" s="1039" t="str">
        <f>IF(N32="RR",IF(P32="SI",1.2,1)*ROUND(M32/60,2)*I32*H32*O32/100*0.1,"--")</f>
        <v>--</v>
      </c>
      <c r="AB32" s="1040" t="str">
        <f>IF(D32="","","SI")</f>
        <v>SI</v>
      </c>
      <c r="AC32" s="1041">
        <f>IF(D32="","",SUM(R32:AA32)*IF(AB32="SI",1,2))</f>
        <v>264.57817</v>
      </c>
      <c r="AD32" s="931"/>
    </row>
    <row r="33" spans="1:30" ht="16.5" customHeight="1">
      <c r="A33" s="913"/>
      <c r="B33" s="927"/>
      <c r="C33" s="561" t="s">
        <v>101</v>
      </c>
      <c r="D33" s="195"/>
      <c r="E33" s="196"/>
      <c r="F33" s="197"/>
      <c r="G33" s="1022"/>
      <c r="H33" s="1023">
        <f>IF(G33="A",200,IF(G33="B",60,20))</f>
        <v>20</v>
      </c>
      <c r="I33" s="1024">
        <f>IF(F33&gt;100,F33,100)*$F$20/100</f>
        <v>272.761</v>
      </c>
      <c r="J33" s="175"/>
      <c r="K33" s="176"/>
      <c r="L33" s="1025">
        <f>IF(D33="","",(K33-J33)*24)</f>
      </c>
      <c r="M33" s="1026">
        <f>IF(D33="","",ROUND((K33-J33)*24*60,0))</f>
      </c>
      <c r="N33" s="1027"/>
      <c r="O33" s="1028">
        <f>IF(D33="","","--")</f>
      </c>
      <c r="P33" s="1029">
        <f>IF(D33="","","NO")</f>
      </c>
      <c r="Q33" s="1029">
        <f>IF(D33="","",IF(OR(N33="P",N33="RP"),"--","NO"))</f>
      </c>
      <c r="R33" s="1030" t="str">
        <f>IF(N33="P",+I33*H33*ROUND(M33/60,2)/100,"--")</f>
        <v>--</v>
      </c>
      <c r="S33" s="1031" t="str">
        <f>IF(N33="RP",I33*H33*ROUND(M33/60,2)*0.01*O33/100,"--")</f>
        <v>--</v>
      </c>
      <c r="T33" s="1032" t="str">
        <f>IF(AND(N33="F",Q33="NO"),IF(P33="SI",1.2,1)*I33*H33,"--")</f>
        <v>--</v>
      </c>
      <c r="U33" s="1033" t="str">
        <f>IF(AND(M33&gt;10,N33="F"),IF(M33&lt;=300,ROUND(M33/60,2),5)*I33*H33*IF(P33="SI",1.2,1),"--")</f>
        <v>--</v>
      </c>
      <c r="V33" s="1034" t="str">
        <f>IF(AND(N33="F",M33&gt;300),IF(P33="SI",1.2,1)*(ROUND(M33/60,2)-5)*I33*H33*0.1,"--")</f>
        <v>--</v>
      </c>
      <c r="W33" s="1035" t="str">
        <f>IF(AND(N33="R",Q33="NO"),IF(P33="SI",1.2,1)*I33*H33*O33/100,"--")</f>
        <v>--</v>
      </c>
      <c r="X33" s="1036" t="str">
        <f>IF(AND(M33&gt;10,N33="R"),IF(M33&lt;=300,ROUND(M33/60,2),5)*I33*H33*O33/100*IF(P33="SI",1.2,1),"--")</f>
        <v>--</v>
      </c>
      <c r="Y33" s="1037" t="str">
        <f>IF(AND(N33="R",M33&gt;300),IF(P33="SI",1.2,1)*(ROUND(M33/60,2)-5)*I33*H33*O33/100*0.1,"--")</f>
        <v>--</v>
      </c>
      <c r="Z33" s="1038" t="str">
        <f>IF(N33="RF",IF(P33="SI",1.2,1)*ROUND(M33/60,2)*I33*H33*0.1,"--")</f>
        <v>--</v>
      </c>
      <c r="AA33" s="1039" t="str">
        <f>IF(N33="RR",IF(P33="SI",1.2,1)*ROUND(M33/60,2)*I33*H33*O33/100*0.1,"--")</f>
        <v>--</v>
      </c>
      <c r="AB33" s="1040">
        <f>IF(D33="","","SI")</f>
      </c>
      <c r="AC33" s="1041">
        <f>IF(D33="","",SUM(R33:AA33)*IF(AB33="SI",1,2))</f>
      </c>
      <c r="AD33" s="931"/>
    </row>
    <row r="34" spans="1:30" ht="16.5" customHeight="1">
      <c r="A34" s="913"/>
      <c r="B34" s="927"/>
      <c r="C34" s="563" t="s">
        <v>102</v>
      </c>
      <c r="D34" s="1042"/>
      <c r="E34" s="1043"/>
      <c r="F34" s="1044"/>
      <c r="G34" s="1022"/>
      <c r="H34" s="1023">
        <f>IF(G34="A",200,IF(G34="B",60,20))</f>
        <v>20</v>
      </c>
      <c r="I34" s="1024">
        <f>IF(F34&gt;100,F34,100)*$F$20/100</f>
        <v>272.761</v>
      </c>
      <c r="J34" s="198"/>
      <c r="K34" s="199"/>
      <c r="L34" s="1025">
        <f>IF(D34="","",(K34-J34)*24)</f>
      </c>
      <c r="M34" s="1026">
        <f>IF(D34="","",ROUND((K34-J34)*24*60,0))</f>
      </c>
      <c r="N34" s="1027"/>
      <c r="O34" s="1028">
        <f>IF(D34="","","--")</f>
      </c>
      <c r="P34" s="1029">
        <f>IF(D34="","","NO")</f>
      </c>
      <c r="Q34" s="1029">
        <f>IF(D34="","",IF(OR(N34="P",N34="RP"),"--","NO"))</f>
      </c>
      <c r="R34" s="1030" t="str">
        <f>IF(N34="P",+I34*H34*ROUND(M34/60,2)/100,"--")</f>
        <v>--</v>
      </c>
      <c r="S34" s="1031" t="str">
        <f>IF(N34="RP",I34*H34*ROUND(M34/60,2)*0.01*O34/100,"--")</f>
        <v>--</v>
      </c>
      <c r="T34" s="1032" t="str">
        <f>IF(AND(N34="F",Q34="NO"),IF(P34="SI",1.2,1)*I34*H34,"--")</f>
        <v>--</v>
      </c>
      <c r="U34" s="1033" t="str">
        <f>IF(AND(M34&gt;10,N34="F"),IF(M34&lt;=300,ROUND(M34/60,2),5)*I34*H34*IF(P34="SI",1.2,1),"--")</f>
        <v>--</v>
      </c>
      <c r="V34" s="1034" t="str">
        <f>IF(AND(N34="F",M34&gt;300),IF(P34="SI",1.2,1)*(ROUND(M34/60,2)-5)*I34*H34*0.1,"--")</f>
        <v>--</v>
      </c>
      <c r="W34" s="1035" t="str">
        <f>IF(AND(N34="R",Q34="NO"),IF(P34="SI",1.2,1)*I34*H34*O34/100,"--")</f>
        <v>--</v>
      </c>
      <c r="X34" s="1036" t="str">
        <f>IF(AND(M34&gt;10,N34="R"),IF(M34&lt;=300,ROUND(M34/60,2),5)*I34*H34*O34/100*IF(P34="SI",1.2,1),"--")</f>
        <v>--</v>
      </c>
      <c r="Y34" s="1037" t="str">
        <f>IF(AND(N34="R",M34&gt;300),IF(P34="SI",1.2,1)*(ROUND(M34/60,2)-5)*I34*H34*O34/100*0.1,"--")</f>
        <v>--</v>
      </c>
      <c r="Z34" s="1038" t="str">
        <f>IF(N34="RF",IF(P34="SI",1.2,1)*ROUND(M34/60,2)*I34*H34*0.1,"--")</f>
        <v>--</v>
      </c>
      <c r="AA34" s="1039" t="str">
        <f>IF(N34="RR",IF(P34="SI",1.2,1)*ROUND(M34/60,2)*I34*H34*O34/100*0.1,"--")</f>
        <v>--</v>
      </c>
      <c r="AB34" s="1040">
        <f>IF(D34="","","SI")</f>
      </c>
      <c r="AC34" s="1041">
        <f>IF(D34="","",SUM(R34:AA34)*IF(AB34="SI",1,2))</f>
      </c>
      <c r="AD34" s="931"/>
    </row>
    <row r="35" spans="1:30" ht="16.5" customHeight="1">
      <c r="A35" s="913"/>
      <c r="B35" s="927"/>
      <c r="C35" s="563" t="s">
        <v>103</v>
      </c>
      <c r="D35" s="1042"/>
      <c r="E35" s="1043"/>
      <c r="F35" s="1044"/>
      <c r="G35" s="1022"/>
      <c r="H35" s="1023">
        <f>IF(G35="A",200,IF(G35="B",60,20))</f>
        <v>20</v>
      </c>
      <c r="I35" s="1024">
        <f>IF(F35&gt;100,F35,100)*$F$20/100</f>
        <v>272.761</v>
      </c>
      <c r="J35" s="198"/>
      <c r="K35" s="199"/>
      <c r="L35" s="1025">
        <f>IF(D35="","",(K35-J35)*24)</f>
      </c>
      <c r="M35" s="1026">
        <f>IF(D35="","",ROUND((K35-J35)*24*60,0))</f>
      </c>
      <c r="N35" s="1027"/>
      <c r="O35" s="1028">
        <f>IF(D35="","","--")</f>
      </c>
      <c r="P35" s="1029">
        <f>IF(D35="","","NO")</f>
      </c>
      <c r="Q35" s="1029">
        <f>IF(D35="","",IF(OR(N35="P",N35="RP"),"--","NO"))</f>
      </c>
      <c r="R35" s="1030" t="str">
        <f>IF(N35="P",+I35*H35*ROUND(M35/60,2)/100,"--")</f>
        <v>--</v>
      </c>
      <c r="S35" s="1031" t="str">
        <f>IF(N35="RP",I35*H35*ROUND(M35/60,2)*0.01*O35/100,"--")</f>
        <v>--</v>
      </c>
      <c r="T35" s="1032" t="str">
        <f>IF(AND(N35="F",Q35="NO"),IF(P35="SI",1.2,1)*I35*H35,"--")</f>
        <v>--</v>
      </c>
      <c r="U35" s="1033" t="str">
        <f>IF(AND(M35&gt;10,N35="F"),IF(M35&lt;=300,ROUND(M35/60,2),5)*I35*H35*IF(P35="SI",1.2,1),"--")</f>
        <v>--</v>
      </c>
      <c r="V35" s="1034" t="str">
        <f>IF(AND(N35="F",M35&gt;300),IF(P35="SI",1.2,1)*(ROUND(M35/60,2)-5)*I35*H35*0.1,"--")</f>
        <v>--</v>
      </c>
      <c r="W35" s="1035" t="str">
        <f>IF(AND(N35="R",Q35="NO"),IF(P35="SI",1.2,1)*I35*H35*O35/100,"--")</f>
        <v>--</v>
      </c>
      <c r="X35" s="1036" t="str">
        <f>IF(AND(M35&gt;10,N35="R"),IF(M35&lt;=300,ROUND(M35/60,2),5)*I35*H35*O35/100*IF(P35="SI",1.2,1),"--")</f>
        <v>--</v>
      </c>
      <c r="Y35" s="1037" t="str">
        <f>IF(AND(N35="R",M35&gt;300),IF(P35="SI",1.2,1)*(ROUND(M35/60,2)-5)*I35*H35*O35/100*0.1,"--")</f>
        <v>--</v>
      </c>
      <c r="Z35" s="1038" t="str">
        <f>IF(N35="RF",IF(P35="SI",1.2,1)*ROUND(M35/60,2)*I35*H35*0.1,"--")</f>
        <v>--</v>
      </c>
      <c r="AA35" s="1039" t="str">
        <f>IF(N35="RR",IF(P35="SI",1.2,1)*ROUND(M35/60,2)*I35*H35*O35/100*0.1,"--")</f>
        <v>--</v>
      </c>
      <c r="AB35" s="1040">
        <f>IF(D35="","","SI")</f>
      </c>
      <c r="AC35" s="1041">
        <f>IF(D35="","",SUM(R35:AA35)*IF(AB35="SI",1,2))</f>
      </c>
      <c r="AD35" s="931"/>
    </row>
    <row r="36" spans="1:30" ht="16.5" customHeight="1" thickBot="1">
      <c r="A36" s="952"/>
      <c r="B36" s="927"/>
      <c r="C36" s="1045"/>
      <c r="D36" s="1046"/>
      <c r="E36" s="1047"/>
      <c r="F36" s="1048"/>
      <c r="G36" s="1049"/>
      <c r="H36" s="1050"/>
      <c r="I36" s="1051"/>
      <c r="J36" s="1052"/>
      <c r="K36" s="1052"/>
      <c r="L36" s="1053"/>
      <c r="M36" s="1053"/>
      <c r="N36" s="1053"/>
      <c r="O36" s="1054"/>
      <c r="P36" s="1053"/>
      <c r="Q36" s="1053"/>
      <c r="R36" s="1055"/>
      <c r="S36" s="1056"/>
      <c r="T36" s="1057"/>
      <c r="U36" s="1058"/>
      <c r="V36" s="1059"/>
      <c r="W36" s="1060"/>
      <c r="X36" s="1061"/>
      <c r="Y36" s="1062"/>
      <c r="Z36" s="1063"/>
      <c r="AA36" s="1064"/>
      <c r="AB36" s="1065"/>
      <c r="AC36" s="1066"/>
      <c r="AD36" s="1067"/>
    </row>
    <row r="37" spans="1:30" ht="17.25" thickBot="1" thickTop="1">
      <c r="A37" s="952"/>
      <c r="B37" s="927"/>
      <c r="C37" s="957"/>
      <c r="D37" s="957"/>
      <c r="E37" s="1068"/>
      <c r="F37" s="971"/>
      <c r="G37" s="1069"/>
      <c r="H37" s="1069"/>
      <c r="I37" s="1070"/>
      <c r="J37" s="1070"/>
      <c r="K37" s="1070"/>
      <c r="L37" s="1070"/>
      <c r="M37" s="1070"/>
      <c r="N37" s="1070"/>
      <c r="O37" s="1071"/>
      <c r="P37" s="1070"/>
      <c r="Q37" s="1070"/>
      <c r="R37" s="1072">
        <f aca="true" t="shared" si="0" ref="R37:AA37">SUM(R31:R36)</f>
        <v>264.57817</v>
      </c>
      <c r="S37" s="1073">
        <f t="shared" si="0"/>
        <v>0</v>
      </c>
      <c r="T37" s="1074">
        <f t="shared" si="0"/>
        <v>0</v>
      </c>
      <c r="U37" s="1074">
        <f t="shared" si="0"/>
        <v>0</v>
      </c>
      <c r="V37" s="1074">
        <f t="shared" si="0"/>
        <v>0</v>
      </c>
      <c r="W37" s="1075">
        <f t="shared" si="0"/>
        <v>0</v>
      </c>
      <c r="X37" s="1075">
        <f t="shared" si="0"/>
        <v>0</v>
      </c>
      <c r="Y37" s="1075">
        <f t="shared" si="0"/>
        <v>0</v>
      </c>
      <c r="Z37" s="1076">
        <f t="shared" si="0"/>
        <v>0</v>
      </c>
      <c r="AA37" s="1077">
        <f t="shared" si="0"/>
        <v>0</v>
      </c>
      <c r="AB37" s="1078"/>
      <c r="AC37" s="1079">
        <f>SUM(AC31:AC36)</f>
        <v>264.57817</v>
      </c>
      <c r="AD37" s="1067"/>
    </row>
    <row r="38" spans="1:30" ht="17.25" thickBot="1" thickTop="1">
      <c r="A38" s="952"/>
      <c r="B38" s="927"/>
      <c r="C38" s="1080"/>
      <c r="D38" s="1081"/>
      <c r="G38" s="1082"/>
      <c r="H38" s="1083"/>
      <c r="I38" s="1084"/>
      <c r="J38" s="1084"/>
      <c r="L38" s="1070"/>
      <c r="M38" s="1070"/>
      <c r="N38" s="1070"/>
      <c r="O38" s="1071"/>
      <c r="P38" s="1070"/>
      <c r="Q38" s="1070"/>
      <c r="R38" s="1085"/>
      <c r="S38" s="1086"/>
      <c r="T38" s="1087"/>
      <c r="U38" s="1087"/>
      <c r="V38" s="1087"/>
      <c r="W38" s="1085"/>
      <c r="X38" s="1085"/>
      <c r="Y38" s="1085"/>
      <c r="Z38" s="1085"/>
      <c r="AA38" s="1085"/>
      <c r="AB38" s="1088"/>
      <c r="AC38" s="1089"/>
      <c r="AD38" s="1067"/>
    </row>
    <row r="39" spans="1:33" s="913" customFormat="1" ht="52.5" thickBot="1" thickTop="1">
      <c r="A39" s="912"/>
      <c r="B39" s="1090"/>
      <c r="C39" s="663" t="s">
        <v>26</v>
      </c>
      <c r="D39" s="664" t="s">
        <v>56</v>
      </c>
      <c r="E39" s="665" t="s">
        <v>57</v>
      </c>
      <c r="F39" s="1576" t="s">
        <v>29</v>
      </c>
      <c r="G39" s="1577"/>
      <c r="H39" s="668" t="s">
        <v>33</v>
      </c>
      <c r="I39" s="669"/>
      <c r="J39" s="665" t="s">
        <v>34</v>
      </c>
      <c r="K39" s="665" t="s">
        <v>35</v>
      </c>
      <c r="L39" s="664" t="s">
        <v>59</v>
      </c>
      <c r="M39" s="664" t="s">
        <v>37</v>
      </c>
      <c r="N39" s="670" t="s">
        <v>105</v>
      </c>
      <c r="O39" s="1564" t="s">
        <v>40</v>
      </c>
      <c r="P39" s="1565"/>
      <c r="Q39" s="1566"/>
      <c r="R39" s="764" t="s">
        <v>32</v>
      </c>
      <c r="S39" s="765" t="s">
        <v>69</v>
      </c>
      <c r="T39" s="766" t="s">
        <v>70</v>
      </c>
      <c r="U39" s="767"/>
      <c r="V39" s="768" t="s">
        <v>45</v>
      </c>
      <c r="W39" s="678"/>
      <c r="X39" s="678"/>
      <c r="Y39" s="678"/>
      <c r="Z39" s="678"/>
      <c r="AA39" s="679"/>
      <c r="AB39" s="680" t="s">
        <v>47</v>
      </c>
      <c r="AC39" s="667" t="s">
        <v>48</v>
      </c>
      <c r="AD39" s="931"/>
      <c r="AF39" s="914"/>
      <c r="AG39" s="914"/>
    </row>
    <row r="40" spans="1:30" ht="15.75" thickTop="1">
      <c r="A40" s="913"/>
      <c r="B40" s="927"/>
      <c r="C40" s="681"/>
      <c r="D40" s="682"/>
      <c r="E40" s="682"/>
      <c r="F40" s="1567"/>
      <c r="G40" s="1569"/>
      <c r="H40" s="684"/>
      <c r="I40" s="685"/>
      <c r="J40" s="682"/>
      <c r="K40" s="682"/>
      <c r="L40" s="682"/>
      <c r="M40" s="682"/>
      <c r="N40" s="682"/>
      <c r="O40" s="1567"/>
      <c r="P40" s="1568"/>
      <c r="Q40" s="1569"/>
      <c r="R40" s="769"/>
      <c r="S40" s="770"/>
      <c r="T40" s="771"/>
      <c r="U40" s="772"/>
      <c r="V40" s="773"/>
      <c r="W40" s="695"/>
      <c r="X40" s="695"/>
      <c r="Y40" s="695"/>
      <c r="Z40" s="695"/>
      <c r="AA40" s="696"/>
      <c r="AB40" s="686"/>
      <c r="AC40" s="697"/>
      <c r="AD40" s="931"/>
    </row>
    <row r="41" spans="1:30" ht="15">
      <c r="A41" s="913"/>
      <c r="B41" s="927"/>
      <c r="C41" s="563" t="s">
        <v>100</v>
      </c>
      <c r="D41" s="698"/>
      <c r="E41" s="698"/>
      <c r="F41" s="1559"/>
      <c r="G41" s="1560"/>
      <c r="H41" s="701">
        <f>IF(F41=500,$F$20,0)</f>
        <v>0</v>
      </c>
      <c r="I41" s="702"/>
      <c r="J41" s="774"/>
      <c r="K41" s="775"/>
      <c r="L41" s="703">
        <f>IF(D41="","",(K41-J41)*24)</f>
      </c>
      <c r="M41" s="704">
        <f>IF(D41="","",(K41-J41)*24*60)</f>
      </c>
      <c r="N41" s="705"/>
      <c r="O41" s="1570">
        <f>IF(D41="","",IF(N41="P","--","NO"))</f>
      </c>
      <c r="P41" s="1571"/>
      <c r="Q41" s="1572"/>
      <c r="R41" s="769">
        <f>IF(F41=500,200,IF(F41=132,40,100))</f>
        <v>100</v>
      </c>
      <c r="S41" s="776" t="str">
        <f>IF(N41="P",H41*R41*ROUND(M41/60,2)*0.1,"--")</f>
        <v>--</v>
      </c>
      <c r="T41" s="777" t="str">
        <f>IF(AND(N41="F",O41="NO"),H41*R41,"--")</f>
        <v>--</v>
      </c>
      <c r="U41" s="778" t="str">
        <f>IF(N41="F",H41*R41*ROUND(M41/60,2),"--")</f>
        <v>--</v>
      </c>
      <c r="V41" s="713" t="str">
        <f>IF(N41="RF",H41*R41*ROUND(M41/60,2),"--")</f>
        <v>--</v>
      </c>
      <c r="W41" s="715"/>
      <c r="X41" s="715"/>
      <c r="Y41" s="715"/>
      <c r="Z41" s="715"/>
      <c r="AA41" s="716"/>
      <c r="AB41" s="717">
        <f>IF(D41="","","SI")</f>
      </c>
      <c r="AC41" s="779">
        <f>IF(D41="","",SUM(S41:V41)*IF(AB41="SI",1,2))</f>
      </c>
      <c r="AD41" s="1067"/>
    </row>
    <row r="42" spans="1:30" ht="15">
      <c r="A42" s="913"/>
      <c r="B42" s="927"/>
      <c r="C42" s="561" t="s">
        <v>101</v>
      </c>
      <c r="D42" s="780"/>
      <c r="E42" s="781"/>
      <c r="F42" s="1559"/>
      <c r="G42" s="1560"/>
      <c r="H42" s="701">
        <f>IF(F42=500,$F$20,0)</f>
        <v>0</v>
      </c>
      <c r="I42" s="702"/>
      <c r="J42" s="782"/>
      <c r="K42" s="782"/>
      <c r="L42" s="703">
        <f>IF(D42="","",(K42-J42)*24)</f>
      </c>
      <c r="M42" s="704">
        <f>IF(D42="","",(K42-J42)*24*60)</f>
      </c>
      <c r="N42" s="705"/>
      <c r="O42" s="1570">
        <f>IF(D42="","",IF(N42="P","--","NO"))</f>
      </c>
      <c r="P42" s="1571"/>
      <c r="Q42" s="1572"/>
      <c r="R42" s="769">
        <f>IF(F42=500,200,IF(F42=132,40,0))</f>
        <v>0</v>
      </c>
      <c r="S42" s="776" t="str">
        <f>IF(N42="P",H42*R42*ROUND(M42/60,2)*0.1,"--")</f>
        <v>--</v>
      </c>
      <c r="T42" s="777" t="str">
        <f>IF(AND(N42="F",O42="NO"),H42*R42,"--")</f>
        <v>--</v>
      </c>
      <c r="U42" s="778" t="str">
        <f>IF(N42="F",H42*R42*ROUND(M42/60,2),"--")</f>
        <v>--</v>
      </c>
      <c r="V42" s="713" t="str">
        <f>IF(N42="RF",H42*R42*ROUND(M42/60,2),"--")</f>
        <v>--</v>
      </c>
      <c r="W42" s="715"/>
      <c r="X42" s="715"/>
      <c r="Y42" s="715"/>
      <c r="Z42" s="715"/>
      <c r="AA42" s="716"/>
      <c r="AB42" s="717">
        <f>IF(D42="","","SI")</f>
      </c>
      <c r="AC42" s="779">
        <f>IF(D42="","",SUM(S42:V42)*IF(AB42="SI",1,2))</f>
      </c>
      <c r="AD42" s="1067"/>
    </row>
    <row r="43" spans="1:30" ht="15">
      <c r="A43" s="913"/>
      <c r="B43" s="927"/>
      <c r="C43" s="561" t="s">
        <v>102</v>
      </c>
      <c r="D43" s="780"/>
      <c r="E43" s="781"/>
      <c r="F43" s="1559"/>
      <c r="G43" s="1560"/>
      <c r="H43" s="701">
        <f>IF(F43=500,$F$20,0)</f>
        <v>0</v>
      </c>
      <c r="I43" s="702"/>
      <c r="J43" s="782"/>
      <c r="K43" s="782"/>
      <c r="L43" s="703">
        <f>IF(D43="","",(K43-J43)*24)</f>
      </c>
      <c r="M43" s="704">
        <f>IF(D43="","",(K43-J43)*24*60)</f>
      </c>
      <c r="N43" s="705"/>
      <c r="O43" s="1570">
        <f>IF(D43="","",IF(N43="P","--","NO"))</f>
      </c>
      <c r="P43" s="1571"/>
      <c r="Q43" s="1572"/>
      <c r="R43" s="769">
        <f>IF(F43=500,200,IF(F43=132,40,0))</f>
        <v>0</v>
      </c>
      <c r="S43" s="776" t="str">
        <f>IF(N43="P",H43*R43*ROUND(M43/60,2)*0.1,"--")</f>
        <v>--</v>
      </c>
      <c r="T43" s="777" t="str">
        <f>IF(AND(N43="F",O43="NO"),H43*R43,"--")</f>
        <v>--</v>
      </c>
      <c r="U43" s="778" t="str">
        <f>IF(N43="F",H43*R43*ROUND(M43/60,2),"--")</f>
        <v>--</v>
      </c>
      <c r="V43" s="713" t="str">
        <f>IF(N43="RF",H43*R43*ROUND(M43/60,2),"--")</f>
        <v>--</v>
      </c>
      <c r="W43" s="715"/>
      <c r="X43" s="715"/>
      <c r="Y43" s="715"/>
      <c r="Z43" s="715"/>
      <c r="AA43" s="716"/>
      <c r="AB43" s="717">
        <f>IF(D43="","","SI")</f>
      </c>
      <c r="AC43" s="779">
        <f>IF(D43="","",SUM(S43:V43)*IF(AB43="SI",1,2))</f>
      </c>
      <c r="AD43" s="1067"/>
    </row>
    <row r="44" spans="1:30" ht="15.75" thickBot="1">
      <c r="A44" s="913"/>
      <c r="B44" s="927"/>
      <c r="C44" s="719"/>
      <c r="D44" s="720"/>
      <c r="E44" s="721"/>
      <c r="F44" s="1561"/>
      <c r="G44" s="1562"/>
      <c r="H44" s="724"/>
      <c r="I44" s="725"/>
      <c r="J44" s="726"/>
      <c r="K44" s="727"/>
      <c r="L44" s="728"/>
      <c r="M44" s="729"/>
      <c r="N44" s="730"/>
      <c r="O44" s="1573"/>
      <c r="P44" s="1574"/>
      <c r="Q44" s="1575"/>
      <c r="R44" s="769"/>
      <c r="S44" s="776"/>
      <c r="T44" s="777"/>
      <c r="U44" s="778"/>
      <c r="V44" s="713"/>
      <c r="W44" s="740"/>
      <c r="X44" s="740"/>
      <c r="Y44" s="740"/>
      <c r="Z44" s="740"/>
      <c r="AA44" s="741"/>
      <c r="AB44" s="742"/>
      <c r="AC44" s="779">
        <f>IF(D44="","",SUM(S44:V44)*IF(AB44="SI",1,2))</f>
      </c>
      <c r="AD44" s="1067"/>
    </row>
    <row r="45" spans="1:30" ht="17.25" thickBot="1" thickTop="1">
      <c r="A45" s="952"/>
      <c r="B45" s="927"/>
      <c r="C45" s="744"/>
      <c r="D45" s="651"/>
      <c r="E45" s="651"/>
      <c r="F45" s="745"/>
      <c r="G45" s="746"/>
      <c r="H45" s="751"/>
      <c r="I45" s="761"/>
      <c r="J45" s="762"/>
      <c r="K45" s="749"/>
      <c r="L45" s="750"/>
      <c r="M45" s="751"/>
      <c r="N45" s="783"/>
      <c r="O45" s="752"/>
      <c r="P45" s="784"/>
      <c r="Q45" s="785"/>
      <c r="R45" s="786"/>
      <c r="S45" s="786"/>
      <c r="T45" s="786"/>
      <c r="U45" s="759"/>
      <c r="V45" s="759"/>
      <c r="W45" s="759"/>
      <c r="X45" s="759"/>
      <c r="Y45" s="759"/>
      <c r="Z45" s="759"/>
      <c r="AA45" s="759"/>
      <c r="AB45" s="1225"/>
      <c r="AC45" s="787">
        <f>SUM(AC40:AC44)</f>
        <v>0</v>
      </c>
      <c r="AD45" s="1067"/>
    </row>
    <row r="46" spans="1:30" ht="16.5" thickTop="1">
      <c r="A46" s="952"/>
      <c r="B46" s="927"/>
      <c r="C46" s="1115"/>
      <c r="D46" s="975"/>
      <c r="E46" s="975"/>
      <c r="F46" s="1116"/>
      <c r="G46" s="1117"/>
      <c r="H46" s="1118"/>
      <c r="I46" s="1119"/>
      <c r="J46" s="1120"/>
      <c r="K46" s="1121"/>
      <c r="L46" s="1122"/>
      <c r="M46" s="1118"/>
      <c r="N46" s="1123"/>
      <c r="O46" s="1124"/>
      <c r="P46" s="1125"/>
      <c r="Q46" s="1161"/>
      <c r="R46" s="1165"/>
      <c r="S46" s="1165"/>
      <c r="T46" s="1165"/>
      <c r="U46" s="1162"/>
      <c r="V46" s="1162"/>
      <c r="W46" s="1162"/>
      <c r="X46" s="1162"/>
      <c r="Y46" s="1162"/>
      <c r="Z46" s="1162"/>
      <c r="AA46" s="1162"/>
      <c r="AB46" s="1162"/>
      <c r="AC46" s="1226"/>
      <c r="AD46" s="1067"/>
    </row>
    <row r="47" spans="1:30" ht="16.5" thickBot="1">
      <c r="A47" s="952"/>
      <c r="B47" s="927"/>
      <c r="C47" s="1115"/>
      <c r="D47" s="928"/>
      <c r="E47" s="1115"/>
      <c r="F47" s="928"/>
      <c r="G47" s="1115"/>
      <c r="H47" s="928"/>
      <c r="I47" s="1115"/>
      <c r="J47" s="928"/>
      <c r="K47" s="1115"/>
      <c r="L47" s="928"/>
      <c r="M47" s="1115"/>
      <c r="N47" s="928"/>
      <c r="O47" s="1115"/>
      <c r="P47" s="928"/>
      <c r="Q47" s="1115"/>
      <c r="R47" s="928"/>
      <c r="S47" s="1115"/>
      <c r="T47" s="928"/>
      <c r="U47" s="1115"/>
      <c r="V47" s="928"/>
      <c r="W47" s="1115"/>
      <c r="X47" s="928"/>
      <c r="Y47" s="1115"/>
      <c r="Z47" s="928"/>
      <c r="AA47" s="1115"/>
      <c r="AB47" s="928"/>
      <c r="AC47" s="1115"/>
      <c r="AD47" s="1067"/>
    </row>
    <row r="48" spans="1:33" s="913" customFormat="1" ht="31.5" customHeight="1" thickBot="1" thickTop="1">
      <c r="A48" s="912"/>
      <c r="B48" s="1090"/>
      <c r="C48" s="1091" t="s">
        <v>26</v>
      </c>
      <c r="D48" s="1092" t="s">
        <v>56</v>
      </c>
      <c r="E48" s="982" t="s">
        <v>57</v>
      </c>
      <c r="F48" s="1553" t="s">
        <v>76</v>
      </c>
      <c r="G48" s="1554"/>
      <c r="H48" s="1093" t="s">
        <v>33</v>
      </c>
      <c r="I48" s="1129"/>
      <c r="J48" s="982" t="s">
        <v>34</v>
      </c>
      <c r="K48" s="982" t="s">
        <v>35</v>
      </c>
      <c r="L48" s="985" t="s">
        <v>36</v>
      </c>
      <c r="M48" s="985" t="s">
        <v>37</v>
      </c>
      <c r="N48" s="984" t="s">
        <v>296</v>
      </c>
      <c r="O48" s="984" t="s">
        <v>38</v>
      </c>
      <c r="P48" s="1555" t="s">
        <v>40</v>
      </c>
      <c r="Q48" s="1556"/>
      <c r="R48" s="1131" t="s">
        <v>32</v>
      </c>
      <c r="S48" s="1132" t="s">
        <v>69</v>
      </c>
      <c r="T48" s="1133" t="s">
        <v>77</v>
      </c>
      <c r="U48" s="1134"/>
      <c r="V48" s="1135" t="s">
        <v>78</v>
      </c>
      <c r="W48" s="1136"/>
      <c r="X48" s="1137" t="s">
        <v>45</v>
      </c>
      <c r="Y48" s="1138" t="s">
        <v>42</v>
      </c>
      <c r="Z48" s="1129"/>
      <c r="AA48" s="1129"/>
      <c r="AB48" s="1094" t="s">
        <v>47</v>
      </c>
      <c r="AC48" s="1139" t="s">
        <v>48</v>
      </c>
      <c r="AD48" s="931"/>
      <c r="AF48" s="914"/>
      <c r="AG48" s="914"/>
    </row>
    <row r="49" spans="1:30" ht="15.75" thickTop="1">
      <c r="A49" s="913"/>
      <c r="B49" s="927"/>
      <c r="C49" s="1095"/>
      <c r="D49" s="1095"/>
      <c r="E49" s="1095"/>
      <c r="F49" s="1557"/>
      <c r="G49" s="1558"/>
      <c r="H49" s="1096"/>
      <c r="I49" s="1096"/>
      <c r="J49" s="1095"/>
      <c r="K49" s="1095"/>
      <c r="L49" s="1095"/>
      <c r="M49" s="1095"/>
      <c r="N49" s="1140"/>
      <c r="O49" s="1028">
        <f aca="true" t="shared" si="1" ref="O49:O54">IF(D49="","","--")</f>
      </c>
      <c r="P49" s="1141"/>
      <c r="Q49" s="1142"/>
      <c r="R49" s="1097"/>
      <c r="S49" s="1097"/>
      <c r="T49" s="1097"/>
      <c r="U49" s="1097"/>
      <c r="V49" s="1097"/>
      <c r="W49" s="1097"/>
      <c r="X49" s="1097"/>
      <c r="Y49" s="1097"/>
      <c r="Z49" s="1097"/>
      <c r="AA49" s="1098"/>
      <c r="AB49" s="1102">
        <f aca="true" t="shared" si="2" ref="AB49:AB54">IF(D49="","","SI")</f>
      </c>
      <c r="AC49" s="1099"/>
      <c r="AD49" s="931"/>
    </row>
    <row r="50" spans="1:30" ht="15">
      <c r="A50" s="913"/>
      <c r="B50" s="927"/>
      <c r="C50" s="561" t="s">
        <v>100</v>
      </c>
      <c r="D50" s="1143"/>
      <c r="E50" s="1144"/>
      <c r="F50" s="1549"/>
      <c r="G50" s="1550"/>
      <c r="H50" s="1145">
        <f>F50*$F$21</f>
        <v>0</v>
      </c>
      <c r="I50" s="1129"/>
      <c r="J50" s="467"/>
      <c r="K50" s="205"/>
      <c r="L50" s="1146">
        <f>IF(D50="","",(K50-J50)*24)</f>
      </c>
      <c r="M50" s="1026">
        <f>IF(D50="","",ROUND((K50-J50)*24*60,0))</f>
      </c>
      <c r="N50" s="1147"/>
      <c r="O50" s="1028">
        <f t="shared" si="1"/>
      </c>
      <c r="P50" s="1551">
        <f>IF(D50="","",IF(OR(N50="P",N50="RP"),"--","NO"))</f>
      </c>
      <c r="Q50" s="1552"/>
      <c r="R50" s="1148">
        <f>IF(OR(N50="P",N50="RP"),$F$22/10,$F$22)</f>
        <v>20</v>
      </c>
      <c r="S50" s="1149" t="str">
        <f>IF(N50="P",H50*R50*ROUND(M50/60,2),"--")</f>
        <v>--</v>
      </c>
      <c r="T50" s="1150" t="str">
        <f>IF(AND(N50="F",P50="NO"),H50*R50,"--")</f>
        <v>--</v>
      </c>
      <c r="U50" s="1151" t="str">
        <f>IF(N50="F",H50*R50*ROUND(M50/60,2),"--")</f>
        <v>--</v>
      </c>
      <c r="V50" s="1152" t="str">
        <f>IF(AND(N50="R",P50="NO"),H50*R50*O50/100,"--")</f>
        <v>--</v>
      </c>
      <c r="W50" s="1153" t="str">
        <f>IF(N50="R",H50*R50*O50/100*ROUND(M50/60,2),"--")</f>
        <v>--</v>
      </c>
      <c r="X50" s="1154" t="str">
        <f>IF(N50="RF",H50*R50*ROUND(M50/60,2),"--")</f>
        <v>--</v>
      </c>
      <c r="Y50" s="1155" t="str">
        <f>IF(N50="RP",H50*R50*O50/100*ROUND(M50/60,2),"--")</f>
        <v>--</v>
      </c>
      <c r="Z50" s="1129"/>
      <c r="AA50" s="1129"/>
      <c r="AB50" s="1029">
        <f t="shared" si="2"/>
      </c>
      <c r="AC50" s="1156">
        <f>IF(D50="","",SUM(S50:Y50)*IF(AB50="SI",1,2)*IF(AND(O50&lt;&gt;"--",N50="RF"),O50/100,1))</f>
      </c>
      <c r="AD50" s="1067"/>
    </row>
    <row r="51" spans="2:30" s="952" customFormat="1" ht="16.5" customHeight="1">
      <c r="B51" s="953"/>
      <c r="C51" s="561" t="s">
        <v>101</v>
      </c>
      <c r="D51" s="1143"/>
      <c r="E51" s="1144"/>
      <c r="F51" s="1549"/>
      <c r="G51" s="1550"/>
      <c r="H51" s="1145">
        <f>F51*$F$21</f>
        <v>0</v>
      </c>
      <c r="I51" s="1129"/>
      <c r="J51" s="1100"/>
      <c r="K51" s="1101"/>
      <c r="L51" s="1146">
        <f>IF(D51="","",(K51-J51)*24)</f>
      </c>
      <c r="M51" s="1026">
        <f>IF(D51="","",ROUND((K51-J51)*24*60,0))</f>
      </c>
      <c r="N51" s="1147"/>
      <c r="O51" s="1028">
        <f t="shared" si="1"/>
      </c>
      <c r="P51" s="1551">
        <f>IF(D51="","",IF(OR(N51="P",N51="RP"),"--","NO"))</f>
      </c>
      <c r="Q51" s="1552"/>
      <c r="R51" s="1148">
        <f>IF(OR(N51="P",N51="RP"),$F$22/10,$F$22)</f>
        <v>20</v>
      </c>
      <c r="S51" s="1149" t="str">
        <f>IF(N51="P",H51*R51*ROUND(M51/60,2),"--")</f>
        <v>--</v>
      </c>
      <c r="T51" s="1150" t="str">
        <f>IF(AND(N51="F",P51="NO"),H51*R51,"--")</f>
        <v>--</v>
      </c>
      <c r="U51" s="1151" t="str">
        <f>IF(N51="F",H51*R51*ROUND(M51/60,2),"--")</f>
        <v>--</v>
      </c>
      <c r="V51" s="1152" t="str">
        <f>IF(AND(N51="R",P51="NO"),H51*R51*O51/100,"--")</f>
        <v>--</v>
      </c>
      <c r="W51" s="1153" t="str">
        <f>IF(N51="R",H51*R51*O51/100*ROUND(M51/60,2),"--")</f>
        <v>--</v>
      </c>
      <c r="X51" s="1154" t="str">
        <f>IF(N51="RF",H51*R51*ROUND(M51/60,2),"--")</f>
        <v>--</v>
      </c>
      <c r="Y51" s="1155" t="str">
        <f>IF(N51="RP",H51*R51*O51/100*ROUND(M51/60,2),"--")</f>
        <v>--</v>
      </c>
      <c r="Z51" s="1129"/>
      <c r="AA51" s="1129"/>
      <c r="AB51" s="1029">
        <f t="shared" si="2"/>
      </c>
      <c r="AC51" s="1156">
        <f>IF(D51="","",SUM(S51:Y51)*IF(AB51="SI",1,2)*IF(AND(O51&lt;&gt;"--",N51="RF"),O51/100,1))</f>
      </c>
      <c r="AD51" s="1157"/>
    </row>
    <row r="52" spans="1:30" ht="15">
      <c r="A52" s="913"/>
      <c r="B52" s="927"/>
      <c r="C52" s="561" t="s">
        <v>102</v>
      </c>
      <c r="D52" s="1143"/>
      <c r="E52" s="1144"/>
      <c r="F52" s="1549"/>
      <c r="G52" s="1550"/>
      <c r="H52" s="1145">
        <f>F52*$F$21</f>
        <v>0</v>
      </c>
      <c r="I52" s="1129"/>
      <c r="J52" s="1100"/>
      <c r="K52" s="1101"/>
      <c r="L52" s="1146">
        <f>IF(D52="","",(K52-J52)*24)</f>
      </c>
      <c r="M52" s="1026">
        <f>IF(D52="","",ROUND((K52-J52)*24*60,0))</f>
      </c>
      <c r="N52" s="1147"/>
      <c r="O52" s="1028">
        <f t="shared" si="1"/>
      </c>
      <c r="P52" s="1551">
        <f>IF(D52="","",IF(OR(N52="P",N52="RP"),"--","NO"))</f>
      </c>
      <c r="Q52" s="1552"/>
      <c r="R52" s="1148">
        <f>IF(OR(N52="P",N52="RP"),$F$22/10,$F$22)</f>
        <v>20</v>
      </c>
      <c r="S52" s="1149" t="str">
        <f>IF(N52="P",H52*R52*ROUND(M52/60,2),"--")</f>
        <v>--</v>
      </c>
      <c r="T52" s="1150" t="str">
        <f>IF(AND(N52="F",P52="NO"),H52*R52,"--")</f>
        <v>--</v>
      </c>
      <c r="U52" s="1151" t="str">
        <f>IF(N52="F",H52*R52*ROUND(M52/60,2),"--")</f>
        <v>--</v>
      </c>
      <c r="V52" s="1152" t="str">
        <f>IF(AND(N52="R",P52="NO"),H52*R52*O52/100,"--")</f>
        <v>--</v>
      </c>
      <c r="W52" s="1153" t="str">
        <f>IF(N52="R",H52*R52*O52/100*ROUND(M52/60,2),"--")</f>
        <v>--</v>
      </c>
      <c r="X52" s="1154" t="str">
        <f>IF(N52="RF",H52*R52*ROUND(M52/60,2),"--")</f>
        <v>--</v>
      </c>
      <c r="Y52" s="1155" t="str">
        <f>IF(N52="RP",H52*R52*O52/100*ROUND(M52/60,2),"--")</f>
        <v>--</v>
      </c>
      <c r="Z52" s="1129"/>
      <c r="AA52" s="1129"/>
      <c r="AB52" s="1029">
        <f t="shared" si="2"/>
      </c>
      <c r="AC52" s="1156">
        <f>IF(D52="","",SUM(S52:Y52)*IF(AB52="SI",1,2)*IF(AND(O52&lt;&gt;"--",N52="RF"),O52/100,1))</f>
      </c>
      <c r="AD52" s="1067"/>
    </row>
    <row r="53" spans="1:30" ht="15">
      <c r="A53" s="913"/>
      <c r="B53" s="927"/>
      <c r="C53" s="561" t="s">
        <v>103</v>
      </c>
      <c r="D53" s="1143"/>
      <c r="E53" s="1144"/>
      <c r="F53" s="1549"/>
      <c r="G53" s="1550"/>
      <c r="H53" s="1145">
        <f>F53*$F$21</f>
        <v>0</v>
      </c>
      <c r="I53" s="1129"/>
      <c r="J53" s="1100"/>
      <c r="K53" s="1101"/>
      <c r="L53" s="1146">
        <f>IF(D53="","",(K53-J53)*24)</f>
      </c>
      <c r="M53" s="1026">
        <f>IF(D53="","",ROUND((K53-J53)*24*60,0))</f>
      </c>
      <c r="N53" s="1147"/>
      <c r="O53" s="1028">
        <f t="shared" si="1"/>
      </c>
      <c r="P53" s="1551">
        <f>IF(D53="","",IF(OR(N53="P",N53="RP"),"--","NO"))</f>
      </c>
      <c r="Q53" s="1552"/>
      <c r="R53" s="1148">
        <f>IF(OR(N53="P",N53="RP"),$F$22/10,$F$22)</f>
        <v>20</v>
      </c>
      <c r="S53" s="1149" t="str">
        <f>IF(N53="P",H53*R53*ROUND(M53/60,2),"--")</f>
        <v>--</v>
      </c>
      <c r="T53" s="1150" t="str">
        <f>IF(AND(N53="F",P53="NO"),H53*R53,"--")</f>
        <v>--</v>
      </c>
      <c r="U53" s="1151" t="str">
        <f>IF(N53="F",H53*R53*ROUND(M53/60,2),"--")</f>
        <v>--</v>
      </c>
      <c r="V53" s="1152" t="str">
        <f>IF(AND(N53="R",P53="NO"),H53*R53*O53/100,"--")</f>
        <v>--</v>
      </c>
      <c r="W53" s="1153" t="str">
        <f>IF(N53="R",H53*R53*O53/100*ROUND(M53/60,2),"--")</f>
        <v>--</v>
      </c>
      <c r="X53" s="1154" t="str">
        <f>IF(N53="RF",H53*R53*ROUND(M53/60,2),"--")</f>
        <v>--</v>
      </c>
      <c r="Y53" s="1155" t="str">
        <f>IF(N53="RP",H53*R53*O53/100*ROUND(M53/60,2),"--")</f>
        <v>--</v>
      </c>
      <c r="Z53" s="1129"/>
      <c r="AA53" s="1129"/>
      <c r="AB53" s="1029">
        <f t="shared" si="2"/>
      </c>
      <c r="AC53" s="1156">
        <f>IF(D53="","",SUM(S53:Y53)*IF(AB53="SI",1,2)*IF(AND(O53&lt;&gt;"--",N53="RF"),O53/100,1))</f>
      </c>
      <c r="AD53" s="1067"/>
    </row>
    <row r="54" spans="1:30" ht="15">
      <c r="A54" s="913"/>
      <c r="B54" s="927"/>
      <c r="C54" s="561" t="s">
        <v>104</v>
      </c>
      <c r="D54" s="1143"/>
      <c r="E54" s="1144"/>
      <c r="F54" s="1549"/>
      <c r="G54" s="1550"/>
      <c r="H54" s="1145">
        <f>F54*$F$21</f>
        <v>0</v>
      </c>
      <c r="I54" s="1129"/>
      <c r="J54" s="1100"/>
      <c r="K54" s="1101"/>
      <c r="L54" s="1146">
        <f>IF(D54="","",(K54-J54)*24)</f>
      </c>
      <c r="M54" s="1026">
        <f>IF(D54="","",ROUND((K54-J54)*24*60,0))</f>
      </c>
      <c r="N54" s="1147"/>
      <c r="O54" s="1028">
        <f t="shared" si="1"/>
      </c>
      <c r="P54" s="1551">
        <f>IF(D54="","",IF(OR(N54="P",N54="RP"),"--","NO"))</f>
      </c>
      <c r="Q54" s="1552"/>
      <c r="R54" s="1148">
        <f>IF(OR(N54="P",N54="RP"),$F$22/10,$F$22)</f>
        <v>20</v>
      </c>
      <c r="S54" s="1149" t="str">
        <f>IF(N54="P",H54*R54*ROUND(M54/60,2),"--")</f>
        <v>--</v>
      </c>
      <c r="T54" s="1150" t="str">
        <f>IF(AND(N54="F",P54="NO"),H54*R54,"--")</f>
        <v>--</v>
      </c>
      <c r="U54" s="1151" t="str">
        <f>IF(N54="F",H54*R54*ROUND(M54/60,2),"--")</f>
        <v>--</v>
      </c>
      <c r="V54" s="1152" t="str">
        <f>IF(AND(N54="R",P54="NO"),H54*R54*O54/100,"--")</f>
        <v>--</v>
      </c>
      <c r="W54" s="1153" t="str">
        <f>IF(N54="R",H54*R54*O54/100*ROUND(M54/60,2),"--")</f>
        <v>--</v>
      </c>
      <c r="X54" s="1154" t="str">
        <f>IF(N54="RF",H54*R54*ROUND(M54/60,2),"--")</f>
        <v>--</v>
      </c>
      <c r="Y54" s="1155" t="str">
        <f>IF(N54="RP",H54*R54*O54/100*ROUND(M54/60,2),"--")</f>
        <v>--</v>
      </c>
      <c r="Z54" s="1129"/>
      <c r="AA54" s="1129"/>
      <c r="AB54" s="1029">
        <f t="shared" si="2"/>
      </c>
      <c r="AC54" s="1156">
        <f>IF(D54="","",SUM(S54:Y54)*IF(AB54="SI",1,2)*IF(AND(O54&lt;&gt;"--",N54="RF"),O54/100,1))</f>
      </c>
      <c r="AD54" s="1067"/>
    </row>
    <row r="55" spans="1:30" ht="16.5" thickBot="1">
      <c r="A55" s="952"/>
      <c r="B55" s="927"/>
      <c r="C55" s="1103"/>
      <c r="D55" s="1104"/>
      <c r="E55" s="1105"/>
      <c r="F55" s="1547"/>
      <c r="G55" s="1548"/>
      <c r="H55" s="1106"/>
      <c r="I55" s="1106"/>
      <c r="J55" s="1107"/>
      <c r="K55" s="1108"/>
      <c r="L55" s="1109"/>
      <c r="M55" s="1110"/>
      <c r="N55" s="1158"/>
      <c r="O55" s="1158"/>
      <c r="P55" s="1159"/>
      <c r="Q55" s="1160"/>
      <c r="R55" s="1111"/>
      <c r="S55" s="1111"/>
      <c r="T55" s="1111"/>
      <c r="U55" s="1111"/>
      <c r="V55" s="1111"/>
      <c r="W55" s="1111"/>
      <c r="X55" s="1111"/>
      <c r="Y55" s="1111"/>
      <c r="Z55" s="1111"/>
      <c r="AA55" s="1112"/>
      <c r="AB55" s="1113"/>
      <c r="AC55" s="1114"/>
      <c r="AD55" s="1067"/>
    </row>
    <row r="56" spans="1:30" ht="17.25" thickBot="1" thickTop="1">
      <c r="A56" s="952"/>
      <c r="B56" s="927"/>
      <c r="C56" s="1115"/>
      <c r="D56" s="975"/>
      <c r="E56" s="975"/>
      <c r="F56" s="1116"/>
      <c r="G56" s="1117"/>
      <c r="H56" s="1118"/>
      <c r="I56" s="1119"/>
      <c r="J56" s="1120"/>
      <c r="K56" s="1121"/>
      <c r="L56" s="1122"/>
      <c r="M56" s="1118"/>
      <c r="N56" s="1123"/>
      <c r="O56" s="1124"/>
      <c r="P56" s="1125"/>
      <c r="Q56" s="1161"/>
      <c r="R56" s="1126"/>
      <c r="S56" s="1126"/>
      <c r="T56" s="1126"/>
      <c r="U56" s="1127"/>
      <c r="V56" s="1127"/>
      <c r="W56" s="1127"/>
      <c r="X56" s="1127"/>
      <c r="Y56" s="1127"/>
      <c r="Z56" s="1127"/>
      <c r="AA56" s="1127"/>
      <c r="AB56" s="1162"/>
      <c r="AC56" s="1128">
        <f>SUM(AC49:AC55)</f>
        <v>0</v>
      </c>
      <c r="AD56" s="1067"/>
    </row>
    <row r="57" spans="1:30" ht="20.25" thickBot="1" thickTop="1">
      <c r="A57" s="952"/>
      <c r="B57" s="927"/>
      <c r="C57" s="1115"/>
      <c r="D57" s="975"/>
      <c r="E57" s="975"/>
      <c r="F57" s="1116"/>
      <c r="G57" s="1117"/>
      <c r="H57" s="1118"/>
      <c r="I57" s="1119"/>
      <c r="J57" s="973" t="s">
        <v>108</v>
      </c>
      <c r="K57" s="974">
        <f>AC37+AC46+AC56</f>
        <v>264.57817</v>
      </c>
      <c r="L57" s="1122"/>
      <c r="M57" s="1118"/>
      <c r="N57" s="1163"/>
      <c r="O57" s="1164"/>
      <c r="P57" s="1125"/>
      <c r="Q57" s="1161"/>
      <c r="R57" s="1165"/>
      <c r="S57" s="1165"/>
      <c r="T57" s="1165"/>
      <c r="U57" s="1162"/>
      <c r="V57" s="1162"/>
      <c r="W57" s="1162"/>
      <c r="X57" s="1162"/>
      <c r="Y57" s="1162"/>
      <c r="Z57" s="1162"/>
      <c r="AA57" s="1162"/>
      <c r="AB57" s="1162"/>
      <c r="AC57" s="1166"/>
      <c r="AD57" s="1067"/>
    </row>
    <row r="58" spans="1:30" ht="13.5" customHeight="1" thickTop="1">
      <c r="A58" s="952"/>
      <c r="B58" s="953"/>
      <c r="C58" s="957"/>
      <c r="D58" s="1167"/>
      <c r="E58" s="1168"/>
      <c r="F58" s="1169"/>
      <c r="G58" s="1170"/>
      <c r="H58" s="1170"/>
      <c r="I58" s="1168"/>
      <c r="J58" s="1171"/>
      <c r="K58" s="1171"/>
      <c r="L58" s="1168"/>
      <c r="M58" s="1168"/>
      <c r="N58" s="1168"/>
      <c r="O58" s="1172"/>
      <c r="P58" s="1168"/>
      <c r="Q58" s="1168"/>
      <c r="R58" s="1173"/>
      <c r="S58" s="1174"/>
      <c r="T58" s="1174"/>
      <c r="U58" s="1175"/>
      <c r="AC58" s="1175"/>
      <c r="AD58" s="1157"/>
    </row>
    <row r="59" spans="1:30" ht="16.5" customHeight="1">
      <c r="A59" s="952"/>
      <c r="B59" s="953"/>
      <c r="C59" s="1176" t="s">
        <v>109</v>
      </c>
      <c r="D59" s="1177" t="s">
        <v>300</v>
      </c>
      <c r="E59" s="1168"/>
      <c r="F59" s="1169"/>
      <c r="G59" s="1170"/>
      <c r="H59" s="1170"/>
      <c r="I59" s="1168"/>
      <c r="J59" s="1171"/>
      <c r="K59" s="1171"/>
      <c r="L59" s="1168"/>
      <c r="M59" s="1168"/>
      <c r="N59" s="1168"/>
      <c r="O59" s="1172"/>
      <c r="P59" s="1168"/>
      <c r="Q59" s="1168"/>
      <c r="R59" s="1173"/>
      <c r="S59" s="1174"/>
      <c r="T59" s="1174"/>
      <c r="U59" s="1175"/>
      <c r="AC59" s="1175"/>
      <c r="AD59" s="1157"/>
    </row>
    <row r="60" spans="1:30" ht="16.5" customHeight="1">
      <c r="A60" s="952"/>
      <c r="B60" s="953"/>
      <c r="C60" s="1176"/>
      <c r="D60" s="1167"/>
      <c r="E60" s="1168"/>
      <c r="F60" s="1169"/>
      <c r="G60" s="1170"/>
      <c r="H60" s="1170"/>
      <c r="I60" s="1168"/>
      <c r="J60" s="1171"/>
      <c r="K60" s="1171"/>
      <c r="L60" s="1168"/>
      <c r="M60" s="1168"/>
      <c r="N60" s="1168"/>
      <c r="O60" s="1172"/>
      <c r="P60" s="1168"/>
      <c r="Q60" s="1168"/>
      <c r="R60" s="1168"/>
      <c r="S60" s="1173"/>
      <c r="T60" s="1174"/>
      <c r="AD60" s="1157"/>
    </row>
    <row r="61" spans="2:30" s="952" customFormat="1" ht="16.5" customHeight="1">
      <c r="B61" s="953"/>
      <c r="C61" s="957"/>
      <c r="D61" s="1178" t="s">
        <v>5</v>
      </c>
      <c r="E61" s="1070" t="s">
        <v>110</v>
      </c>
      <c r="F61" s="1070" t="s">
        <v>111</v>
      </c>
      <c r="G61" s="1179" t="s">
        <v>301</v>
      </c>
      <c r="H61" s="1071"/>
      <c r="I61" s="1070"/>
      <c r="J61" s="914"/>
      <c r="K61" s="1180" t="s">
        <v>302</v>
      </c>
      <c r="L61" s="914"/>
      <c r="M61" s="914"/>
      <c r="O61" s="1180" t="s">
        <v>303</v>
      </c>
      <c r="P61" s="1181"/>
      <c r="Q61" s="1182"/>
      <c r="R61" s="1183"/>
      <c r="S61" s="954"/>
      <c r="T61" s="914"/>
      <c r="U61" s="914"/>
      <c r="V61" s="914"/>
      <c r="W61" s="914"/>
      <c r="X61" s="954"/>
      <c r="Y61" s="954"/>
      <c r="Z61" s="954"/>
      <c r="AA61" s="954"/>
      <c r="AB61" s="954"/>
      <c r="AC61" s="1184" t="s">
        <v>304</v>
      </c>
      <c r="AD61" s="1157"/>
    </row>
    <row r="62" spans="2:30" s="952" customFormat="1" ht="16.5" customHeight="1">
      <c r="B62" s="953"/>
      <c r="C62" s="957"/>
      <c r="D62" s="1070" t="s">
        <v>112</v>
      </c>
      <c r="E62" s="1185">
        <v>267</v>
      </c>
      <c r="F62" s="1186">
        <v>500</v>
      </c>
      <c r="G62" s="1187">
        <f>E62*$F$20*$L$21/100</f>
        <v>524355.7464000001</v>
      </c>
      <c r="H62" s="1187"/>
      <c r="I62" s="1187"/>
      <c r="J62" s="942"/>
      <c r="K62" s="1188">
        <v>887950</v>
      </c>
      <c r="L62" s="942"/>
      <c r="M62" s="562" t="str">
        <f>"(DTE "&amp;DATO!$G$14&amp;DATO!$H$14&amp;")"</f>
        <v>(DTE 0413)</v>
      </c>
      <c r="R62" s="1183"/>
      <c r="S62" s="954"/>
      <c r="T62" s="914"/>
      <c r="U62" s="914"/>
      <c r="V62" s="914"/>
      <c r="W62" s="914"/>
      <c r="X62" s="954"/>
      <c r="Y62" s="954"/>
      <c r="Z62" s="954"/>
      <c r="AA62" s="954"/>
      <c r="AB62" s="1189"/>
      <c r="AC62" s="967">
        <f>K62+G62</f>
        <v>1412305.7464</v>
      </c>
      <c r="AD62" s="1157"/>
    </row>
    <row r="63" spans="2:30" s="952" customFormat="1" ht="16.5" customHeight="1">
      <c r="B63" s="953"/>
      <c r="C63" s="957"/>
      <c r="D63" s="1070" t="s">
        <v>113</v>
      </c>
      <c r="E63" s="1185">
        <f>3*3.6</f>
        <v>10.8</v>
      </c>
      <c r="F63" s="1186">
        <v>500</v>
      </c>
      <c r="G63" s="1187">
        <f>E63*$F$20*$L$21/100</f>
        <v>21209.895360000002</v>
      </c>
      <c r="H63" s="1190"/>
      <c r="I63" s="1191"/>
      <c r="J63" s="942"/>
      <c r="K63" s="1187">
        <v>45528</v>
      </c>
      <c r="L63" s="942"/>
      <c r="M63" s="562" t="str">
        <f>"(DTE "&amp;DATO!$G$14&amp;DATO!$H$14&amp;")"</f>
        <v>(DTE 0413)</v>
      </c>
      <c r="O63" s="1192"/>
      <c r="P63" s="914"/>
      <c r="Q63" s="1183"/>
      <c r="R63" s="1183"/>
      <c r="S63" s="954"/>
      <c r="T63" s="914"/>
      <c r="U63" s="914"/>
      <c r="V63" s="914"/>
      <c r="W63" s="914"/>
      <c r="X63" s="954"/>
      <c r="Y63" s="954"/>
      <c r="Z63" s="954"/>
      <c r="AA63" s="954"/>
      <c r="AB63" s="954"/>
      <c r="AC63" s="967">
        <f>K63+G63</f>
        <v>66737.89536</v>
      </c>
      <c r="AD63" s="1157"/>
    </row>
    <row r="64" spans="2:30" s="952" customFormat="1" ht="16.5" customHeight="1">
      <c r="B64" s="953"/>
      <c r="C64" s="957"/>
      <c r="E64" s="962"/>
      <c r="F64" s="1070"/>
      <c r="G64" s="1071"/>
      <c r="H64" s="914"/>
      <c r="I64" s="1070"/>
      <c r="J64" s="1070"/>
      <c r="K64" s="914"/>
      <c r="L64" s="967"/>
      <c r="M64" s="1182"/>
      <c r="N64" s="1182"/>
      <c r="O64" s="1188">
        <v>0</v>
      </c>
      <c r="P64" s="942"/>
      <c r="Q64" s="562" t="str">
        <f>"(DTE "&amp;DATO!$G$14&amp;DATO!$H$14&amp;")"</f>
        <v>(DTE 0413)</v>
      </c>
      <c r="R64" s="1183"/>
      <c r="S64" s="954"/>
      <c r="T64" s="914"/>
      <c r="U64" s="914"/>
      <c r="V64" s="914"/>
      <c r="W64" s="914"/>
      <c r="X64" s="954"/>
      <c r="Y64" s="954"/>
      <c r="Z64" s="954"/>
      <c r="AA64" s="954"/>
      <c r="AB64" s="954"/>
      <c r="AC64" s="967">
        <f>+O64</f>
        <v>0</v>
      </c>
      <c r="AD64" s="1157"/>
    </row>
    <row r="65" spans="2:30" s="952" customFormat="1" ht="16.5" customHeight="1">
      <c r="B65" s="953"/>
      <c r="C65" s="957"/>
      <c r="E65" s="962"/>
      <c r="F65" s="1070"/>
      <c r="G65" s="1071"/>
      <c r="H65" s="914"/>
      <c r="I65" s="1070"/>
      <c r="J65" s="1070"/>
      <c r="K65" s="914"/>
      <c r="L65" s="967"/>
      <c r="M65" s="1182"/>
      <c r="N65" s="1182"/>
      <c r="O65" s="1188"/>
      <c r="P65" s="942"/>
      <c r="Q65" s="562"/>
      <c r="R65" s="1183"/>
      <c r="S65" s="954"/>
      <c r="T65" s="914"/>
      <c r="U65" s="914"/>
      <c r="V65" s="914"/>
      <c r="W65" s="914"/>
      <c r="X65" s="954"/>
      <c r="Y65" s="954"/>
      <c r="Z65" s="954"/>
      <c r="AA65" s="954"/>
      <c r="AB65" s="954"/>
      <c r="AC65" s="967"/>
      <c r="AD65" s="1157"/>
    </row>
    <row r="66" spans="2:30" s="952" customFormat="1" ht="16.5" customHeight="1">
      <c r="B66" s="953"/>
      <c r="C66" s="957"/>
      <c r="D66" s="645" t="s">
        <v>120</v>
      </c>
      <c r="E66" s="866" t="s">
        <v>121</v>
      </c>
      <c r="F66" s="866"/>
      <c r="G66" s="654" t="s">
        <v>111</v>
      </c>
      <c r="H66" s="592"/>
      <c r="I66" s="872"/>
      <c r="J66" s="871" t="s">
        <v>306</v>
      </c>
      <c r="K66" s="914"/>
      <c r="L66" s="967"/>
      <c r="M66" s="1182"/>
      <c r="N66" s="1182"/>
      <c r="O66" s="1188"/>
      <c r="P66" s="942"/>
      <c r="Q66" s="562"/>
      <c r="R66" s="1183"/>
      <c r="S66" s="954"/>
      <c r="T66" s="914"/>
      <c r="U66" s="914"/>
      <c r="V66" s="914"/>
      <c r="W66" s="914"/>
      <c r="X66" s="954"/>
      <c r="Y66" s="954"/>
      <c r="Z66" s="954"/>
      <c r="AA66" s="954"/>
      <c r="AB66" s="954"/>
      <c r="AC66" s="967"/>
      <c r="AD66" s="1157"/>
    </row>
    <row r="67" spans="2:30" s="952" customFormat="1" ht="16.5" customHeight="1">
      <c r="B67" s="953"/>
      <c r="C67" s="957"/>
      <c r="D67" s="654" t="s">
        <v>423</v>
      </c>
      <c r="E67" s="1563" t="s">
        <v>425</v>
      </c>
      <c r="F67" s="1563"/>
      <c r="G67" s="864"/>
      <c r="H67" s="621"/>
      <c r="I67" s="621"/>
      <c r="J67" s="865">
        <f>2*$F$21*$L$21</f>
        <v>214215.84</v>
      </c>
      <c r="K67" s="914"/>
      <c r="L67" s="967"/>
      <c r="M67" s="1182"/>
      <c r="N67" s="1182"/>
      <c r="O67" s="1188"/>
      <c r="P67" s="942"/>
      <c r="Q67" s="562"/>
      <c r="R67" s="1183"/>
      <c r="S67" s="954"/>
      <c r="T67" s="914"/>
      <c r="U67" s="914"/>
      <c r="V67" s="914"/>
      <c r="W67" s="914"/>
      <c r="X67" s="954"/>
      <c r="Y67" s="954"/>
      <c r="Z67" s="954"/>
      <c r="AA67" s="954"/>
      <c r="AB67" s="954"/>
      <c r="AC67" s="967">
        <f>J67</f>
        <v>214215.84</v>
      </c>
      <c r="AD67" s="1157"/>
    </row>
    <row r="68" spans="2:30" s="952" customFormat="1" ht="16.5" customHeight="1">
      <c r="B68" s="953"/>
      <c r="C68" s="957"/>
      <c r="D68" s="654" t="s">
        <v>424</v>
      </c>
      <c r="E68" s="1563" t="s">
        <v>426</v>
      </c>
      <c r="F68" s="1563"/>
      <c r="G68" s="864"/>
      <c r="H68" s="621"/>
      <c r="I68" s="621"/>
      <c r="J68" s="865">
        <f>3*$F$21*$L$21</f>
        <v>321323.76</v>
      </c>
      <c r="K68" s="914"/>
      <c r="L68" s="967"/>
      <c r="M68" s="1182"/>
      <c r="N68" s="1182"/>
      <c r="O68" s="1188"/>
      <c r="P68" s="942"/>
      <c r="Q68" s="562"/>
      <c r="R68" s="1183"/>
      <c r="S68" s="954"/>
      <c r="T68" s="914"/>
      <c r="U68" s="914"/>
      <c r="V68" s="914"/>
      <c r="W68" s="914"/>
      <c r="X68" s="954"/>
      <c r="Y68" s="954"/>
      <c r="Z68" s="954"/>
      <c r="AA68" s="954"/>
      <c r="AB68" s="954"/>
      <c r="AC68" s="1193">
        <f>J68</f>
        <v>321323.76</v>
      </c>
      <c r="AD68" s="1157"/>
    </row>
    <row r="69" spans="2:30" s="952" customFormat="1" ht="10.5" customHeight="1" thickBot="1">
      <c r="B69" s="953"/>
      <c r="C69" s="957"/>
      <c r="E69" s="962"/>
      <c r="F69" s="1070"/>
      <c r="G69" s="1071"/>
      <c r="H69" s="914"/>
      <c r="I69" s="1070"/>
      <c r="J69" s="1070"/>
      <c r="K69" s="914"/>
      <c r="L69" s="967"/>
      <c r="M69" s="1182"/>
      <c r="N69" s="1182"/>
      <c r="O69" s="1188"/>
      <c r="P69" s="942"/>
      <c r="Q69" s="1194"/>
      <c r="R69" s="1183"/>
      <c r="S69" s="954"/>
      <c r="T69" s="914"/>
      <c r="U69" s="914"/>
      <c r="V69" s="914"/>
      <c r="W69" s="914"/>
      <c r="X69" s="954"/>
      <c r="Y69" s="954"/>
      <c r="Z69" s="954"/>
      <c r="AA69" s="954"/>
      <c r="AB69" s="954"/>
      <c r="AC69" s="967"/>
      <c r="AD69" s="1157"/>
    </row>
    <row r="70" spans="1:30" ht="21" customHeight="1" thickBot="1" thickTop="1">
      <c r="A70" s="952"/>
      <c r="B70" s="953"/>
      <c r="C70" s="957"/>
      <c r="D70" s="1171"/>
      <c r="E70" s="962"/>
      <c r="F70" s="1070"/>
      <c r="G70" s="1070"/>
      <c r="H70" s="1071"/>
      <c r="J70" s="1070"/>
      <c r="L70" s="1195"/>
      <c r="M70" s="1182"/>
      <c r="N70" s="1182"/>
      <c r="O70" s="1183"/>
      <c r="P70" s="1183"/>
      <c r="Q70" s="1183"/>
      <c r="R70" s="1183"/>
      <c r="S70" s="1183"/>
      <c r="AB70" s="1196" t="s">
        <v>123</v>
      </c>
      <c r="AC70" s="1197">
        <f>SUM(AC62:AC68)</f>
        <v>2014583.2417600001</v>
      </c>
      <c r="AD70" s="1157"/>
    </row>
    <row r="71" spans="1:30" ht="16.5" customHeight="1" thickBot="1" thickTop="1">
      <c r="A71" s="952"/>
      <c r="B71" s="953"/>
      <c r="C71" s="957"/>
      <c r="D71" s="1171"/>
      <c r="E71" s="962"/>
      <c r="F71" s="1070"/>
      <c r="G71" s="1070"/>
      <c r="H71" s="1071"/>
      <c r="J71" s="1070"/>
      <c r="L71" s="1195"/>
      <c r="M71" s="1182"/>
      <c r="N71" s="1182"/>
      <c r="O71" s="1183"/>
      <c r="P71" s="1183"/>
      <c r="Q71" s="1183"/>
      <c r="R71" s="1183"/>
      <c r="S71" s="1183"/>
      <c r="AC71" s="956"/>
      <c r="AD71" s="1157"/>
    </row>
    <row r="72" spans="1:30" ht="21" customHeight="1" thickBot="1" thickTop="1">
      <c r="A72" s="952"/>
      <c r="B72" s="953"/>
      <c r="C72" s="957"/>
      <c r="D72" s="1171"/>
      <c r="E72" s="962"/>
      <c r="F72" s="1070"/>
      <c r="G72" s="1070"/>
      <c r="H72" s="1071"/>
      <c r="J72" s="1070"/>
      <c r="L72" s="1195"/>
      <c r="M72" s="1182"/>
      <c r="N72" s="1182"/>
      <c r="O72" s="1183"/>
      <c r="P72" s="1183"/>
      <c r="Q72" s="1183"/>
      <c r="R72" s="1183"/>
      <c r="S72" s="1183"/>
      <c r="AB72" s="1196" t="s">
        <v>377</v>
      </c>
      <c r="AC72" s="1197">
        <v>1397909.1486399998</v>
      </c>
      <c r="AD72" s="1157"/>
    </row>
    <row r="73" spans="2:30" ht="16.5" customHeight="1" thickTop="1">
      <c r="B73" s="953"/>
      <c r="C73" s="1176" t="s">
        <v>114</v>
      </c>
      <c r="D73" s="1198" t="s">
        <v>115</v>
      </c>
      <c r="E73" s="1070"/>
      <c r="F73" s="1199"/>
      <c r="G73" s="1069"/>
      <c r="H73" s="1171"/>
      <c r="I73" s="1171"/>
      <c r="J73" s="1171"/>
      <c r="K73" s="1070"/>
      <c r="L73" s="1070"/>
      <c r="M73" s="1171"/>
      <c r="N73" s="1070"/>
      <c r="O73" s="1171"/>
      <c r="P73" s="1171"/>
      <c r="Q73" s="1171"/>
      <c r="R73" s="1171"/>
      <c r="S73" s="1171"/>
      <c r="T73" s="1171"/>
      <c r="U73" s="1171"/>
      <c r="AC73" s="1171"/>
      <c r="AD73" s="1157"/>
    </row>
    <row r="74" spans="2:30" s="952" customFormat="1" ht="16.5" customHeight="1">
      <c r="B74" s="953"/>
      <c r="C74" s="957"/>
      <c r="D74" s="1178" t="s">
        <v>116</v>
      </c>
      <c r="E74" s="1200">
        <f>10*K57*K26/AC70</f>
        <v>45.897364366328155</v>
      </c>
      <c r="G74" s="1069"/>
      <c r="L74" s="1070"/>
      <c r="N74" s="1070"/>
      <c r="O74" s="1071"/>
      <c r="V74" s="914"/>
      <c r="W74" s="914"/>
      <c r="AD74" s="1157"/>
    </row>
    <row r="75" spans="2:30" s="952" customFormat="1" ht="16.5" customHeight="1">
      <c r="B75" s="953"/>
      <c r="C75" s="957"/>
      <c r="E75" s="1201"/>
      <c r="F75" s="971"/>
      <c r="G75" s="1069"/>
      <c r="J75" s="1069"/>
      <c r="K75" s="1089"/>
      <c r="L75" s="1070"/>
      <c r="M75" s="1070"/>
      <c r="N75" s="1070"/>
      <c r="O75" s="1071"/>
      <c r="P75" s="1070"/>
      <c r="Q75" s="1070"/>
      <c r="R75" s="1088"/>
      <c r="S75" s="1088"/>
      <c r="T75" s="1088"/>
      <c r="U75" s="1202"/>
      <c r="V75" s="914"/>
      <c r="W75" s="914"/>
      <c r="AC75" s="1202"/>
      <c r="AD75" s="1157"/>
    </row>
    <row r="76" spans="2:30" ht="16.5" customHeight="1">
      <c r="B76" s="953"/>
      <c r="C76" s="957"/>
      <c r="D76" s="1203" t="s">
        <v>117</v>
      </c>
      <c r="E76" s="1204"/>
      <c r="F76" s="971"/>
      <c r="G76" s="1069"/>
      <c r="H76" s="1171"/>
      <c r="I76" s="1171"/>
      <c r="N76" s="1070"/>
      <c r="O76" s="1071"/>
      <c r="P76" s="1070"/>
      <c r="Q76" s="1070"/>
      <c r="R76" s="1181"/>
      <c r="S76" s="1181"/>
      <c r="T76" s="1181"/>
      <c r="U76" s="1182"/>
      <c r="AC76" s="1182"/>
      <c r="AD76" s="1157"/>
    </row>
    <row r="77" spans="2:30" ht="16.5" customHeight="1" thickBot="1">
      <c r="B77" s="953"/>
      <c r="C77" s="957"/>
      <c r="D77" s="1203"/>
      <c r="E77" s="1204"/>
      <c r="F77" s="971"/>
      <c r="G77" s="1069"/>
      <c r="H77" s="1171"/>
      <c r="I77" s="1171"/>
      <c r="N77" s="1070"/>
      <c r="O77" s="1071"/>
      <c r="P77" s="1070"/>
      <c r="Q77" s="1070"/>
      <c r="R77" s="1181"/>
      <c r="S77" s="1181"/>
      <c r="T77" s="1181"/>
      <c r="U77" s="1182"/>
      <c r="AC77" s="1182"/>
      <c r="AD77" s="1157"/>
    </row>
    <row r="78" spans="2:30" s="1205" customFormat="1" ht="21" thickBot="1" thickTop="1">
      <c r="B78" s="1206"/>
      <c r="C78" s="1207"/>
      <c r="D78" s="1208"/>
      <c r="E78" s="1209"/>
      <c r="F78" s="1210"/>
      <c r="G78" s="1211"/>
      <c r="I78" s="914"/>
      <c r="J78" s="1212" t="s">
        <v>118</v>
      </c>
      <c r="K78" s="1213">
        <f>IF(E74&gt;3*K26,K26*3,E74)</f>
        <v>45.897364366328155</v>
      </c>
      <c r="M78" s="1214"/>
      <c r="N78" s="1215" t="s">
        <v>419</v>
      </c>
      <c r="O78" s="1216"/>
      <c r="P78" s="1214"/>
      <c r="Q78" s="1214"/>
      <c r="R78" s="1217"/>
      <c r="S78" s="1217"/>
      <c r="T78" s="1217"/>
      <c r="U78" s="1218"/>
      <c r="V78" s="914"/>
      <c r="W78" s="914"/>
      <c r="AC78" s="1218"/>
      <c r="AD78" s="1219"/>
    </row>
    <row r="79" spans="2:30" ht="16.5" customHeight="1" thickBot="1" thickTop="1">
      <c r="B79" s="1220"/>
      <c r="C79" s="1221"/>
      <c r="D79" s="1221"/>
      <c r="E79" s="1221"/>
      <c r="F79" s="1221"/>
      <c r="G79" s="1221"/>
      <c r="H79" s="1221"/>
      <c r="I79" s="1221"/>
      <c r="J79" s="1221"/>
      <c r="K79" s="1221"/>
      <c r="L79" s="1221"/>
      <c r="M79" s="1221"/>
      <c r="N79" s="1221"/>
      <c r="O79" s="1221"/>
      <c r="P79" s="1221"/>
      <c r="Q79" s="1221"/>
      <c r="R79" s="1221"/>
      <c r="S79" s="1221"/>
      <c r="T79" s="1221"/>
      <c r="U79" s="1221"/>
      <c r="V79" s="1222"/>
      <c r="W79" s="1222"/>
      <c r="X79" s="1222"/>
      <c r="Y79" s="1222"/>
      <c r="Z79" s="1222"/>
      <c r="AA79" s="1222"/>
      <c r="AB79" s="1222"/>
      <c r="AC79" s="1221"/>
      <c r="AD79" s="1223"/>
    </row>
    <row r="80" spans="2:23" ht="16.5" customHeight="1" thickTop="1">
      <c r="B80" s="949"/>
      <c r="C80" s="1224"/>
      <c r="W80" s="949"/>
    </row>
  </sheetData>
  <sheetProtection/>
  <mergeCells count="28">
    <mergeCell ref="E67:F67"/>
    <mergeCell ref="E68:F68"/>
    <mergeCell ref="O39:Q39"/>
    <mergeCell ref="O40:Q40"/>
    <mergeCell ref="O41:Q41"/>
    <mergeCell ref="O42:Q42"/>
    <mergeCell ref="O43:Q43"/>
    <mergeCell ref="O44:Q44"/>
    <mergeCell ref="F39:G39"/>
    <mergeCell ref="F40:G40"/>
    <mergeCell ref="F48:G48"/>
    <mergeCell ref="P48:Q48"/>
    <mergeCell ref="F49:G49"/>
    <mergeCell ref="F50:G50"/>
    <mergeCell ref="P50:Q50"/>
    <mergeCell ref="F41:G41"/>
    <mergeCell ref="F42:G42"/>
    <mergeCell ref="F43:G43"/>
    <mergeCell ref="F44:G44"/>
    <mergeCell ref="F55:G55"/>
    <mergeCell ref="F52:G52"/>
    <mergeCell ref="P52:Q52"/>
    <mergeCell ref="F53:G53"/>
    <mergeCell ref="P53:Q53"/>
    <mergeCell ref="F51:G51"/>
    <mergeCell ref="P51:Q51"/>
    <mergeCell ref="F54:G54"/>
    <mergeCell ref="P54:Q54"/>
  </mergeCells>
  <printOptions/>
  <pageMargins left="1.4" right="0.24" top="0.5" bottom="0.45" header="0" footer="0"/>
  <pageSetup fitToHeight="1" fitToWidth="1" horizontalDpi="600" verticalDpi="600" orientation="landscape" paperSize="9" scale="40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60" zoomScaleNormal="60" zoomScalePageLayoutView="0" workbookViewId="0" topLeftCell="A1">
      <selection activeCell="E46" sqref="E46"/>
    </sheetView>
  </sheetViews>
  <sheetFormatPr defaultColWidth="11.421875" defaultRowHeight="12.75"/>
  <cols>
    <col min="1" max="1" width="23.00390625" style="914" customWidth="1"/>
    <col min="2" max="2" width="11.8515625" style="914" customWidth="1"/>
    <col min="3" max="3" width="6.57421875" style="914" bestFit="1" customWidth="1"/>
    <col min="4" max="4" width="21.8515625" style="914" customWidth="1"/>
    <col min="5" max="5" width="16.8515625" style="914" customWidth="1"/>
    <col min="6" max="6" width="16.57421875" style="914" customWidth="1"/>
    <col min="7" max="7" width="17.8515625" style="914" customWidth="1"/>
    <col min="8" max="8" width="1.421875" style="914" hidden="1" customWidth="1"/>
    <col min="9" max="9" width="22.00390625" style="914" customWidth="1"/>
    <col min="10" max="10" width="21.57421875" style="914" bestFit="1" customWidth="1"/>
    <col min="11" max="11" width="18.7109375" style="914" customWidth="1"/>
    <col min="12" max="13" width="10.7109375" style="914" customWidth="1"/>
    <col min="14" max="14" width="9.7109375" style="914" customWidth="1"/>
    <col min="15" max="15" width="10.28125" style="914" customWidth="1"/>
    <col min="16" max="16" width="11.57421875" style="914" hidden="1" customWidth="1"/>
    <col min="17" max="17" width="14.8515625" style="914" hidden="1" customWidth="1"/>
    <col min="18" max="19" width="4.00390625" style="914" hidden="1" customWidth="1"/>
    <col min="20" max="20" width="13.7109375" style="914" hidden="1" customWidth="1"/>
    <col min="21" max="21" width="14.8515625" style="914" customWidth="1"/>
    <col min="22" max="22" width="20.7109375" style="914" customWidth="1"/>
    <col min="23" max="23" width="12.140625" style="914" customWidth="1"/>
    <col min="24" max="24" width="17.7109375" style="914" customWidth="1"/>
    <col min="25" max="25" width="12.8515625" style="914" customWidth="1"/>
    <col min="26" max="26" width="14.28125" style="914" customWidth="1"/>
    <col min="27" max="27" width="24.28125" style="914" customWidth="1"/>
    <col min="28" max="28" width="9.7109375" style="914" customWidth="1"/>
    <col min="29" max="29" width="17.28125" style="914" customWidth="1"/>
    <col min="30" max="30" width="25.7109375" style="914" customWidth="1"/>
    <col min="31" max="31" width="4.140625" style="914" customWidth="1"/>
    <col min="32" max="32" width="7.140625" style="914" customWidth="1"/>
    <col min="33" max="33" width="5.28125" style="914" customWidth="1"/>
    <col min="34" max="34" width="5.421875" style="914" customWidth="1"/>
    <col min="35" max="35" width="4.7109375" style="914" customWidth="1"/>
    <col min="36" max="36" width="5.28125" style="914" customWidth="1"/>
    <col min="37" max="38" width="13.28125" style="914" customWidth="1"/>
    <col min="39" max="39" width="6.57421875" style="914" customWidth="1"/>
    <col min="40" max="40" width="6.421875" style="914" customWidth="1"/>
    <col min="41" max="44" width="11.421875" style="914" customWidth="1"/>
    <col min="45" max="45" width="12.7109375" style="914" customWidth="1"/>
    <col min="46" max="48" width="11.421875" style="914" customWidth="1"/>
    <col min="49" max="49" width="21.00390625" style="914" customWidth="1"/>
    <col min="50" max="16384" width="11.421875" style="914" customWidth="1"/>
  </cols>
  <sheetData>
    <row r="1" spans="1:30" ht="13.5">
      <c r="A1" s="912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5"/>
      <c r="AD1" s="1403"/>
    </row>
    <row r="2" spans="1:23" ht="27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1:30" s="919" customFormat="1" ht="30.75">
      <c r="A3" s="916"/>
      <c r="B3" s="917" t="str">
        <f>'TOT-0412'!B2</f>
        <v>ANEXO V al Memorándum  D.T.E.E.  N°     461       / 2014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AB3" s="918"/>
      <c r="AC3" s="918"/>
      <c r="AD3" s="918"/>
    </row>
    <row r="4" spans="1:2" s="921" customFormat="1" ht="11.25">
      <c r="A4" s="1320" t="s">
        <v>2</v>
      </c>
      <c r="B4" s="1321"/>
    </row>
    <row r="5" spans="1:2" s="921" customFormat="1" ht="12" thickBot="1">
      <c r="A5" s="1320" t="s">
        <v>3</v>
      </c>
      <c r="B5" s="1320"/>
    </row>
    <row r="6" spans="1:23" ht="16.5" customHeight="1" thickTop="1">
      <c r="A6" s="913"/>
      <c r="B6" s="922"/>
      <c r="C6" s="923"/>
      <c r="D6" s="923"/>
      <c r="E6" s="924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6"/>
    </row>
    <row r="7" spans="1:23" ht="20.25">
      <c r="A7" s="913"/>
      <c r="B7" s="927"/>
      <c r="C7" s="928"/>
      <c r="D7" s="929" t="s">
        <v>82</v>
      </c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30"/>
      <c r="Q7" s="930"/>
      <c r="R7" s="928"/>
      <c r="S7" s="928"/>
      <c r="T7" s="928"/>
      <c r="U7" s="928"/>
      <c r="V7" s="928"/>
      <c r="W7" s="931"/>
    </row>
    <row r="8" spans="1:23" ht="16.5" customHeight="1">
      <c r="A8" s="913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31"/>
    </row>
    <row r="9" spans="2:23" s="932" customFormat="1" ht="20.25">
      <c r="B9" s="933"/>
      <c r="C9" s="934"/>
      <c r="D9" s="929" t="s">
        <v>83</v>
      </c>
      <c r="E9" s="934"/>
      <c r="F9" s="934"/>
      <c r="G9" s="934"/>
      <c r="H9" s="934"/>
      <c r="N9" s="934"/>
      <c r="O9" s="934"/>
      <c r="P9" s="935"/>
      <c r="Q9" s="935"/>
      <c r="R9" s="934"/>
      <c r="S9" s="934"/>
      <c r="T9" s="934"/>
      <c r="U9" s="934"/>
      <c r="V9" s="934"/>
      <c r="W9" s="936"/>
    </row>
    <row r="10" spans="1:23" ht="16.5" customHeight="1">
      <c r="A10" s="913"/>
      <c r="B10" s="927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31"/>
    </row>
    <row r="11" spans="2:23" s="932" customFormat="1" ht="20.25">
      <c r="B11" s="933"/>
      <c r="C11" s="934"/>
      <c r="D11" s="929" t="s">
        <v>456</v>
      </c>
      <c r="E11" s="934"/>
      <c r="F11" s="934"/>
      <c r="G11" s="934"/>
      <c r="H11" s="934"/>
      <c r="N11" s="934"/>
      <c r="O11" s="934"/>
      <c r="P11" s="935"/>
      <c r="Q11" s="935"/>
      <c r="R11" s="934"/>
      <c r="S11" s="934"/>
      <c r="T11" s="934"/>
      <c r="U11" s="934"/>
      <c r="V11" s="934"/>
      <c r="W11" s="936"/>
    </row>
    <row r="12" spans="1:23" ht="16.5" customHeight="1">
      <c r="A12" s="913"/>
      <c r="B12" s="927"/>
      <c r="C12" s="928"/>
      <c r="D12" s="928"/>
      <c r="E12" s="913"/>
      <c r="F12" s="913"/>
      <c r="G12" s="913"/>
      <c r="H12" s="913"/>
      <c r="I12" s="937"/>
      <c r="J12" s="937"/>
      <c r="K12" s="937"/>
      <c r="L12" s="937"/>
      <c r="M12" s="937"/>
      <c r="N12" s="937"/>
      <c r="O12" s="937"/>
      <c r="P12" s="937"/>
      <c r="Q12" s="937"/>
      <c r="R12" s="928"/>
      <c r="S12" s="928"/>
      <c r="T12" s="928"/>
      <c r="U12" s="928"/>
      <c r="V12" s="928"/>
      <c r="W12" s="931"/>
    </row>
    <row r="13" spans="2:23" s="932" customFormat="1" ht="19.5">
      <c r="B13" s="938" t="str">
        <f>'TOT-0412'!B14</f>
        <v>Desde el 01 al 30 de abril de 2013</v>
      </c>
      <c r="C13" s="939"/>
      <c r="D13" s="940"/>
      <c r="E13" s="940"/>
      <c r="F13" s="940"/>
      <c r="G13" s="940"/>
      <c r="H13" s="940"/>
      <c r="I13" s="941"/>
      <c r="J13" s="942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3"/>
      <c r="V13" s="943"/>
      <c r="W13" s="945"/>
    </row>
    <row r="14" spans="1:23" ht="16.5" customHeight="1">
      <c r="A14" s="913"/>
      <c r="B14" s="927"/>
      <c r="C14" s="928"/>
      <c r="D14" s="928"/>
      <c r="E14" s="946"/>
      <c r="F14" s="946"/>
      <c r="G14" s="928"/>
      <c r="H14" s="928"/>
      <c r="I14" s="928"/>
      <c r="J14" s="947"/>
      <c r="K14" s="928"/>
      <c r="L14" s="928"/>
      <c r="M14" s="928"/>
      <c r="N14" s="913"/>
      <c r="O14" s="913"/>
      <c r="P14" s="928"/>
      <c r="Q14" s="928"/>
      <c r="R14" s="928"/>
      <c r="S14" s="928"/>
      <c r="T14" s="928"/>
      <c r="U14" s="928"/>
      <c r="V14" s="928"/>
      <c r="W14" s="931"/>
    </row>
    <row r="15" spans="1:23" ht="16.5" customHeight="1">
      <c r="A15" s="913"/>
      <c r="B15" s="927"/>
      <c r="C15" s="928"/>
      <c r="D15" s="928"/>
      <c r="E15" s="946"/>
      <c r="F15" s="946"/>
      <c r="G15" s="928"/>
      <c r="H15" s="928"/>
      <c r="I15" s="948"/>
      <c r="J15" s="928"/>
      <c r="K15" s="949"/>
      <c r="M15" s="928"/>
      <c r="N15" s="913"/>
      <c r="O15" s="913"/>
      <c r="P15" s="928"/>
      <c r="Q15" s="928"/>
      <c r="R15" s="928"/>
      <c r="S15" s="928"/>
      <c r="T15" s="928"/>
      <c r="U15" s="928"/>
      <c r="V15" s="928"/>
      <c r="W15" s="931"/>
    </row>
    <row r="16" spans="1:23" ht="16.5" customHeight="1">
      <c r="A16" s="913"/>
      <c r="B16" s="927"/>
      <c r="C16" s="928"/>
      <c r="D16" s="928"/>
      <c r="E16" s="946"/>
      <c r="F16" s="946"/>
      <c r="G16" s="928"/>
      <c r="H16" s="928"/>
      <c r="I16" s="948"/>
      <c r="J16" s="928"/>
      <c r="K16" s="949"/>
      <c r="M16" s="928"/>
      <c r="N16" s="913"/>
      <c r="O16" s="913"/>
      <c r="P16" s="928"/>
      <c r="Q16" s="928"/>
      <c r="R16" s="928"/>
      <c r="S16" s="928"/>
      <c r="T16" s="928"/>
      <c r="U16" s="928"/>
      <c r="V16" s="928"/>
      <c r="W16" s="931"/>
    </row>
    <row r="17" spans="1:23" ht="16.5" customHeight="1" thickBot="1">
      <c r="A17" s="913"/>
      <c r="B17" s="927"/>
      <c r="C17" s="950" t="s">
        <v>85</v>
      </c>
      <c r="D17" s="951" t="s">
        <v>86</v>
      </c>
      <c r="E17" s="946"/>
      <c r="F17" s="946"/>
      <c r="G17" s="928"/>
      <c r="H17" s="928"/>
      <c r="I17" s="928"/>
      <c r="J17" s="947"/>
      <c r="K17" s="928"/>
      <c r="L17" s="928"/>
      <c r="M17" s="928"/>
      <c r="N17" s="913"/>
      <c r="O17" s="913"/>
      <c r="P17" s="928"/>
      <c r="Q17" s="928"/>
      <c r="R17" s="928"/>
      <c r="S17" s="928"/>
      <c r="T17" s="928"/>
      <c r="U17" s="928"/>
      <c r="V17" s="928"/>
      <c r="W17" s="931"/>
    </row>
    <row r="18" spans="2:23" s="952" customFormat="1" ht="16.5" customHeight="1" thickBot="1">
      <c r="B18" s="953"/>
      <c r="C18" s="954"/>
      <c r="D18" s="955"/>
      <c r="E18" s="963"/>
      <c r="F18" s="1187"/>
      <c r="G18" s="1194"/>
      <c r="H18" s="954"/>
      <c r="I18" s="954"/>
      <c r="J18" s="958"/>
      <c r="K18" s="954"/>
      <c r="L18" s="954"/>
      <c r="M18" s="954"/>
      <c r="N18" s="1404" t="s">
        <v>32</v>
      </c>
      <c r="P18" s="954"/>
      <c r="Q18" s="954"/>
      <c r="R18" s="954"/>
      <c r="S18" s="954"/>
      <c r="T18" s="954"/>
      <c r="U18" s="954"/>
      <c r="V18" s="954"/>
      <c r="W18" s="959"/>
    </row>
    <row r="19" spans="2:23" s="952" customFormat="1" ht="16.5" customHeight="1">
      <c r="B19" s="953"/>
      <c r="C19" s="954"/>
      <c r="D19" s="1405"/>
      <c r="E19" s="963" t="s">
        <v>89</v>
      </c>
      <c r="F19" s="964">
        <v>0.025</v>
      </c>
      <c r="G19" s="961"/>
      <c r="H19" s="954"/>
      <c r="I19" s="968"/>
      <c r="J19" s="969"/>
      <c r="K19" s="1406" t="s">
        <v>457</v>
      </c>
      <c r="L19" s="1407"/>
      <c r="M19" s="1408">
        <v>148.761</v>
      </c>
      <c r="N19" s="1409">
        <v>200</v>
      </c>
      <c r="R19" s="954"/>
      <c r="S19" s="954"/>
      <c r="T19" s="954"/>
      <c r="U19" s="954"/>
      <c r="V19" s="954"/>
      <c r="W19" s="959"/>
    </row>
    <row r="20" spans="2:23" s="952" customFormat="1" ht="16.5" customHeight="1">
      <c r="B20" s="953"/>
      <c r="C20" s="954"/>
      <c r="D20" s="1405"/>
      <c r="E20" s="955" t="s">
        <v>92</v>
      </c>
      <c r="F20" s="954">
        <f>MID(B13,16,2)*24</f>
        <v>720</v>
      </c>
      <c r="G20" s="954" t="s">
        <v>93</v>
      </c>
      <c r="H20" s="954"/>
      <c r="I20" s="954"/>
      <c r="J20" s="954"/>
      <c r="K20" s="1410" t="s">
        <v>67</v>
      </c>
      <c r="L20" s="1411"/>
      <c r="M20" s="1412" t="s">
        <v>72</v>
      </c>
      <c r="N20" s="1413">
        <v>100</v>
      </c>
      <c r="O20" s="954"/>
      <c r="P20" s="1322"/>
      <c r="Q20" s="954"/>
      <c r="R20" s="954"/>
      <c r="S20" s="954"/>
      <c r="T20" s="954"/>
      <c r="U20" s="954"/>
      <c r="V20" s="954"/>
      <c r="W20" s="959"/>
    </row>
    <row r="21" spans="2:23" s="952" customFormat="1" ht="16.5" customHeight="1" thickBot="1">
      <c r="B21" s="953"/>
      <c r="C21" s="954"/>
      <c r="D21" s="1405"/>
      <c r="E21" s="955" t="s">
        <v>458</v>
      </c>
      <c r="F21" s="954">
        <v>0.749</v>
      </c>
      <c r="G21" s="952" t="s">
        <v>91</v>
      </c>
      <c r="H21" s="954"/>
      <c r="I21" s="954"/>
      <c r="J21" s="954"/>
      <c r="K21" s="1414" t="s">
        <v>459</v>
      </c>
      <c r="L21" s="1415"/>
      <c r="M21" s="1416">
        <v>119.01</v>
      </c>
      <c r="N21" s="1417">
        <v>40</v>
      </c>
      <c r="O21" s="954"/>
      <c r="P21" s="1322"/>
      <c r="Q21" s="954"/>
      <c r="R21" s="954"/>
      <c r="S21" s="954"/>
      <c r="T21" s="954"/>
      <c r="U21" s="954"/>
      <c r="V21" s="954"/>
      <c r="W21" s="959"/>
    </row>
    <row r="22" spans="2:23" s="952" customFormat="1" ht="16.5" customHeight="1">
      <c r="B22" s="953"/>
      <c r="C22" s="954"/>
      <c r="D22" s="954"/>
      <c r="E22" s="971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9"/>
    </row>
    <row r="23" spans="1:23" ht="16.5" customHeight="1">
      <c r="A23" s="913"/>
      <c r="B23" s="927"/>
      <c r="C23" s="950" t="s">
        <v>94</v>
      </c>
      <c r="D23" s="972" t="s">
        <v>298</v>
      </c>
      <c r="I23" s="928"/>
      <c r="J23" s="952"/>
      <c r="O23" s="928"/>
      <c r="P23" s="928"/>
      <c r="Q23" s="928"/>
      <c r="R23" s="928"/>
      <c r="S23" s="928"/>
      <c r="T23" s="928"/>
      <c r="V23" s="928"/>
      <c r="W23" s="931"/>
    </row>
    <row r="24" spans="1:23" ht="10.5" customHeight="1" thickBot="1">
      <c r="A24" s="913"/>
      <c r="B24" s="927"/>
      <c r="C24" s="946"/>
      <c r="D24" s="972"/>
      <c r="I24" s="928"/>
      <c r="J24" s="952"/>
      <c r="O24" s="928"/>
      <c r="P24" s="928"/>
      <c r="Q24" s="928"/>
      <c r="R24" s="928"/>
      <c r="S24" s="928"/>
      <c r="T24" s="928"/>
      <c r="V24" s="928"/>
      <c r="W24" s="931"/>
    </row>
    <row r="25" spans="2:23" s="952" customFormat="1" ht="21" customHeight="1" thickBot="1" thickTop="1">
      <c r="B25" s="953"/>
      <c r="C25" s="957"/>
      <c r="D25" s="914"/>
      <c r="E25" s="914"/>
      <c r="F25" s="914"/>
      <c r="G25" s="914"/>
      <c r="H25" s="914"/>
      <c r="I25" s="973" t="s">
        <v>95</v>
      </c>
      <c r="J25" s="974">
        <f>+V73*F19</f>
        <v>28305.133</v>
      </c>
      <c r="L25" s="914"/>
      <c r="S25" s="914"/>
      <c r="T25" s="914"/>
      <c r="U25" s="914"/>
      <c r="W25" s="959"/>
    </row>
    <row r="26" spans="2:23" s="952" customFormat="1" ht="11.25" customHeight="1" thickTop="1">
      <c r="B26" s="953"/>
      <c r="C26" s="957"/>
      <c r="D26" s="954"/>
      <c r="E26" s="971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14"/>
      <c r="W26" s="959"/>
    </row>
    <row r="27" spans="1:23" ht="16.5" customHeight="1">
      <c r="A27" s="913"/>
      <c r="B27" s="927"/>
      <c r="C27" s="950" t="s">
        <v>96</v>
      </c>
      <c r="D27" s="972" t="s">
        <v>299</v>
      </c>
      <c r="E27" s="975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8"/>
      <c r="V27" s="928"/>
      <c r="W27" s="931"/>
    </row>
    <row r="28" spans="1:23" ht="13.5" customHeight="1" thickBot="1">
      <c r="A28" s="952"/>
      <c r="B28" s="927"/>
      <c r="C28" s="957"/>
      <c r="D28" s="957"/>
      <c r="E28" s="1068"/>
      <c r="F28" s="971"/>
      <c r="G28" s="1069"/>
      <c r="H28" s="1069"/>
      <c r="I28" s="1070"/>
      <c r="J28" s="1070"/>
      <c r="K28" s="1070"/>
      <c r="L28" s="1070"/>
      <c r="M28" s="1070"/>
      <c r="N28" s="1070"/>
      <c r="O28" s="1071"/>
      <c r="P28" s="1070"/>
      <c r="Q28" s="1070"/>
      <c r="R28" s="1418"/>
      <c r="S28" s="1419"/>
      <c r="T28" s="1420"/>
      <c r="U28" s="1420"/>
      <c r="V28" s="1420"/>
      <c r="W28" s="1067"/>
    </row>
    <row r="29" spans="1:26" s="913" customFormat="1" ht="33.75" customHeight="1" thickBot="1" thickTop="1">
      <c r="A29" s="912"/>
      <c r="B29" s="1090"/>
      <c r="C29" s="1091" t="s">
        <v>26</v>
      </c>
      <c r="D29" s="1092" t="s">
        <v>56</v>
      </c>
      <c r="E29" s="1334" t="s">
        <v>57</v>
      </c>
      <c r="F29" s="1335" t="s">
        <v>58</v>
      </c>
      <c r="G29" s="997" t="s">
        <v>29</v>
      </c>
      <c r="H29" s="1093" t="s">
        <v>33</v>
      </c>
      <c r="I29" s="1334" t="s">
        <v>34</v>
      </c>
      <c r="J29" s="1334" t="s">
        <v>35</v>
      </c>
      <c r="K29" s="1092" t="s">
        <v>59</v>
      </c>
      <c r="L29" s="1092" t="s">
        <v>37</v>
      </c>
      <c r="M29" s="984" t="s">
        <v>105</v>
      </c>
      <c r="N29" s="1334" t="s">
        <v>40</v>
      </c>
      <c r="O29" s="1337" t="s">
        <v>60</v>
      </c>
      <c r="P29" s="1093" t="s">
        <v>106</v>
      </c>
      <c r="Q29" s="1339" t="s">
        <v>41</v>
      </c>
      <c r="R29" s="1340" t="s">
        <v>107</v>
      </c>
      <c r="S29" s="1341"/>
      <c r="T29" s="1342" t="s">
        <v>45</v>
      </c>
      <c r="U29" s="1094" t="s">
        <v>47</v>
      </c>
      <c r="V29" s="997" t="s">
        <v>48</v>
      </c>
      <c r="W29" s="931"/>
      <c r="Y29" s="914"/>
      <c r="Z29" s="914"/>
    </row>
    <row r="30" spans="1:23" ht="16.5" customHeight="1" thickTop="1">
      <c r="A30" s="913"/>
      <c r="B30" s="927"/>
      <c r="C30" s="1095"/>
      <c r="D30" s="1095"/>
      <c r="E30" s="1095"/>
      <c r="F30" s="1095"/>
      <c r="G30" s="1346"/>
      <c r="H30" s="1347"/>
      <c r="I30" s="1095"/>
      <c r="J30" s="1095"/>
      <c r="K30" s="1095"/>
      <c r="L30" s="1095"/>
      <c r="M30" s="1095"/>
      <c r="N30" s="1348"/>
      <c r="O30" s="1421"/>
      <c r="P30" s="1349"/>
      <c r="Q30" s="1350"/>
      <c r="R30" s="1351"/>
      <c r="S30" s="1352"/>
      <c r="T30" s="1353"/>
      <c r="U30" s="1348"/>
      <c r="V30" s="1099"/>
      <c r="W30" s="931"/>
    </row>
    <row r="31" spans="1:23" ht="16.5" customHeight="1">
      <c r="A31" s="913"/>
      <c r="B31" s="927"/>
      <c r="C31" s="561" t="s">
        <v>100</v>
      </c>
      <c r="D31" s="358"/>
      <c r="E31" s="359"/>
      <c r="F31" s="360"/>
      <c r="G31" s="588"/>
      <c r="H31" s="1358">
        <f aca="true" t="shared" si="0" ref="H31:H37">F31*$F$21</f>
        <v>0</v>
      </c>
      <c r="I31" s="363"/>
      <c r="J31" s="363"/>
      <c r="K31" s="1361">
        <f aca="true" t="shared" si="1" ref="K31:K37">IF(D31="","",(J31-I31)*24)</f>
      </c>
      <c r="L31" s="1362">
        <f aca="true" t="shared" si="2" ref="L31:L37">IF(D31="","",(J31-I31)*24*60)</f>
      </c>
      <c r="M31" s="366"/>
      <c r="N31" s="1364">
        <f aca="true" t="shared" si="3" ref="N31:N37">IF(D31="","",IF(OR(M31="P",M31="RP"),"--","NO"))</f>
      </c>
      <c r="O31" s="1422">
        <f aca="true" t="shared" si="4" ref="O31:O37">IF(D31="","","NO")</f>
      </c>
      <c r="P31" s="1365">
        <f aca="true" t="shared" si="5" ref="P31:P37">200*IF(O31="SI",1,0.1)*IF(M31="P",0.1,1)</f>
        <v>20</v>
      </c>
      <c r="Q31" s="1366" t="str">
        <f aca="true" t="shared" si="6" ref="Q31:Q37">IF(M31="P",H31*P31*ROUND(L31/60,2),"--")</f>
        <v>--</v>
      </c>
      <c r="R31" s="1367" t="str">
        <f aca="true" t="shared" si="7" ref="R31:R37">IF(AND(M31="F",N31="NO"),H31*P31,"--")</f>
        <v>--</v>
      </c>
      <c r="S31" s="1368" t="str">
        <f aca="true" t="shared" si="8" ref="S31:S37">IF(M31="F",H31*P31*ROUND(L31/60,2),"--")</f>
        <v>--</v>
      </c>
      <c r="T31" s="1285" t="str">
        <f aca="true" t="shared" si="9" ref="T31:T37">IF(M31="RF",H31*P31*ROUND(L31/60,2),"--")</f>
        <v>--</v>
      </c>
      <c r="U31" s="1102">
        <f aca="true" t="shared" si="10" ref="U31:U37">IF(D31="","","SI")</f>
      </c>
      <c r="V31" s="1372">
        <f aca="true" t="shared" si="11" ref="V31:V37">IF(D31="","",SUM(Q31:T31)*IF(U31="SI",1,2))</f>
      </c>
      <c r="W31" s="1067"/>
    </row>
    <row r="32" spans="1:23" ht="16.5" customHeight="1">
      <c r="A32" s="913"/>
      <c r="B32" s="927"/>
      <c r="C32" s="561" t="s">
        <v>101</v>
      </c>
      <c r="D32" s="358"/>
      <c r="E32" s="359"/>
      <c r="F32" s="360"/>
      <c r="G32" s="588"/>
      <c r="H32" s="1358">
        <f t="shared" si="0"/>
        <v>0</v>
      </c>
      <c r="I32" s="363"/>
      <c r="J32" s="363"/>
      <c r="K32" s="1361">
        <f t="shared" si="1"/>
      </c>
      <c r="L32" s="1362">
        <f t="shared" si="2"/>
      </c>
      <c r="M32" s="366"/>
      <c r="N32" s="1364">
        <f t="shared" si="3"/>
      </c>
      <c r="O32" s="1422">
        <f t="shared" si="4"/>
      </c>
      <c r="P32" s="1365">
        <f t="shared" si="5"/>
        <v>20</v>
      </c>
      <c r="Q32" s="1366" t="str">
        <f t="shared" si="6"/>
        <v>--</v>
      </c>
      <c r="R32" s="1367" t="str">
        <f t="shared" si="7"/>
        <v>--</v>
      </c>
      <c r="S32" s="1368" t="str">
        <f t="shared" si="8"/>
        <v>--</v>
      </c>
      <c r="T32" s="1285" t="str">
        <f t="shared" si="9"/>
        <v>--</v>
      </c>
      <c r="U32" s="1102">
        <f t="shared" si="10"/>
      </c>
      <c r="V32" s="1372">
        <f t="shared" si="11"/>
      </c>
      <c r="W32" s="1067"/>
    </row>
    <row r="33" spans="1:23" ht="16.5" customHeight="1">
      <c r="A33" s="913"/>
      <c r="B33" s="927"/>
      <c r="C33" s="561" t="s">
        <v>102</v>
      </c>
      <c r="D33" s="358"/>
      <c r="E33" s="359"/>
      <c r="F33" s="360"/>
      <c r="G33" s="588"/>
      <c r="H33" s="1358">
        <f t="shared" si="0"/>
        <v>0</v>
      </c>
      <c r="I33" s="1360"/>
      <c r="J33" s="1360"/>
      <c r="K33" s="1361">
        <f t="shared" si="1"/>
      </c>
      <c r="L33" s="1362">
        <f t="shared" si="2"/>
      </c>
      <c r="M33" s="366"/>
      <c r="N33" s="1364">
        <f t="shared" si="3"/>
      </c>
      <c r="O33" s="1422">
        <f t="shared" si="4"/>
      </c>
      <c r="P33" s="1365">
        <f t="shared" si="5"/>
        <v>20</v>
      </c>
      <c r="Q33" s="1366" t="str">
        <f t="shared" si="6"/>
        <v>--</v>
      </c>
      <c r="R33" s="1367" t="str">
        <f t="shared" si="7"/>
        <v>--</v>
      </c>
      <c r="S33" s="1368" t="str">
        <f t="shared" si="8"/>
        <v>--</v>
      </c>
      <c r="T33" s="1285" t="str">
        <f t="shared" si="9"/>
        <v>--</v>
      </c>
      <c r="U33" s="1102">
        <f t="shared" si="10"/>
      </c>
      <c r="V33" s="1372">
        <f t="shared" si="11"/>
      </c>
      <c r="W33" s="1067"/>
    </row>
    <row r="34" spans="1:23" ht="16.5" customHeight="1">
      <c r="A34" s="913"/>
      <c r="B34" s="927"/>
      <c r="C34" s="561" t="s">
        <v>103</v>
      </c>
      <c r="D34" s="358"/>
      <c r="E34" s="359"/>
      <c r="F34" s="360"/>
      <c r="G34" s="588"/>
      <c r="H34" s="1358">
        <f t="shared" si="0"/>
        <v>0</v>
      </c>
      <c r="I34" s="1360"/>
      <c r="J34" s="1360"/>
      <c r="K34" s="1361">
        <f t="shared" si="1"/>
      </c>
      <c r="L34" s="1362">
        <f t="shared" si="2"/>
      </c>
      <c r="M34" s="366"/>
      <c r="N34" s="1364">
        <f t="shared" si="3"/>
      </c>
      <c r="O34" s="1422">
        <f t="shared" si="4"/>
      </c>
      <c r="P34" s="1365">
        <f t="shared" si="5"/>
        <v>20</v>
      </c>
      <c r="Q34" s="1366" t="str">
        <f t="shared" si="6"/>
        <v>--</v>
      </c>
      <c r="R34" s="1367" t="str">
        <f t="shared" si="7"/>
        <v>--</v>
      </c>
      <c r="S34" s="1368" t="str">
        <f t="shared" si="8"/>
        <v>--</v>
      </c>
      <c r="T34" s="1285" t="str">
        <f t="shared" si="9"/>
        <v>--</v>
      </c>
      <c r="U34" s="1102">
        <f t="shared" si="10"/>
      </c>
      <c r="V34" s="1372">
        <f t="shared" si="11"/>
      </c>
      <c r="W34" s="1067"/>
    </row>
    <row r="35" spans="1:23" ht="16.5" customHeight="1">
      <c r="A35" s="913"/>
      <c r="B35" s="927"/>
      <c r="C35" s="561" t="s">
        <v>104</v>
      </c>
      <c r="D35" s="358"/>
      <c r="E35" s="359"/>
      <c r="F35" s="360"/>
      <c r="G35" s="588"/>
      <c r="H35" s="1358">
        <f t="shared" si="0"/>
        <v>0</v>
      </c>
      <c r="I35" s="1360"/>
      <c r="J35" s="1360"/>
      <c r="K35" s="1361">
        <f t="shared" si="1"/>
      </c>
      <c r="L35" s="1362">
        <f t="shared" si="2"/>
      </c>
      <c r="M35" s="366"/>
      <c r="N35" s="1364">
        <f t="shared" si="3"/>
      </c>
      <c r="O35" s="1422">
        <f t="shared" si="4"/>
      </c>
      <c r="P35" s="1365">
        <f t="shared" si="5"/>
        <v>20</v>
      </c>
      <c r="Q35" s="1366" t="str">
        <f t="shared" si="6"/>
        <v>--</v>
      </c>
      <c r="R35" s="1367" t="str">
        <f t="shared" si="7"/>
        <v>--</v>
      </c>
      <c r="S35" s="1368" t="str">
        <f t="shared" si="8"/>
        <v>--</v>
      </c>
      <c r="T35" s="1285" t="str">
        <f t="shared" si="9"/>
        <v>--</v>
      </c>
      <c r="U35" s="1102">
        <f t="shared" si="10"/>
      </c>
      <c r="V35" s="1372">
        <f t="shared" si="11"/>
      </c>
      <c r="W35" s="1067"/>
    </row>
    <row r="36" spans="1:23" ht="16.5" customHeight="1">
      <c r="A36" s="913"/>
      <c r="B36" s="927"/>
      <c r="C36" s="561" t="s">
        <v>460</v>
      </c>
      <c r="D36" s="1331"/>
      <c r="E36" s="1355"/>
      <c r="F36" s="1356"/>
      <c r="G36" s="1423"/>
      <c r="H36" s="1358">
        <f t="shared" si="0"/>
        <v>0</v>
      </c>
      <c r="I36" s="1360"/>
      <c r="J36" s="1360"/>
      <c r="K36" s="1361">
        <f t="shared" si="1"/>
      </c>
      <c r="L36" s="1362">
        <f t="shared" si="2"/>
      </c>
      <c r="M36" s="366"/>
      <c r="N36" s="1364">
        <f t="shared" si="3"/>
      </c>
      <c r="O36" s="1422">
        <f t="shared" si="4"/>
      </c>
      <c r="P36" s="1365">
        <f t="shared" si="5"/>
        <v>20</v>
      </c>
      <c r="Q36" s="1366" t="str">
        <f t="shared" si="6"/>
        <v>--</v>
      </c>
      <c r="R36" s="1367" t="str">
        <f t="shared" si="7"/>
        <v>--</v>
      </c>
      <c r="S36" s="1368" t="str">
        <f t="shared" si="8"/>
        <v>--</v>
      </c>
      <c r="T36" s="1285" t="str">
        <f t="shared" si="9"/>
        <v>--</v>
      </c>
      <c r="U36" s="1102">
        <f t="shared" si="10"/>
      </c>
      <c r="V36" s="1372">
        <f t="shared" si="11"/>
      </c>
      <c r="W36" s="1067"/>
    </row>
    <row r="37" spans="1:23" ht="16.5" customHeight="1">
      <c r="A37" s="913"/>
      <c r="B37" s="927"/>
      <c r="C37" s="1424" t="s">
        <v>461</v>
      </c>
      <c r="D37" s="1387"/>
      <c r="E37" s="1388"/>
      <c r="F37" s="1425"/>
      <c r="G37" s="1426"/>
      <c r="H37" s="1358">
        <f t="shared" si="0"/>
        <v>0</v>
      </c>
      <c r="I37" s="1360"/>
      <c r="J37" s="1360"/>
      <c r="K37" s="1361">
        <f t="shared" si="1"/>
      </c>
      <c r="L37" s="1362">
        <f t="shared" si="2"/>
      </c>
      <c r="M37" s="366"/>
      <c r="N37" s="1364">
        <f t="shared" si="3"/>
      </c>
      <c r="O37" s="1422">
        <f t="shared" si="4"/>
      </c>
      <c r="P37" s="1365">
        <f t="shared" si="5"/>
        <v>20</v>
      </c>
      <c r="Q37" s="1366" t="str">
        <f t="shared" si="6"/>
        <v>--</v>
      </c>
      <c r="R37" s="1367" t="str">
        <f t="shared" si="7"/>
        <v>--</v>
      </c>
      <c r="S37" s="1368" t="str">
        <f t="shared" si="8"/>
        <v>--</v>
      </c>
      <c r="T37" s="1285" t="str">
        <f t="shared" si="9"/>
        <v>--</v>
      </c>
      <c r="U37" s="1102">
        <f t="shared" si="10"/>
      </c>
      <c r="V37" s="1372">
        <f t="shared" si="11"/>
      </c>
      <c r="W37" s="1067"/>
    </row>
    <row r="38" spans="1:23" ht="16.5" customHeight="1" thickBot="1">
      <c r="A38" s="952"/>
      <c r="B38" s="927"/>
      <c r="C38" s="1103"/>
      <c r="D38" s="1104"/>
      <c r="E38" s="1105"/>
      <c r="F38" s="1373"/>
      <c r="G38" s="1374"/>
      <c r="H38" s="1375"/>
      <c r="I38" s="1107"/>
      <c r="J38" s="1108"/>
      <c r="K38" s="1109"/>
      <c r="L38" s="1110"/>
      <c r="M38" s="1376"/>
      <c r="N38" s="1053"/>
      <c r="O38" s="1427"/>
      <c r="P38" s="1378"/>
      <c r="Q38" s="1379"/>
      <c r="R38" s="1380"/>
      <c r="S38" s="1381"/>
      <c r="T38" s="1382"/>
      <c r="U38" s="1113"/>
      <c r="V38" s="1114"/>
      <c r="W38" s="1067"/>
    </row>
    <row r="39" spans="1:23" ht="16.5" customHeight="1" thickBot="1" thickTop="1">
      <c r="A39" s="952"/>
      <c r="B39" s="927"/>
      <c r="C39" s="1115"/>
      <c r="D39" s="975"/>
      <c r="E39" s="975"/>
      <c r="F39" s="1116"/>
      <c r="G39" s="1117"/>
      <c r="H39" s="1118"/>
      <c r="I39" s="1119"/>
      <c r="J39" s="1120"/>
      <c r="K39" s="1121"/>
      <c r="L39" s="1122"/>
      <c r="M39" s="1118"/>
      <c r="N39" s="1123"/>
      <c r="O39" s="1124"/>
      <c r="P39" s="1125"/>
      <c r="Q39" s="1161"/>
      <c r="R39" s="1165"/>
      <c r="S39" s="1165"/>
      <c r="T39" s="1165"/>
      <c r="U39" s="1162"/>
      <c r="V39" s="1128">
        <f>SUM(V30:V38)</f>
        <v>0</v>
      </c>
      <c r="W39" s="1067"/>
    </row>
    <row r="40" spans="1:23" ht="16.5" customHeight="1" thickBot="1" thickTop="1">
      <c r="A40" s="952"/>
      <c r="B40" s="927"/>
      <c r="C40" s="1115"/>
      <c r="D40" s="975"/>
      <c r="E40" s="975"/>
      <c r="F40" s="1116"/>
      <c r="G40" s="1117"/>
      <c r="H40" s="1118"/>
      <c r="I40" s="1119"/>
      <c r="L40" s="1122"/>
      <c r="M40" s="1118"/>
      <c r="N40" s="1163"/>
      <c r="O40" s="1164"/>
      <c r="P40" s="1125"/>
      <c r="Q40" s="1161"/>
      <c r="R40" s="1165"/>
      <c r="S40" s="1165"/>
      <c r="T40" s="1165"/>
      <c r="U40" s="1162"/>
      <c r="V40" s="1162"/>
      <c r="W40" s="1067"/>
    </row>
    <row r="41" spans="2:23" s="913" customFormat="1" ht="33.75" customHeight="1" thickBot="1" thickTop="1">
      <c r="B41" s="927"/>
      <c r="C41" s="976" t="s">
        <v>26</v>
      </c>
      <c r="D41" s="985" t="s">
        <v>56</v>
      </c>
      <c r="E41" s="1555" t="s">
        <v>57</v>
      </c>
      <c r="F41" s="1588"/>
      <c r="G41" s="1094" t="s">
        <v>29</v>
      </c>
      <c r="H41" s="1093" t="s">
        <v>33</v>
      </c>
      <c r="I41" s="982" t="s">
        <v>34</v>
      </c>
      <c r="J41" s="1130" t="s">
        <v>35</v>
      </c>
      <c r="K41" s="1264" t="s">
        <v>36</v>
      </c>
      <c r="L41" s="1264" t="s">
        <v>37</v>
      </c>
      <c r="M41" s="984" t="s">
        <v>296</v>
      </c>
      <c r="N41" s="1555" t="s">
        <v>40</v>
      </c>
      <c r="O41" s="1556"/>
      <c r="P41" s="981" t="s">
        <v>32</v>
      </c>
      <c r="Q41" s="1265" t="s">
        <v>69</v>
      </c>
      <c r="R41" s="1266" t="s">
        <v>70</v>
      </c>
      <c r="S41" s="1267"/>
      <c r="T41" s="1268" t="s">
        <v>45</v>
      </c>
      <c r="U41" s="1094" t="s">
        <v>47</v>
      </c>
      <c r="V41" s="997" t="s">
        <v>48</v>
      </c>
      <c r="W41" s="1240"/>
    </row>
    <row r="42" spans="2:23" s="913" customFormat="1" ht="16.5" customHeight="1" thickTop="1">
      <c r="B42" s="927"/>
      <c r="C42" s="999"/>
      <c r="D42" s="1279"/>
      <c r="E42" s="1589"/>
      <c r="F42" s="1590"/>
      <c r="G42" s="1279"/>
      <c r="H42" s="1280"/>
      <c r="I42" s="1279"/>
      <c r="J42" s="1279"/>
      <c r="K42" s="1279"/>
      <c r="L42" s="1279"/>
      <c r="M42" s="1279"/>
      <c r="N42" s="1591"/>
      <c r="O42" s="1592"/>
      <c r="P42" s="1281"/>
      <c r="Q42" s="1282"/>
      <c r="R42" s="1283"/>
      <c r="S42" s="1284"/>
      <c r="T42" s="1285"/>
      <c r="U42" s="1279"/>
      <c r="V42" s="1286"/>
      <c r="W42" s="1240"/>
    </row>
    <row r="43" spans="2:23" s="913" customFormat="1" ht="16.5" customHeight="1">
      <c r="B43" s="927"/>
      <c r="C43" s="561" t="s">
        <v>100</v>
      </c>
      <c r="D43" s="1428" t="s">
        <v>353</v>
      </c>
      <c r="E43" s="1586" t="s">
        <v>361</v>
      </c>
      <c r="F43" s="1587"/>
      <c r="G43" s="1430">
        <v>132</v>
      </c>
      <c r="H43" s="1289">
        <f aca="true" t="shared" si="12" ref="H43:H55">IF(G43=500,$M$19,IF(G43=220,$M$20,$M$21))</f>
        <v>119.01</v>
      </c>
      <c r="I43" s="467">
        <v>41373.395833333336</v>
      </c>
      <c r="J43" s="467">
        <v>41373.614583333336</v>
      </c>
      <c r="K43" s="1146">
        <f aca="true" t="shared" si="13" ref="K43:K55">IF(D43="","",(J43-I43)*24)</f>
        <v>5.25</v>
      </c>
      <c r="L43" s="1026">
        <f aca="true" t="shared" si="14" ref="L43:L54">IF(D43="","",ROUND((J43-I43)*24*60,0))</f>
        <v>315</v>
      </c>
      <c r="M43" s="179" t="s">
        <v>309</v>
      </c>
      <c r="N43" s="1551" t="str">
        <f aca="true" t="shared" si="15" ref="N43:N56">IF(D43="","",IF(OR(M43="P",M43="RP"),"--","NO"))</f>
        <v>--</v>
      </c>
      <c r="O43" s="1552"/>
      <c r="P43" s="1291">
        <f aca="true" t="shared" si="16" ref="P43:P55">IF(G43=500,$N$19,IF(G43=220,$N$20,$N$21))</f>
        <v>40</v>
      </c>
      <c r="Q43" s="1431">
        <f aca="true" t="shared" si="17" ref="Q43:Q55">IF(M43="P",H43*P43*ROUND(L43/60,2)*0.1,"--")</f>
        <v>2499.2100000000005</v>
      </c>
      <c r="R43" s="1283" t="str">
        <f aca="true" t="shared" si="18" ref="R43:R55">IF(AND(M43="F",N43="NO"),H43*P43,"--")</f>
        <v>--</v>
      </c>
      <c r="S43" s="1284" t="str">
        <f aca="true" t="shared" si="19" ref="S43:S55">IF(M43="F",H43*P43*ROUND(L43/60,2),"--")</f>
        <v>--</v>
      </c>
      <c r="T43" s="1285" t="str">
        <f aca="true" t="shared" si="20" ref="T43:T55">IF(M43="RF",H43*P43*ROUND(L43/60,2),"--")</f>
        <v>--</v>
      </c>
      <c r="U43" s="1432" t="str">
        <f aca="true" t="shared" si="21" ref="U43:U55">IF(D43="","","SI")</f>
        <v>SI</v>
      </c>
      <c r="V43" s="1156">
        <f aca="true" t="shared" si="22" ref="V43:V55">IF(D43="","",SUM(Q43:T43)*IF(U43="SI",1,2))</f>
        <v>2499.2100000000005</v>
      </c>
      <c r="W43" s="1240"/>
    </row>
    <row r="44" spans="2:23" s="913" customFormat="1" ht="16.5" customHeight="1">
      <c r="B44" s="927"/>
      <c r="C44" s="561" t="s">
        <v>101</v>
      </c>
      <c r="D44" s="1428" t="s">
        <v>362</v>
      </c>
      <c r="E44" s="1586" t="s">
        <v>363</v>
      </c>
      <c r="F44" s="1587"/>
      <c r="G44" s="1430">
        <v>500</v>
      </c>
      <c r="H44" s="1289">
        <f t="shared" si="12"/>
        <v>148.761</v>
      </c>
      <c r="I44" s="467">
        <v>41379.33611111111</v>
      </c>
      <c r="J44" s="468">
        <v>41379.64166666667</v>
      </c>
      <c r="K44" s="1146">
        <f t="shared" si="13"/>
        <v>7.333333333488554</v>
      </c>
      <c r="L44" s="1026">
        <f t="shared" si="14"/>
        <v>440</v>
      </c>
      <c r="M44" s="179" t="s">
        <v>309</v>
      </c>
      <c r="N44" s="1551" t="str">
        <f t="shared" si="15"/>
        <v>--</v>
      </c>
      <c r="O44" s="1552"/>
      <c r="P44" s="1291">
        <f t="shared" si="16"/>
        <v>200</v>
      </c>
      <c r="Q44" s="1431">
        <f t="shared" si="17"/>
        <v>21808.362600000004</v>
      </c>
      <c r="R44" s="1283" t="str">
        <f t="shared" si="18"/>
        <v>--</v>
      </c>
      <c r="S44" s="1284" t="str">
        <f t="shared" si="19"/>
        <v>--</v>
      </c>
      <c r="T44" s="1285" t="str">
        <f t="shared" si="20"/>
        <v>--</v>
      </c>
      <c r="U44" s="1432" t="str">
        <f t="shared" si="21"/>
        <v>SI</v>
      </c>
      <c r="V44" s="1156">
        <f t="shared" si="22"/>
        <v>21808.362600000004</v>
      </c>
      <c r="W44" s="1240"/>
    </row>
    <row r="45" spans="2:23" s="913" customFormat="1" ht="16.5" customHeight="1">
      <c r="B45" s="927"/>
      <c r="C45" s="561" t="s">
        <v>102</v>
      </c>
      <c r="D45" s="1428" t="s">
        <v>353</v>
      </c>
      <c r="E45" s="1586" t="s">
        <v>364</v>
      </c>
      <c r="F45" s="1587"/>
      <c r="G45" s="1430">
        <v>132</v>
      </c>
      <c r="H45" s="1289">
        <f t="shared" si="12"/>
        <v>119.01</v>
      </c>
      <c r="I45" s="467">
        <v>41383.438888888886</v>
      </c>
      <c r="J45" s="468">
        <v>41383.71805555555</v>
      </c>
      <c r="K45" s="1146">
        <f t="shared" si="13"/>
        <v>6.7000000000116415</v>
      </c>
      <c r="L45" s="1026">
        <f t="shared" si="14"/>
        <v>402</v>
      </c>
      <c r="M45" s="179" t="s">
        <v>309</v>
      </c>
      <c r="N45" s="1551" t="str">
        <f t="shared" si="15"/>
        <v>--</v>
      </c>
      <c r="O45" s="1552"/>
      <c r="P45" s="1291">
        <f t="shared" si="16"/>
        <v>40</v>
      </c>
      <c r="Q45" s="1431">
        <f t="shared" si="17"/>
        <v>3189.4680000000008</v>
      </c>
      <c r="R45" s="1283" t="str">
        <f t="shared" si="18"/>
        <v>--</v>
      </c>
      <c r="S45" s="1284" t="str">
        <f t="shared" si="19"/>
        <v>--</v>
      </c>
      <c r="T45" s="1285" t="str">
        <f t="shared" si="20"/>
        <v>--</v>
      </c>
      <c r="U45" s="1432" t="str">
        <f t="shared" si="21"/>
        <v>SI</v>
      </c>
      <c r="V45" s="1156">
        <f t="shared" si="22"/>
        <v>3189.4680000000008</v>
      </c>
      <c r="W45" s="1240"/>
    </row>
    <row r="46" spans="2:23" s="913" customFormat="1" ht="16.5" customHeight="1">
      <c r="B46" s="927"/>
      <c r="C46" s="561" t="s">
        <v>103</v>
      </c>
      <c r="D46" s="1428" t="s">
        <v>365</v>
      </c>
      <c r="E46" s="1586" t="s">
        <v>366</v>
      </c>
      <c r="F46" s="1587"/>
      <c r="G46" s="1430">
        <v>132</v>
      </c>
      <c r="H46" s="1289">
        <f t="shared" si="12"/>
        <v>119.01</v>
      </c>
      <c r="I46" s="467">
        <v>41389.49166666667</v>
      </c>
      <c r="J46" s="468">
        <v>41389.61597222222</v>
      </c>
      <c r="K46" s="1146">
        <f t="shared" si="13"/>
        <v>2.983333333279006</v>
      </c>
      <c r="L46" s="1026">
        <f t="shared" si="14"/>
        <v>179</v>
      </c>
      <c r="M46" s="179" t="s">
        <v>309</v>
      </c>
      <c r="N46" s="1551" t="str">
        <f t="shared" si="15"/>
        <v>--</v>
      </c>
      <c r="O46" s="1552"/>
      <c r="P46" s="1291">
        <f t="shared" si="16"/>
        <v>40</v>
      </c>
      <c r="Q46" s="1431">
        <f t="shared" si="17"/>
        <v>1418.5992000000003</v>
      </c>
      <c r="R46" s="1283" t="str">
        <f t="shared" si="18"/>
        <v>--</v>
      </c>
      <c r="S46" s="1284" t="str">
        <f t="shared" si="19"/>
        <v>--</v>
      </c>
      <c r="T46" s="1285" t="str">
        <f t="shared" si="20"/>
        <v>--</v>
      </c>
      <c r="U46" s="1432" t="str">
        <f t="shared" si="21"/>
        <v>SI</v>
      </c>
      <c r="V46" s="1156">
        <f t="shared" si="22"/>
        <v>1418.5992000000003</v>
      </c>
      <c r="W46" s="1240"/>
    </row>
    <row r="47" spans="2:23" s="913" customFormat="1" ht="16.5" customHeight="1">
      <c r="B47" s="927"/>
      <c r="C47" s="561" t="s">
        <v>104</v>
      </c>
      <c r="D47" s="1428" t="s">
        <v>353</v>
      </c>
      <c r="E47" s="1586" t="s">
        <v>367</v>
      </c>
      <c r="F47" s="1587"/>
      <c r="G47" s="1430">
        <v>132</v>
      </c>
      <c r="H47" s="1289">
        <f t="shared" si="12"/>
        <v>119.01</v>
      </c>
      <c r="I47" s="467">
        <v>41390.40069444444</v>
      </c>
      <c r="J47" s="467">
        <v>41390.711805555555</v>
      </c>
      <c r="K47" s="1146">
        <f t="shared" si="13"/>
        <v>7.466666666732635</v>
      </c>
      <c r="L47" s="1026">
        <f t="shared" si="14"/>
        <v>448</v>
      </c>
      <c r="M47" s="179" t="s">
        <v>309</v>
      </c>
      <c r="N47" s="1551" t="str">
        <f t="shared" si="15"/>
        <v>--</v>
      </c>
      <c r="O47" s="1552"/>
      <c r="P47" s="1291">
        <f t="shared" si="16"/>
        <v>40</v>
      </c>
      <c r="Q47" s="1431">
        <f t="shared" si="17"/>
        <v>3556.0188000000003</v>
      </c>
      <c r="R47" s="1283" t="str">
        <f t="shared" si="18"/>
        <v>--</v>
      </c>
      <c r="S47" s="1284" t="str">
        <f t="shared" si="19"/>
        <v>--</v>
      </c>
      <c r="T47" s="1285" t="str">
        <f t="shared" si="20"/>
        <v>--</v>
      </c>
      <c r="U47" s="1432" t="str">
        <f t="shared" si="21"/>
        <v>SI</v>
      </c>
      <c r="V47" s="1156">
        <f t="shared" si="22"/>
        <v>3556.0188000000003</v>
      </c>
      <c r="W47" s="1240"/>
    </row>
    <row r="48" spans="2:23" s="913" customFormat="1" ht="16.5" customHeight="1">
      <c r="B48" s="927"/>
      <c r="C48" s="561" t="s">
        <v>460</v>
      </c>
      <c r="D48" s="1428" t="s">
        <v>368</v>
      </c>
      <c r="E48" s="1586" t="s">
        <v>369</v>
      </c>
      <c r="F48" s="1587"/>
      <c r="G48" s="1430">
        <v>132</v>
      </c>
      <c r="H48" s="1289">
        <f t="shared" si="12"/>
        <v>119.01</v>
      </c>
      <c r="I48" s="467">
        <v>41393.46041666667</v>
      </c>
      <c r="J48" s="468">
        <v>41393.60625</v>
      </c>
      <c r="K48" s="1146">
        <f t="shared" si="13"/>
        <v>3.4999999998835847</v>
      </c>
      <c r="L48" s="1026">
        <f t="shared" si="14"/>
        <v>210</v>
      </c>
      <c r="M48" s="179" t="s">
        <v>309</v>
      </c>
      <c r="N48" s="1551" t="str">
        <f t="shared" si="15"/>
        <v>--</v>
      </c>
      <c r="O48" s="1552"/>
      <c r="P48" s="1291">
        <f t="shared" si="16"/>
        <v>40</v>
      </c>
      <c r="Q48" s="1431">
        <f t="shared" si="17"/>
        <v>1666.1400000000003</v>
      </c>
      <c r="R48" s="1283" t="str">
        <f t="shared" si="18"/>
        <v>--</v>
      </c>
      <c r="S48" s="1284" t="str">
        <f t="shared" si="19"/>
        <v>--</v>
      </c>
      <c r="T48" s="1285" t="str">
        <f t="shared" si="20"/>
        <v>--</v>
      </c>
      <c r="U48" s="1432" t="str">
        <f t="shared" si="21"/>
        <v>SI</v>
      </c>
      <c r="V48" s="1156">
        <f t="shared" si="22"/>
        <v>1666.1400000000003</v>
      </c>
      <c r="W48" s="1240"/>
    </row>
    <row r="49" spans="2:23" s="913" customFormat="1" ht="16.5" customHeight="1">
      <c r="B49" s="927"/>
      <c r="C49" s="561" t="s">
        <v>462</v>
      </c>
      <c r="D49" s="1428"/>
      <c r="E49" s="1433"/>
      <c r="F49" s="1429"/>
      <c r="G49" s="1430"/>
      <c r="H49" s="1289">
        <f t="shared" si="12"/>
        <v>119.01</v>
      </c>
      <c r="I49" s="467"/>
      <c r="J49" s="468"/>
      <c r="K49" s="1146">
        <f t="shared" si="13"/>
      </c>
      <c r="L49" s="1026">
        <f t="shared" si="14"/>
      </c>
      <c r="M49" s="1027"/>
      <c r="N49" s="1551">
        <f t="shared" si="15"/>
      </c>
      <c r="O49" s="1552"/>
      <c r="P49" s="1291">
        <f t="shared" si="16"/>
        <v>40</v>
      </c>
      <c r="Q49" s="1431" t="str">
        <f t="shared" si="17"/>
        <v>--</v>
      </c>
      <c r="R49" s="1283" t="str">
        <f t="shared" si="18"/>
        <v>--</v>
      </c>
      <c r="S49" s="1284" t="str">
        <f t="shared" si="19"/>
        <v>--</v>
      </c>
      <c r="T49" s="1285" t="str">
        <f t="shared" si="20"/>
        <v>--</v>
      </c>
      <c r="U49" s="1432">
        <f t="shared" si="21"/>
      </c>
      <c r="V49" s="1156">
        <f t="shared" si="22"/>
      </c>
      <c r="W49" s="1240"/>
    </row>
    <row r="50" spans="2:23" s="913" customFormat="1" ht="16.5" customHeight="1">
      <c r="B50" s="927"/>
      <c r="C50" s="561" t="s">
        <v>463</v>
      </c>
      <c r="D50" s="1428"/>
      <c r="E50" s="1433"/>
      <c r="F50" s="1429"/>
      <c r="G50" s="1430"/>
      <c r="H50" s="1289">
        <f t="shared" si="12"/>
        <v>119.01</v>
      </c>
      <c r="I50" s="467"/>
      <c r="J50" s="468"/>
      <c r="K50" s="1146">
        <f t="shared" si="13"/>
      </c>
      <c r="L50" s="1026">
        <f t="shared" si="14"/>
      </c>
      <c r="M50" s="1027"/>
      <c r="N50" s="1551">
        <f t="shared" si="15"/>
      </c>
      <c r="O50" s="1552"/>
      <c r="P50" s="1291">
        <f t="shared" si="16"/>
        <v>40</v>
      </c>
      <c r="Q50" s="1431" t="str">
        <f t="shared" si="17"/>
        <v>--</v>
      </c>
      <c r="R50" s="1283" t="str">
        <f t="shared" si="18"/>
        <v>--</v>
      </c>
      <c r="S50" s="1284" t="str">
        <f t="shared" si="19"/>
        <v>--</v>
      </c>
      <c r="T50" s="1285" t="str">
        <f t="shared" si="20"/>
        <v>--</v>
      </c>
      <c r="U50" s="1432">
        <f t="shared" si="21"/>
      </c>
      <c r="V50" s="1156">
        <f t="shared" si="22"/>
      </c>
      <c r="W50" s="1240"/>
    </row>
    <row r="51" spans="2:23" s="913" customFormat="1" ht="16.5" customHeight="1">
      <c r="B51" s="927"/>
      <c r="C51" s="561" t="s">
        <v>464</v>
      </c>
      <c r="D51" s="1428"/>
      <c r="E51" s="1433"/>
      <c r="F51" s="1429"/>
      <c r="G51" s="1430"/>
      <c r="H51" s="1289">
        <f t="shared" si="12"/>
        <v>119.01</v>
      </c>
      <c r="I51" s="467"/>
      <c r="J51" s="468"/>
      <c r="K51" s="1146">
        <f t="shared" si="13"/>
      </c>
      <c r="L51" s="1026">
        <f t="shared" si="14"/>
      </c>
      <c r="M51" s="1027"/>
      <c r="N51" s="1551">
        <f t="shared" si="15"/>
      </c>
      <c r="O51" s="1552"/>
      <c r="P51" s="1291">
        <f t="shared" si="16"/>
        <v>40</v>
      </c>
      <c r="Q51" s="1431" t="str">
        <f t="shared" si="17"/>
        <v>--</v>
      </c>
      <c r="R51" s="1283" t="str">
        <f t="shared" si="18"/>
        <v>--</v>
      </c>
      <c r="S51" s="1284" t="str">
        <f t="shared" si="19"/>
        <v>--</v>
      </c>
      <c r="T51" s="1285" t="str">
        <f t="shared" si="20"/>
        <v>--</v>
      </c>
      <c r="U51" s="1432">
        <f t="shared" si="21"/>
      </c>
      <c r="V51" s="1156">
        <f t="shared" si="22"/>
      </c>
      <c r="W51" s="1240"/>
    </row>
    <row r="52" spans="2:23" s="913" customFormat="1" ht="16.5" customHeight="1">
      <c r="B52" s="927"/>
      <c r="C52" s="561" t="s">
        <v>465</v>
      </c>
      <c r="D52" s="1428"/>
      <c r="E52" s="1433"/>
      <c r="F52" s="1429"/>
      <c r="G52" s="1430"/>
      <c r="H52" s="1289">
        <f t="shared" si="12"/>
        <v>119.01</v>
      </c>
      <c r="I52" s="467"/>
      <c r="J52" s="468"/>
      <c r="K52" s="1146">
        <f t="shared" si="13"/>
      </c>
      <c r="L52" s="1026">
        <f t="shared" si="14"/>
      </c>
      <c r="M52" s="1027"/>
      <c r="N52" s="1551">
        <f t="shared" si="15"/>
      </c>
      <c r="O52" s="1552"/>
      <c r="P52" s="1291">
        <f t="shared" si="16"/>
        <v>40</v>
      </c>
      <c r="Q52" s="1431" t="str">
        <f t="shared" si="17"/>
        <v>--</v>
      </c>
      <c r="R52" s="1283" t="str">
        <f t="shared" si="18"/>
        <v>--</v>
      </c>
      <c r="S52" s="1284" t="str">
        <f t="shared" si="19"/>
        <v>--</v>
      </c>
      <c r="T52" s="1285" t="str">
        <f t="shared" si="20"/>
        <v>--</v>
      </c>
      <c r="U52" s="1432">
        <f t="shared" si="21"/>
      </c>
      <c r="V52" s="1156">
        <f t="shared" si="22"/>
      </c>
      <c r="W52" s="1240"/>
    </row>
    <row r="53" spans="2:23" s="913" customFormat="1" ht="16.5" customHeight="1">
      <c r="B53" s="927"/>
      <c r="C53" s="561" t="s">
        <v>466</v>
      </c>
      <c r="D53" s="1434"/>
      <c r="E53" s="1433"/>
      <c r="F53" s="1429"/>
      <c r="G53" s="1430"/>
      <c r="H53" s="1289">
        <f t="shared" si="12"/>
        <v>119.01</v>
      </c>
      <c r="I53" s="1435"/>
      <c r="J53" s="1436"/>
      <c r="K53" s="1146">
        <f t="shared" si="13"/>
      </c>
      <c r="L53" s="1026">
        <f t="shared" si="14"/>
      </c>
      <c r="M53" s="1027"/>
      <c r="N53" s="1551">
        <f t="shared" si="15"/>
      </c>
      <c r="O53" s="1552"/>
      <c r="P53" s="1291">
        <f t="shared" si="16"/>
        <v>40</v>
      </c>
      <c r="Q53" s="1431" t="str">
        <f t="shared" si="17"/>
        <v>--</v>
      </c>
      <c r="R53" s="1283" t="str">
        <f t="shared" si="18"/>
        <v>--</v>
      </c>
      <c r="S53" s="1284" t="str">
        <f t="shared" si="19"/>
        <v>--</v>
      </c>
      <c r="T53" s="1285" t="str">
        <f t="shared" si="20"/>
        <v>--</v>
      </c>
      <c r="U53" s="1432">
        <f t="shared" si="21"/>
      </c>
      <c r="V53" s="1156">
        <f t="shared" si="22"/>
      </c>
      <c r="W53" s="1240"/>
    </row>
    <row r="54" spans="2:23" s="913" customFormat="1" ht="16.5" customHeight="1">
      <c r="B54" s="927"/>
      <c r="C54" s="563" t="s">
        <v>467</v>
      </c>
      <c r="D54" s="1331"/>
      <c r="E54" s="1433"/>
      <c r="F54" s="1429"/>
      <c r="G54" s="1430"/>
      <c r="H54" s="1289">
        <f t="shared" si="12"/>
        <v>119.01</v>
      </c>
      <c r="I54" s="1437"/>
      <c r="J54" s="1438"/>
      <c r="K54" s="1439">
        <f t="shared" si="13"/>
      </c>
      <c r="L54" s="1026">
        <f t="shared" si="14"/>
      </c>
      <c r="M54" s="1027"/>
      <c r="N54" s="1551">
        <f t="shared" si="15"/>
      </c>
      <c r="O54" s="1552"/>
      <c r="P54" s="1291">
        <f t="shared" si="16"/>
        <v>40</v>
      </c>
      <c r="Q54" s="1431" t="str">
        <f t="shared" si="17"/>
        <v>--</v>
      </c>
      <c r="R54" s="1283" t="str">
        <f t="shared" si="18"/>
        <v>--</v>
      </c>
      <c r="S54" s="1284" t="str">
        <f t="shared" si="19"/>
        <v>--</v>
      </c>
      <c r="T54" s="1285" t="str">
        <f t="shared" si="20"/>
        <v>--</v>
      </c>
      <c r="U54" s="1432">
        <f t="shared" si="21"/>
      </c>
      <c r="V54" s="1156">
        <f t="shared" si="22"/>
      </c>
      <c r="W54" s="1240"/>
    </row>
    <row r="55" spans="2:23" s="913" customFormat="1" ht="16.5" customHeight="1">
      <c r="B55" s="927"/>
      <c r="C55" s="563" t="s">
        <v>468</v>
      </c>
      <c r="D55" s="1331"/>
      <c r="E55" s="1391"/>
      <c r="F55" s="1440"/>
      <c r="G55" s="1441"/>
      <c r="H55" s="1289">
        <f t="shared" si="12"/>
        <v>119.01</v>
      </c>
      <c r="I55" s="1437"/>
      <c r="J55" s="1438"/>
      <c r="K55" s="1146">
        <f t="shared" si="13"/>
      </c>
      <c r="L55" s="1026"/>
      <c r="M55" s="1027"/>
      <c r="N55" s="1551">
        <f t="shared" si="15"/>
      </c>
      <c r="O55" s="1552"/>
      <c r="P55" s="1291">
        <f t="shared" si="16"/>
        <v>40</v>
      </c>
      <c r="Q55" s="1431" t="str">
        <f t="shared" si="17"/>
        <v>--</v>
      </c>
      <c r="R55" s="1283" t="str">
        <f t="shared" si="18"/>
        <v>--</v>
      </c>
      <c r="S55" s="1284" t="str">
        <f t="shared" si="19"/>
        <v>--</v>
      </c>
      <c r="T55" s="1285" t="str">
        <f t="shared" si="20"/>
        <v>--</v>
      </c>
      <c r="U55" s="1432">
        <f t="shared" si="21"/>
      </c>
      <c r="V55" s="1156">
        <f t="shared" si="22"/>
      </c>
      <c r="W55" s="1240"/>
    </row>
    <row r="56" spans="2:23" s="913" customFormat="1" ht="16.5" customHeight="1">
      <c r="B56" s="927"/>
      <c r="C56" s="563" t="s">
        <v>469</v>
      </c>
      <c r="D56" s="1387"/>
      <c r="E56" s="1391"/>
      <c r="F56" s="1440"/>
      <c r="G56" s="1442"/>
      <c r="H56" s="1443"/>
      <c r="I56" s="1437"/>
      <c r="J56" s="1438"/>
      <c r="K56" s="1439"/>
      <c r="L56" s="1444"/>
      <c r="M56" s="881"/>
      <c r="N56" s="1551">
        <f t="shared" si="15"/>
      </c>
      <c r="O56" s="1552"/>
      <c r="P56" s="1445"/>
      <c r="Q56" s="1446"/>
      <c r="R56" s="1447"/>
      <c r="S56" s="1448"/>
      <c r="T56" s="1449"/>
      <c r="U56" s="1450"/>
      <c r="V56" s="1451"/>
      <c r="W56" s="1240"/>
    </row>
    <row r="57" spans="2:28" s="913" customFormat="1" ht="16.5" customHeight="1" thickBot="1">
      <c r="B57" s="927"/>
      <c r="C57" s="1103"/>
      <c r="D57" s="1452"/>
      <c r="E57" s="1582"/>
      <c r="F57" s="1583"/>
      <c r="G57" s="1453"/>
      <c r="H57" s="1454"/>
      <c r="I57" s="1455"/>
      <c r="J57" s="1456"/>
      <c r="K57" s="1457"/>
      <c r="L57" s="1458"/>
      <c r="M57" s="1377"/>
      <c r="N57" s="1584"/>
      <c r="O57" s="1585"/>
      <c r="P57" s="1459"/>
      <c r="Q57" s="1460"/>
      <c r="R57" s="1461"/>
      <c r="S57" s="1462"/>
      <c r="T57" s="1463"/>
      <c r="U57" s="1464"/>
      <c r="V57" s="1465"/>
      <c r="W57" s="1240"/>
      <c r="X57" s="914"/>
      <c r="Y57" s="914"/>
      <c r="Z57" s="914"/>
      <c r="AA57" s="914"/>
      <c r="AB57" s="914"/>
    </row>
    <row r="58" spans="1:23" ht="17.25" thickBot="1" thickTop="1">
      <c r="A58" s="952"/>
      <c r="B58" s="953"/>
      <c r="C58" s="957"/>
      <c r="D58" s="1167"/>
      <c r="E58" s="1168"/>
      <c r="F58" s="1169"/>
      <c r="G58" s="1170"/>
      <c r="H58" s="1170"/>
      <c r="I58" s="1168"/>
      <c r="J58" s="1171"/>
      <c r="K58" s="1171"/>
      <c r="L58" s="1168"/>
      <c r="M58" s="1168"/>
      <c r="N58" s="1168"/>
      <c r="O58" s="1172"/>
      <c r="P58" s="1168"/>
      <c r="Q58" s="1168"/>
      <c r="R58" s="1173"/>
      <c r="S58" s="1174"/>
      <c r="T58" s="1174"/>
      <c r="U58" s="1175"/>
      <c r="V58" s="1128">
        <f>SUM(V43:V57)</f>
        <v>34137.79860000001</v>
      </c>
      <c r="W58" s="1157"/>
    </row>
    <row r="59" spans="1:23" ht="21" customHeight="1" thickBot="1" thickTop="1">
      <c r="A59" s="952"/>
      <c r="B59" s="953"/>
      <c r="C59" s="957"/>
      <c r="D59" s="1167"/>
      <c r="E59" s="1168"/>
      <c r="F59" s="1169"/>
      <c r="G59" s="1170"/>
      <c r="H59" s="1170"/>
      <c r="I59" s="973" t="s">
        <v>108</v>
      </c>
      <c r="J59" s="974">
        <f>+V58+V39</f>
        <v>34137.79860000001</v>
      </c>
      <c r="L59" s="1168"/>
      <c r="M59" s="1168"/>
      <c r="N59" s="1168"/>
      <c r="O59" s="1172"/>
      <c r="P59" s="1168"/>
      <c r="Q59" s="1168"/>
      <c r="R59" s="1173"/>
      <c r="S59" s="1174"/>
      <c r="T59" s="1174"/>
      <c r="U59" s="1175"/>
      <c r="W59" s="1157"/>
    </row>
    <row r="60" spans="1:23" ht="13.5" customHeight="1" thickTop="1">
      <c r="A60" s="952"/>
      <c r="B60" s="953"/>
      <c r="C60" s="957"/>
      <c r="D60" s="1167"/>
      <c r="E60" s="1168"/>
      <c r="F60" s="1169"/>
      <c r="G60" s="1170"/>
      <c r="H60" s="1170"/>
      <c r="I60" s="1168"/>
      <c r="J60" s="1171"/>
      <c r="K60" s="1171"/>
      <c r="L60" s="1168"/>
      <c r="M60" s="1168"/>
      <c r="N60" s="1168"/>
      <c r="O60" s="1172"/>
      <c r="P60" s="1168"/>
      <c r="Q60" s="1168"/>
      <c r="R60" s="1173"/>
      <c r="S60" s="1174"/>
      <c r="T60" s="1174"/>
      <c r="U60" s="1175"/>
      <c r="W60" s="1157"/>
    </row>
    <row r="61" spans="1:23" ht="16.5" customHeight="1">
      <c r="A61" s="952"/>
      <c r="B61" s="953"/>
      <c r="C61" s="1176" t="s">
        <v>109</v>
      </c>
      <c r="D61" s="1177" t="s">
        <v>300</v>
      </c>
      <c r="E61" s="1168"/>
      <c r="F61" s="1169"/>
      <c r="G61" s="1170"/>
      <c r="H61" s="1170"/>
      <c r="I61" s="1168"/>
      <c r="J61" s="1171"/>
      <c r="K61" s="1171"/>
      <c r="L61" s="1168"/>
      <c r="M61" s="1168"/>
      <c r="N61" s="1168"/>
      <c r="O61" s="1172"/>
      <c r="P61" s="1168"/>
      <c r="Q61" s="1168"/>
      <c r="R61" s="1173"/>
      <c r="S61" s="1174"/>
      <c r="T61" s="1174"/>
      <c r="U61" s="1175"/>
      <c r="W61" s="1157"/>
    </row>
    <row r="62" spans="1:23" ht="16.5" customHeight="1">
      <c r="A62" s="952"/>
      <c r="B62" s="953"/>
      <c r="C62" s="1176"/>
      <c r="D62" s="1167"/>
      <c r="E62" s="1168"/>
      <c r="F62" s="1169"/>
      <c r="G62" s="1170"/>
      <c r="H62" s="1170"/>
      <c r="I62" s="1168"/>
      <c r="J62" s="1171"/>
      <c r="K62" s="1171"/>
      <c r="L62" s="1168"/>
      <c r="M62" s="1168"/>
      <c r="N62" s="1168"/>
      <c r="O62" s="1172"/>
      <c r="P62" s="1168"/>
      <c r="Q62" s="1168"/>
      <c r="R62" s="1168"/>
      <c r="S62" s="1173"/>
      <c r="T62" s="1174"/>
      <c r="W62" s="1157"/>
    </row>
    <row r="63" spans="2:23" s="952" customFormat="1" ht="16.5" customHeight="1">
      <c r="B63" s="953"/>
      <c r="C63" s="957"/>
      <c r="D63" s="1178" t="s">
        <v>434</v>
      </c>
      <c r="E63" s="1070" t="s">
        <v>119</v>
      </c>
      <c r="F63" s="1070" t="s">
        <v>111</v>
      </c>
      <c r="G63" s="1179" t="s">
        <v>305</v>
      </c>
      <c r="H63" s="914"/>
      <c r="I63" s="1466"/>
      <c r="J63" s="1190" t="s">
        <v>120</v>
      </c>
      <c r="K63" s="1190"/>
      <c r="L63" s="1070" t="s">
        <v>111</v>
      </c>
      <c r="M63" s="914" t="s">
        <v>470</v>
      </c>
      <c r="O63" s="1179" t="s">
        <v>483</v>
      </c>
      <c r="P63" s="914"/>
      <c r="Q63" s="1183"/>
      <c r="R63" s="1183"/>
      <c r="S63" s="954"/>
      <c r="T63" s="914"/>
      <c r="U63" s="914"/>
      <c r="V63" s="914"/>
      <c r="W63" s="1157"/>
    </row>
    <row r="64" spans="2:23" s="952" customFormat="1" ht="16.5" customHeight="1">
      <c r="B64" s="953"/>
      <c r="C64" s="957"/>
      <c r="D64" s="1467" t="s">
        <v>471</v>
      </c>
      <c r="E64" s="1467">
        <v>300</v>
      </c>
      <c r="F64" s="1468">
        <v>500</v>
      </c>
      <c r="G64" s="1580">
        <f>+E64*$F$20*$F$21</f>
        <v>161784</v>
      </c>
      <c r="H64" s="1580"/>
      <c r="I64" s="1580"/>
      <c r="J64" s="1470" t="s">
        <v>472</v>
      </c>
      <c r="K64" s="1470"/>
      <c r="L64" s="1467">
        <v>500</v>
      </c>
      <c r="M64" s="1467">
        <v>2</v>
      </c>
      <c r="O64" s="1580">
        <f>+M64*$F$20*$M$19</f>
        <v>214215.84</v>
      </c>
      <c r="P64" s="1580"/>
      <c r="Q64" s="1580"/>
      <c r="R64" s="1580"/>
      <c r="S64" s="1580"/>
      <c r="T64" s="1580"/>
      <c r="U64" s="1580"/>
      <c r="V64" s="914"/>
      <c r="W64" s="1157"/>
    </row>
    <row r="65" spans="2:23" s="952" customFormat="1" ht="16.5" customHeight="1">
      <c r="B65" s="953"/>
      <c r="C65" s="957"/>
      <c r="D65" s="1467" t="s">
        <v>473</v>
      </c>
      <c r="E65" s="1081">
        <v>300</v>
      </c>
      <c r="F65" s="1468">
        <v>500</v>
      </c>
      <c r="G65" s="1580">
        <f>+E65*$F$20*$F$21</f>
        <v>161784</v>
      </c>
      <c r="H65" s="1580"/>
      <c r="I65" s="1580"/>
      <c r="J65" s="1470" t="s">
        <v>472</v>
      </c>
      <c r="K65" s="1470"/>
      <c r="L65" s="1467">
        <v>132</v>
      </c>
      <c r="M65" s="1467">
        <v>9</v>
      </c>
      <c r="O65" s="1580">
        <f>+M65*$F$20*$M$21</f>
        <v>771184.8</v>
      </c>
      <c r="P65" s="1580"/>
      <c r="Q65" s="1580"/>
      <c r="R65" s="1580"/>
      <c r="S65" s="1580"/>
      <c r="T65" s="1580"/>
      <c r="U65" s="1580"/>
      <c r="V65" s="914"/>
      <c r="W65" s="1157"/>
    </row>
    <row r="66" spans="2:23" s="952" customFormat="1" ht="16.5" customHeight="1">
      <c r="B66" s="953"/>
      <c r="C66" s="957"/>
      <c r="D66" s="1471" t="s">
        <v>474</v>
      </c>
      <c r="E66" s="1081">
        <v>300</v>
      </c>
      <c r="F66" s="1468">
        <v>500</v>
      </c>
      <c r="G66" s="1580">
        <f>+E66*$F$20*$F$21</f>
        <v>161784</v>
      </c>
      <c r="H66" s="1580"/>
      <c r="I66" s="1580"/>
      <c r="J66" s="1470" t="s">
        <v>475</v>
      </c>
      <c r="K66" s="1470"/>
      <c r="L66" s="1467">
        <v>132</v>
      </c>
      <c r="M66" s="1467">
        <v>8</v>
      </c>
      <c r="O66" s="1580">
        <f>+M66*$F$20*$M$21</f>
        <v>685497.6</v>
      </c>
      <c r="P66" s="1580"/>
      <c r="Q66" s="1580"/>
      <c r="R66" s="1580"/>
      <c r="S66" s="1580"/>
      <c r="T66" s="1580"/>
      <c r="U66" s="1580"/>
      <c r="V66" s="914"/>
      <c r="W66" s="1157"/>
    </row>
    <row r="67" spans="1:23" ht="16.5" customHeight="1">
      <c r="A67" s="952"/>
      <c r="B67" s="953"/>
      <c r="C67" s="957"/>
      <c r="D67" s="1471" t="s">
        <v>476</v>
      </c>
      <c r="E67" s="1081">
        <v>300</v>
      </c>
      <c r="F67" s="1468">
        <v>500</v>
      </c>
      <c r="G67" s="1580">
        <f>+E67*$F$20*$F$21</f>
        <v>161784</v>
      </c>
      <c r="H67" s="1580"/>
      <c r="I67" s="1580"/>
      <c r="J67" s="1470" t="s">
        <v>477</v>
      </c>
      <c r="K67" s="1470"/>
      <c r="L67" s="1467">
        <v>132</v>
      </c>
      <c r="M67" s="1467">
        <v>5</v>
      </c>
      <c r="O67" s="1581">
        <f>+M67*$F$20*$M$21</f>
        <v>428436</v>
      </c>
      <c r="P67" s="1581"/>
      <c r="Q67" s="1581"/>
      <c r="R67" s="1581"/>
      <c r="S67" s="1581"/>
      <c r="T67" s="1581"/>
      <c r="U67" s="1581"/>
      <c r="W67" s="1157"/>
    </row>
    <row r="68" spans="1:23" ht="16.5" customHeight="1">
      <c r="A68" s="952"/>
      <c r="B68" s="953"/>
      <c r="C68" s="957"/>
      <c r="D68" s="1471" t="s">
        <v>478</v>
      </c>
      <c r="E68" s="1081">
        <v>600</v>
      </c>
      <c r="F68" s="1468">
        <v>500</v>
      </c>
      <c r="G68" s="1581">
        <f>+E68*$F$20*$F$21</f>
        <v>323568</v>
      </c>
      <c r="H68" s="1581"/>
      <c r="I68" s="1581"/>
      <c r="M68" s="1467"/>
      <c r="O68" s="1580">
        <f>SUM(O64:P67)</f>
        <v>2099334.24</v>
      </c>
      <c r="P68" s="1580"/>
      <c r="Q68" s="1580"/>
      <c r="R68" s="1580"/>
      <c r="S68" s="1580"/>
      <c r="T68" s="1580"/>
      <c r="U68" s="1580"/>
      <c r="W68" s="1157"/>
    </row>
    <row r="69" spans="1:23" ht="16.5" customHeight="1">
      <c r="A69" s="952"/>
      <c r="B69" s="953"/>
      <c r="C69" s="957"/>
      <c r="D69" s="1471"/>
      <c r="E69" s="1081"/>
      <c r="F69" s="1468"/>
      <c r="G69" s="1580">
        <f>SUM(G64:G68)</f>
        <v>970704</v>
      </c>
      <c r="H69" s="1580"/>
      <c r="I69" s="1580"/>
      <c r="M69" s="1467"/>
      <c r="N69" s="1466"/>
      <c r="O69" s="1466"/>
      <c r="P69" s="1397"/>
      <c r="Q69" s="1397"/>
      <c r="R69" s="1397"/>
      <c r="S69" s="1397"/>
      <c r="W69" s="1157"/>
    </row>
    <row r="70" spans="1:23" ht="16.5" customHeight="1">
      <c r="A70" s="952"/>
      <c r="B70" s="953"/>
      <c r="C70" s="957"/>
      <c r="D70" s="1471"/>
      <c r="E70" s="1081"/>
      <c r="F70" s="1468"/>
      <c r="G70" s="1469"/>
      <c r="H70" s="1469"/>
      <c r="I70" s="1469"/>
      <c r="M70" s="1467"/>
      <c r="N70" s="1466"/>
      <c r="O70" s="1466"/>
      <c r="P70" s="1397"/>
      <c r="Q70" s="1397"/>
      <c r="R70" s="1397"/>
      <c r="S70" s="1397"/>
      <c r="W70" s="1157"/>
    </row>
    <row r="71" spans="1:23" ht="16.5" customHeight="1">
      <c r="A71" s="952"/>
      <c r="B71" s="1578" t="s">
        <v>479</v>
      </c>
      <c r="C71" s="1579"/>
      <c r="D71" s="1579"/>
      <c r="E71" s="1081" t="s">
        <v>480</v>
      </c>
      <c r="F71" s="1472">
        <v>13202.92</v>
      </c>
      <c r="G71" s="1469"/>
      <c r="H71" s="1469"/>
      <c r="I71" s="1469"/>
      <c r="M71" s="1467"/>
      <c r="N71" s="1466"/>
      <c r="O71" s="1466"/>
      <c r="P71" s="1397"/>
      <c r="Q71" s="1397"/>
      <c r="R71" s="1397"/>
      <c r="S71" s="1397"/>
      <c r="W71" s="1157"/>
    </row>
    <row r="72" spans="1:23" ht="16.5" customHeight="1" thickBot="1">
      <c r="A72" s="952"/>
      <c r="B72" s="953"/>
      <c r="C72" s="957"/>
      <c r="D72" s="1178"/>
      <c r="E72" s="1191"/>
      <c r="F72" s="1191"/>
      <c r="G72" s="1070"/>
      <c r="I72" s="1181"/>
      <c r="J72" s="1179"/>
      <c r="L72" s="1180"/>
      <c r="M72" s="1181"/>
      <c r="N72" s="1182"/>
      <c r="O72" s="1183"/>
      <c r="P72" s="1183"/>
      <c r="Q72" s="1183"/>
      <c r="R72" s="1183"/>
      <c r="S72" s="1183"/>
      <c r="W72" s="1157"/>
    </row>
    <row r="73" spans="1:23" ht="21" customHeight="1" thickBot="1" thickTop="1">
      <c r="A73" s="952"/>
      <c r="B73" s="953"/>
      <c r="C73" s="957"/>
      <c r="D73" s="1070"/>
      <c r="E73" s="1399"/>
      <c r="F73" s="1399"/>
      <c r="G73" s="1186"/>
      <c r="H73" s="942"/>
      <c r="I73" s="973" t="s">
        <v>123</v>
      </c>
      <c r="J73" s="974">
        <f>+G69+O68+F71</f>
        <v>3083241.16</v>
      </c>
      <c r="L73" s="1188"/>
      <c r="M73" s="942"/>
      <c r="N73" s="1194"/>
      <c r="O73" s="1397"/>
      <c r="P73" s="1397"/>
      <c r="Q73" s="1397"/>
      <c r="R73" s="1397"/>
      <c r="S73" s="1397"/>
      <c r="U73" s="973" t="s">
        <v>481</v>
      </c>
      <c r="V73" s="974">
        <v>1132205.32</v>
      </c>
      <c r="W73" s="1157"/>
    </row>
    <row r="74" spans="1:23" ht="16.5" customHeight="1" thickTop="1">
      <c r="A74" s="952"/>
      <c r="B74" s="953"/>
      <c r="C74" s="957"/>
      <c r="D74" s="1171"/>
      <c r="E74" s="962"/>
      <c r="F74" s="1070"/>
      <c r="G74" s="1070"/>
      <c r="H74" s="1071"/>
      <c r="J74" s="1070"/>
      <c r="L74" s="1195"/>
      <c r="M74" s="1182"/>
      <c r="N74" s="1182"/>
      <c r="O74" s="1183"/>
      <c r="P74" s="1183"/>
      <c r="Q74" s="1183"/>
      <c r="R74" s="1183"/>
      <c r="S74" s="1183"/>
      <c r="W74" s="1157"/>
    </row>
    <row r="75" spans="2:23" ht="16.5" customHeight="1">
      <c r="B75" s="953"/>
      <c r="C75" s="1176" t="s">
        <v>114</v>
      </c>
      <c r="D75" s="1198" t="s">
        <v>115</v>
      </c>
      <c r="E75" s="1070"/>
      <c r="F75" s="1199"/>
      <c r="G75" s="1069"/>
      <c r="H75" s="1171"/>
      <c r="I75" s="1171"/>
      <c r="J75" s="1171"/>
      <c r="K75" s="1070"/>
      <c r="L75" s="1070"/>
      <c r="M75" s="1171"/>
      <c r="N75" s="1070"/>
      <c r="O75" s="1171"/>
      <c r="P75" s="1171"/>
      <c r="Q75" s="1171"/>
      <c r="R75" s="1171"/>
      <c r="S75" s="1171"/>
      <c r="T75" s="1171"/>
      <c r="U75" s="1171"/>
      <c r="W75" s="1157"/>
    </row>
    <row r="76" spans="2:23" s="952" customFormat="1" ht="16.5" customHeight="1">
      <c r="B76" s="953"/>
      <c r="C76" s="957"/>
      <c r="D76" s="1178" t="s">
        <v>116</v>
      </c>
      <c r="E76" s="1200">
        <f>10*J59*J25/J73</f>
        <v>3133.958323585088</v>
      </c>
      <c r="G76" s="1069"/>
      <c r="L76" s="1070"/>
      <c r="N76" s="1070"/>
      <c r="O76" s="1071"/>
      <c r="V76" s="914"/>
      <c r="W76" s="1157"/>
    </row>
    <row r="77" spans="2:23" s="952" customFormat="1" ht="12.75" customHeight="1">
      <c r="B77" s="953"/>
      <c r="C77" s="957"/>
      <c r="E77" s="1201"/>
      <c r="F77" s="971"/>
      <c r="G77" s="1069"/>
      <c r="J77" s="1069"/>
      <c r="K77" s="1089"/>
      <c r="L77" s="1070"/>
      <c r="M77" s="1070"/>
      <c r="N77" s="1070"/>
      <c r="O77" s="1071"/>
      <c r="P77" s="1070"/>
      <c r="Q77" s="1070"/>
      <c r="R77" s="1088"/>
      <c r="S77" s="1088"/>
      <c r="T77" s="1088"/>
      <c r="U77" s="1202"/>
      <c r="V77" s="914"/>
      <c r="W77" s="1157"/>
    </row>
    <row r="78" spans="2:23" ht="16.5" customHeight="1">
      <c r="B78" s="953"/>
      <c r="C78" s="957"/>
      <c r="D78" s="1203" t="s">
        <v>482</v>
      </c>
      <c r="E78" s="1204"/>
      <c r="F78" s="971"/>
      <c r="G78" s="1069"/>
      <c r="H78" s="1171"/>
      <c r="I78" s="1171"/>
      <c r="N78" s="1070"/>
      <c r="O78" s="1071"/>
      <c r="P78" s="1070"/>
      <c r="Q78" s="1070"/>
      <c r="R78" s="1181"/>
      <c r="S78" s="1181"/>
      <c r="T78" s="1181"/>
      <c r="U78" s="1182"/>
      <c r="W78" s="1157"/>
    </row>
    <row r="79" spans="2:23" ht="13.5" customHeight="1" thickBot="1">
      <c r="B79" s="953"/>
      <c r="C79" s="957"/>
      <c r="D79" s="1203"/>
      <c r="E79" s="1204"/>
      <c r="F79" s="971"/>
      <c r="G79" s="1069"/>
      <c r="H79" s="1171"/>
      <c r="I79" s="1171"/>
      <c r="N79" s="1070"/>
      <c r="O79" s="1071"/>
      <c r="P79" s="1070"/>
      <c r="Q79" s="1070"/>
      <c r="R79" s="1181"/>
      <c r="S79" s="1181"/>
      <c r="T79" s="1181"/>
      <c r="U79" s="1182"/>
      <c r="W79" s="1157"/>
    </row>
    <row r="80" spans="2:23" s="1205" customFormat="1" ht="21" thickBot="1" thickTop="1">
      <c r="B80" s="1206"/>
      <c r="C80" s="1207"/>
      <c r="D80" s="1208"/>
      <c r="E80" s="1209"/>
      <c r="F80" s="1210"/>
      <c r="G80" s="1211"/>
      <c r="I80" s="1212" t="s">
        <v>118</v>
      </c>
      <c r="J80" s="1213">
        <f>IF(E76&gt;3*J25,J25*3,E76)</f>
        <v>3133.958323585088</v>
      </c>
      <c r="M80" s="1215" t="s">
        <v>484</v>
      </c>
      <c r="N80" s="1215"/>
      <c r="O80" s="1216"/>
      <c r="P80" s="1214"/>
      <c r="Q80" s="1214"/>
      <c r="R80" s="1217"/>
      <c r="S80" s="1217"/>
      <c r="T80" s="1217"/>
      <c r="U80" s="1218"/>
      <c r="V80" s="914"/>
      <c r="W80" s="1219"/>
    </row>
    <row r="81" spans="2:23" ht="16.5" customHeight="1" thickBot="1" thickTop="1">
      <c r="B81" s="1220"/>
      <c r="C81" s="1221"/>
      <c r="D81" s="1221"/>
      <c r="E81" s="1221"/>
      <c r="F81" s="1221"/>
      <c r="G81" s="1221"/>
      <c r="H81" s="1221"/>
      <c r="I81" s="1221"/>
      <c r="J81" s="1221"/>
      <c r="K81" s="1221"/>
      <c r="L81" s="1221"/>
      <c r="M81" s="1221"/>
      <c r="N81" s="1221"/>
      <c r="O81" s="1221"/>
      <c r="P81" s="1221"/>
      <c r="Q81" s="1221"/>
      <c r="R81" s="1221"/>
      <c r="S81" s="1221"/>
      <c r="T81" s="1221"/>
      <c r="U81" s="1221"/>
      <c r="V81" s="1222"/>
      <c r="W81" s="1223"/>
    </row>
    <row r="82" spans="2:23" ht="16.5" customHeight="1" thickTop="1">
      <c r="B82" s="949"/>
      <c r="C82" s="1224"/>
      <c r="W82" s="949"/>
    </row>
  </sheetData>
  <sheetProtection/>
  <mergeCells count="38">
    <mergeCell ref="E44:F44"/>
    <mergeCell ref="N44:O44"/>
    <mergeCell ref="E45:F45"/>
    <mergeCell ref="N45:O45"/>
    <mergeCell ref="E46:F46"/>
    <mergeCell ref="N46:O46"/>
    <mergeCell ref="E41:F41"/>
    <mergeCell ref="N41:O41"/>
    <mergeCell ref="E42:F42"/>
    <mergeCell ref="N42:O42"/>
    <mergeCell ref="E43:F43"/>
    <mergeCell ref="N43:O43"/>
    <mergeCell ref="N49:O49"/>
    <mergeCell ref="N50:O50"/>
    <mergeCell ref="E47:F47"/>
    <mergeCell ref="N47:O47"/>
    <mergeCell ref="E48:F48"/>
    <mergeCell ref="N48:O48"/>
    <mergeCell ref="N55:O55"/>
    <mergeCell ref="N56:O56"/>
    <mergeCell ref="N53:O53"/>
    <mergeCell ref="N54:O54"/>
    <mergeCell ref="N51:O51"/>
    <mergeCell ref="N52:O52"/>
    <mergeCell ref="G65:I65"/>
    <mergeCell ref="O65:U65"/>
    <mergeCell ref="G66:I66"/>
    <mergeCell ref="O66:U66"/>
    <mergeCell ref="E57:F57"/>
    <mergeCell ref="N57:O57"/>
    <mergeCell ref="G64:I64"/>
    <mergeCell ref="O64:U64"/>
    <mergeCell ref="B71:D71"/>
    <mergeCell ref="G69:I69"/>
    <mergeCell ref="G67:I67"/>
    <mergeCell ref="O67:U67"/>
    <mergeCell ref="G68:I68"/>
    <mergeCell ref="O68:U68"/>
  </mergeCells>
  <printOptions/>
  <pageMargins left="1.06" right="0.19" top="0.49" bottom="0.57" header="0" footer="0"/>
  <pageSetup fitToHeight="1" fitToWidth="1" horizontalDpi="600" verticalDpi="600" orientation="landscape" paperSize="9" scale="38" r:id="rId2"/>
  <headerFooter alignWithMargins="0">
    <oddFooter>&amp;L&amp;F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95"/>
  <sheetViews>
    <sheetView zoomScale="60" zoomScaleNormal="60" zoomScalePageLayoutView="0" workbookViewId="0" topLeftCell="A1">
      <selection activeCell="E46" sqref="E46"/>
    </sheetView>
  </sheetViews>
  <sheetFormatPr defaultColWidth="11.421875" defaultRowHeight="12.75"/>
  <cols>
    <col min="1" max="1" width="25.421875" style="914" customWidth="1"/>
    <col min="2" max="2" width="19.140625" style="914" customWidth="1"/>
    <col min="3" max="3" width="4.7109375" style="914" customWidth="1"/>
    <col min="4" max="4" width="36.421875" style="914" customWidth="1"/>
    <col min="5" max="5" width="22.7109375" style="914" customWidth="1"/>
    <col min="6" max="6" width="15.00390625" style="914" customWidth="1"/>
    <col min="7" max="7" width="14.7109375" style="914" customWidth="1"/>
    <col min="8" max="8" width="11.28125" style="914" hidden="1" customWidth="1"/>
    <col min="9" max="9" width="13.00390625" style="914" hidden="1" customWidth="1"/>
    <col min="10" max="11" width="18.7109375" style="914" customWidth="1"/>
    <col min="12" max="13" width="10.7109375" style="914" customWidth="1"/>
    <col min="14" max="14" width="9.7109375" style="914" customWidth="1"/>
    <col min="15" max="15" width="10.57421875" style="914" customWidth="1"/>
    <col min="16" max="16" width="8.421875" style="914" customWidth="1"/>
    <col min="17" max="17" width="5.8515625" style="914" customWidth="1"/>
    <col min="18" max="18" width="12.140625" style="914" hidden="1" customWidth="1"/>
    <col min="19" max="19" width="13.00390625" style="914" hidden="1" customWidth="1"/>
    <col min="20" max="21" width="8.421875" style="914" hidden="1" customWidth="1"/>
    <col min="22" max="22" width="11.7109375" style="914" hidden="1" customWidth="1"/>
    <col min="23" max="27" width="8.421875" style="914" hidden="1" customWidth="1"/>
    <col min="28" max="28" width="9.7109375" style="914" customWidth="1"/>
    <col min="29" max="29" width="22.140625" style="914" customWidth="1"/>
    <col min="30" max="30" width="13.7109375" style="914" customWidth="1"/>
    <col min="31" max="31" width="4.140625" style="914" customWidth="1"/>
    <col min="32" max="32" width="7.140625" style="914" customWidth="1"/>
    <col min="33" max="33" width="5.28125" style="914" customWidth="1"/>
    <col min="34" max="34" width="5.421875" style="914" customWidth="1"/>
    <col min="35" max="35" width="4.7109375" style="914" customWidth="1"/>
    <col min="36" max="36" width="5.28125" style="914" customWidth="1"/>
    <col min="37" max="38" width="13.28125" style="914" customWidth="1"/>
    <col min="39" max="39" width="6.57421875" style="914" customWidth="1"/>
    <col min="40" max="40" width="6.421875" style="914" customWidth="1"/>
    <col min="41" max="44" width="11.421875" style="914" customWidth="1"/>
    <col min="45" max="45" width="12.7109375" style="914" customWidth="1"/>
    <col min="46" max="48" width="11.421875" style="914" customWidth="1"/>
    <col min="49" max="49" width="21.00390625" style="914" customWidth="1"/>
    <col min="50" max="16384" width="11.421875" style="914" customWidth="1"/>
  </cols>
  <sheetData>
    <row r="1" spans="1:30" ht="13.5">
      <c r="A1" s="912"/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AD1" s="915"/>
    </row>
    <row r="2" spans="1:23" ht="27" customHeight="1">
      <c r="A2" s="912"/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</row>
    <row r="3" spans="1:30" s="919" customFormat="1" ht="30.75">
      <c r="A3" s="916"/>
      <c r="B3" s="917" t="str">
        <f>'TOT-0412'!B2</f>
        <v>ANEXO V al Memorándum  D.T.E.E.  N°     461       / 2014</v>
      </c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AB3" s="918"/>
      <c r="AC3" s="918"/>
      <c r="AD3" s="918"/>
    </row>
    <row r="4" spans="1:2" s="921" customFormat="1" ht="11.25">
      <c r="A4" s="1320" t="s">
        <v>2</v>
      </c>
      <c r="B4" s="1321"/>
    </row>
    <row r="5" spans="1:2" s="921" customFormat="1" ht="12" thickBot="1">
      <c r="A5" s="1320" t="s">
        <v>3</v>
      </c>
      <c r="B5" s="1320"/>
    </row>
    <row r="6" spans="1:30" ht="16.5" customHeight="1" thickTop="1">
      <c r="A6" s="913"/>
      <c r="B6" s="922"/>
      <c r="C6" s="923"/>
      <c r="D6" s="923"/>
      <c r="E6" s="924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5"/>
      <c r="X6" s="925"/>
      <c r="Y6" s="925"/>
      <c r="Z6" s="925"/>
      <c r="AA6" s="925"/>
      <c r="AB6" s="925"/>
      <c r="AC6" s="925"/>
      <c r="AD6" s="926"/>
    </row>
    <row r="7" spans="1:30" ht="20.25">
      <c r="A7" s="913"/>
      <c r="B7" s="927"/>
      <c r="C7" s="928"/>
      <c r="D7" s="929" t="s">
        <v>82</v>
      </c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30"/>
      <c r="Q7" s="930"/>
      <c r="R7" s="928"/>
      <c r="S7" s="928"/>
      <c r="T7" s="928"/>
      <c r="U7" s="928"/>
      <c r="V7" s="928"/>
      <c r="AD7" s="931"/>
    </row>
    <row r="8" spans="1:30" ht="16.5" customHeight="1">
      <c r="A8" s="913"/>
      <c r="B8" s="927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AD8" s="931"/>
    </row>
    <row r="9" spans="2:30" s="932" customFormat="1" ht="20.25">
      <c r="B9" s="933"/>
      <c r="C9" s="934"/>
      <c r="D9" s="929" t="s">
        <v>83</v>
      </c>
      <c r="E9" s="934"/>
      <c r="F9" s="934"/>
      <c r="G9" s="934"/>
      <c r="H9" s="934"/>
      <c r="N9" s="934"/>
      <c r="O9" s="934"/>
      <c r="P9" s="935"/>
      <c r="Q9" s="935"/>
      <c r="R9" s="934"/>
      <c r="S9" s="934"/>
      <c r="T9" s="934"/>
      <c r="U9" s="934"/>
      <c r="V9" s="934"/>
      <c r="W9" s="914"/>
      <c r="X9" s="934"/>
      <c r="Y9" s="934"/>
      <c r="Z9" s="934"/>
      <c r="AA9" s="934"/>
      <c r="AB9" s="934"/>
      <c r="AC9" s="914"/>
      <c r="AD9" s="936"/>
    </row>
    <row r="10" spans="1:30" ht="16.5" customHeight="1">
      <c r="A10" s="913"/>
      <c r="B10" s="927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AD10" s="931"/>
    </row>
    <row r="11" spans="2:30" s="932" customFormat="1" ht="20.25">
      <c r="B11" s="933"/>
      <c r="C11" s="934"/>
      <c r="D11" s="929" t="s">
        <v>488</v>
      </c>
      <c r="E11" s="934"/>
      <c r="F11" s="934"/>
      <c r="G11" s="934"/>
      <c r="H11" s="934"/>
      <c r="N11" s="934"/>
      <c r="O11" s="934"/>
      <c r="P11" s="935"/>
      <c r="Q11" s="935"/>
      <c r="R11" s="934"/>
      <c r="S11" s="934"/>
      <c r="T11" s="934"/>
      <c r="U11" s="934"/>
      <c r="V11" s="934"/>
      <c r="W11" s="914"/>
      <c r="X11" s="934"/>
      <c r="Y11" s="934"/>
      <c r="Z11" s="934"/>
      <c r="AA11" s="934"/>
      <c r="AB11" s="934"/>
      <c r="AC11" s="914"/>
      <c r="AD11" s="936"/>
    </row>
    <row r="12" spans="1:30" ht="16.5" customHeight="1">
      <c r="A12" s="913"/>
      <c r="B12" s="927"/>
      <c r="C12" s="928"/>
      <c r="D12" s="928"/>
      <c r="E12" s="913"/>
      <c r="F12" s="913"/>
      <c r="G12" s="913"/>
      <c r="H12" s="913"/>
      <c r="I12" s="937"/>
      <c r="J12" s="937"/>
      <c r="K12" s="937"/>
      <c r="L12" s="937"/>
      <c r="M12" s="937"/>
      <c r="N12" s="937"/>
      <c r="O12" s="937"/>
      <c r="P12" s="937"/>
      <c r="Q12" s="937"/>
      <c r="R12" s="928"/>
      <c r="S12" s="928"/>
      <c r="T12" s="928"/>
      <c r="U12" s="928"/>
      <c r="V12" s="928"/>
      <c r="AD12" s="931"/>
    </row>
    <row r="13" spans="2:30" s="932" customFormat="1" ht="19.5">
      <c r="B13" s="938" t="str">
        <f>'TOT-0412'!B14</f>
        <v>Desde el 01 al 30 de abril de 2013</v>
      </c>
      <c r="C13" s="939"/>
      <c r="D13" s="940"/>
      <c r="E13" s="940"/>
      <c r="F13" s="940"/>
      <c r="G13" s="940"/>
      <c r="H13" s="940"/>
      <c r="I13" s="941"/>
      <c r="J13" s="942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3"/>
      <c r="V13" s="943"/>
      <c r="W13" s="914"/>
      <c r="X13" s="944"/>
      <c r="Y13" s="944"/>
      <c r="Z13" s="944"/>
      <c r="AA13" s="944"/>
      <c r="AB13" s="943"/>
      <c r="AC13" s="942"/>
      <c r="AD13" s="945"/>
    </row>
    <row r="14" spans="1:30" ht="16.5" customHeight="1">
      <c r="A14" s="913"/>
      <c r="B14" s="927"/>
      <c r="C14" s="928"/>
      <c r="D14" s="928"/>
      <c r="E14" s="946"/>
      <c r="F14" s="946"/>
      <c r="G14" s="928"/>
      <c r="H14" s="928"/>
      <c r="I14" s="928"/>
      <c r="J14" s="947"/>
      <c r="K14" s="928"/>
      <c r="L14" s="928"/>
      <c r="M14" s="928"/>
      <c r="N14" s="913"/>
      <c r="O14" s="913"/>
      <c r="P14" s="928"/>
      <c r="Q14" s="928"/>
      <c r="R14" s="928"/>
      <c r="S14" s="928"/>
      <c r="T14" s="928"/>
      <c r="U14" s="928"/>
      <c r="V14" s="928"/>
      <c r="AD14" s="931"/>
    </row>
    <row r="15" spans="1:30" ht="16.5" customHeight="1">
      <c r="A15" s="913"/>
      <c r="B15" s="927"/>
      <c r="C15" s="928"/>
      <c r="D15" s="928"/>
      <c r="E15" s="946"/>
      <c r="F15" s="946"/>
      <c r="G15" s="928"/>
      <c r="H15" s="928"/>
      <c r="I15" s="948"/>
      <c r="J15" s="928"/>
      <c r="K15" s="949"/>
      <c r="M15" s="928"/>
      <c r="N15" s="913"/>
      <c r="O15" s="913"/>
      <c r="P15" s="928"/>
      <c r="Q15" s="928"/>
      <c r="R15" s="928"/>
      <c r="S15" s="928"/>
      <c r="T15" s="928"/>
      <c r="U15" s="928"/>
      <c r="V15" s="928"/>
      <c r="AD15" s="931"/>
    </row>
    <row r="16" spans="1:30" ht="16.5" customHeight="1">
      <c r="A16" s="913"/>
      <c r="B16" s="927"/>
      <c r="C16" s="928"/>
      <c r="D16" s="928"/>
      <c r="E16" s="946"/>
      <c r="F16" s="946"/>
      <c r="G16" s="928"/>
      <c r="H16" s="928"/>
      <c r="I16" s="948"/>
      <c r="J16" s="928"/>
      <c r="K16" s="949"/>
      <c r="M16" s="928"/>
      <c r="N16" s="913"/>
      <c r="O16" s="913"/>
      <c r="P16" s="928"/>
      <c r="Q16" s="928"/>
      <c r="R16" s="928"/>
      <c r="S16" s="928"/>
      <c r="T16" s="928"/>
      <c r="U16" s="928"/>
      <c r="V16" s="928"/>
      <c r="AD16" s="931"/>
    </row>
    <row r="17" spans="1:30" ht="16.5" customHeight="1">
      <c r="A17" s="913"/>
      <c r="B17" s="927"/>
      <c r="C17" s="950" t="s">
        <v>85</v>
      </c>
      <c r="D17" s="951" t="s">
        <v>86</v>
      </c>
      <c r="E17" s="946"/>
      <c r="F17" s="946"/>
      <c r="G17" s="928"/>
      <c r="H17" s="928"/>
      <c r="I17" s="928"/>
      <c r="J17" s="947"/>
      <c r="K17" s="928"/>
      <c r="L17" s="928"/>
      <c r="M17" s="928"/>
      <c r="N17" s="913"/>
      <c r="O17" s="913"/>
      <c r="P17" s="928"/>
      <c r="Q17" s="928"/>
      <c r="R17" s="928"/>
      <c r="S17" s="928"/>
      <c r="T17" s="928"/>
      <c r="U17" s="928"/>
      <c r="V17" s="928"/>
      <c r="AD17" s="931"/>
    </row>
    <row r="18" spans="2:30" s="952" customFormat="1" ht="16.5" customHeight="1">
      <c r="B18" s="953"/>
      <c r="C18" s="954"/>
      <c r="D18" s="955"/>
      <c r="E18" s="956"/>
      <c r="F18" s="957"/>
      <c r="G18" s="954"/>
      <c r="H18" s="954"/>
      <c r="I18" s="954"/>
      <c r="J18" s="958"/>
      <c r="K18" s="954"/>
      <c r="L18" s="954"/>
      <c r="M18" s="954"/>
      <c r="P18" s="954"/>
      <c r="Q18" s="954"/>
      <c r="R18" s="954"/>
      <c r="S18" s="954"/>
      <c r="T18" s="954"/>
      <c r="U18" s="954"/>
      <c r="V18" s="954"/>
      <c r="W18" s="914"/>
      <c r="AD18" s="959"/>
    </row>
    <row r="19" spans="2:30" s="952" customFormat="1" ht="16.5" customHeight="1">
      <c r="B19" s="953"/>
      <c r="C19" s="954"/>
      <c r="D19" s="960" t="s">
        <v>87</v>
      </c>
      <c r="F19" s="961">
        <v>272.761</v>
      </c>
      <c r="G19" s="960" t="s">
        <v>88</v>
      </c>
      <c r="H19" s="954"/>
      <c r="I19" s="954"/>
      <c r="J19" s="962"/>
      <c r="K19" s="963" t="s">
        <v>89</v>
      </c>
      <c r="L19" s="964">
        <v>0.04</v>
      </c>
      <c r="R19" s="954"/>
      <c r="S19" s="954"/>
      <c r="T19" s="954"/>
      <c r="U19" s="954"/>
      <c r="V19" s="954"/>
      <c r="W19" s="914"/>
      <c r="AD19" s="959"/>
    </row>
    <row r="20" spans="2:30" s="952" customFormat="1" ht="16.5" customHeight="1">
      <c r="B20" s="953"/>
      <c r="C20" s="954"/>
      <c r="D20" s="960" t="s">
        <v>90</v>
      </c>
      <c r="F20" s="961">
        <v>0.749</v>
      </c>
      <c r="G20" s="960" t="s">
        <v>91</v>
      </c>
      <c r="H20" s="954"/>
      <c r="I20" s="954"/>
      <c r="J20" s="954"/>
      <c r="K20" s="955" t="s">
        <v>92</v>
      </c>
      <c r="L20" s="954">
        <f>MID(B13,16,2)*24</f>
        <v>720</v>
      </c>
      <c r="M20" s="954" t="s">
        <v>93</v>
      </c>
      <c r="N20" s="954"/>
      <c r="O20" s="954"/>
      <c r="P20" s="1322"/>
      <c r="Q20" s="954"/>
      <c r="R20" s="954"/>
      <c r="S20" s="954"/>
      <c r="T20" s="954"/>
      <c r="U20" s="954"/>
      <c r="V20" s="954"/>
      <c r="W20" s="914"/>
      <c r="AD20" s="959"/>
    </row>
    <row r="21" spans="2:30" s="952" customFormat="1" ht="16.5" customHeight="1">
      <c r="B21" s="953"/>
      <c r="C21" s="954"/>
      <c r="D21" s="960" t="s">
        <v>430</v>
      </c>
      <c r="F21" s="961">
        <v>119.01</v>
      </c>
      <c r="G21" s="960" t="s">
        <v>431</v>
      </c>
      <c r="H21" s="954"/>
      <c r="I21" s="954"/>
      <c r="J21" s="954"/>
      <c r="K21" s="955"/>
      <c r="L21" s="954"/>
      <c r="M21" s="954"/>
      <c r="N21" s="954"/>
      <c r="O21" s="954"/>
      <c r="P21" s="1322"/>
      <c r="Q21" s="954"/>
      <c r="R21" s="954"/>
      <c r="S21" s="954"/>
      <c r="T21" s="954"/>
      <c r="U21" s="954"/>
      <c r="V21" s="954"/>
      <c r="W21" s="914"/>
      <c r="AD21" s="959"/>
    </row>
    <row r="22" spans="2:30" s="952" customFormat="1" ht="16.5" customHeight="1">
      <c r="B22" s="953"/>
      <c r="C22" s="954"/>
      <c r="H22" s="954"/>
      <c r="I22" s="954"/>
      <c r="J22" s="954"/>
      <c r="K22" s="968"/>
      <c r="L22" s="969"/>
      <c r="M22" s="954"/>
      <c r="N22" s="954"/>
      <c r="O22" s="954"/>
      <c r="P22" s="1322"/>
      <c r="Q22" s="954"/>
      <c r="R22" s="954"/>
      <c r="S22" s="954"/>
      <c r="T22" s="954"/>
      <c r="U22" s="954"/>
      <c r="V22" s="954"/>
      <c r="W22" s="914"/>
      <c r="AD22" s="959"/>
    </row>
    <row r="23" spans="2:30" s="952" customFormat="1" ht="8.25" customHeight="1">
      <c r="B23" s="953"/>
      <c r="C23" s="954"/>
      <c r="D23" s="954"/>
      <c r="E23" s="971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14"/>
      <c r="AD23" s="959"/>
    </row>
    <row r="24" spans="1:30" ht="16.5" customHeight="1">
      <c r="A24" s="913"/>
      <c r="B24" s="927"/>
      <c r="C24" s="950" t="s">
        <v>94</v>
      </c>
      <c r="D24" s="972" t="s">
        <v>298</v>
      </c>
      <c r="I24" s="928"/>
      <c r="J24" s="952"/>
      <c r="O24" s="928"/>
      <c r="P24" s="928"/>
      <c r="Q24" s="928"/>
      <c r="R24" s="928"/>
      <c r="S24" s="928"/>
      <c r="T24" s="928"/>
      <c r="V24" s="928"/>
      <c r="X24" s="928"/>
      <c r="Y24" s="928"/>
      <c r="Z24" s="928"/>
      <c r="AA24" s="928"/>
      <c r="AB24" s="928"/>
      <c r="AC24" s="928"/>
      <c r="AD24" s="931"/>
    </row>
    <row r="25" spans="1:30" ht="10.5" customHeight="1" thickBot="1">
      <c r="A25" s="913"/>
      <c r="B25" s="927"/>
      <c r="C25" s="946"/>
      <c r="D25" s="972"/>
      <c r="I25" s="928"/>
      <c r="J25" s="952"/>
      <c r="O25" s="928"/>
      <c r="P25" s="928"/>
      <c r="Q25" s="928"/>
      <c r="R25" s="928"/>
      <c r="S25" s="928"/>
      <c r="T25" s="928"/>
      <c r="V25" s="928"/>
      <c r="X25" s="928"/>
      <c r="Y25" s="928"/>
      <c r="Z25" s="928"/>
      <c r="AA25" s="928"/>
      <c r="AB25" s="928"/>
      <c r="AC25" s="928"/>
      <c r="AD25" s="931"/>
    </row>
    <row r="26" spans="2:30" s="952" customFormat="1" ht="16.5" customHeight="1" thickBot="1" thickTop="1">
      <c r="B26" s="953"/>
      <c r="C26" s="957"/>
      <c r="D26" s="914"/>
      <c r="E26" s="914"/>
      <c r="F26" s="914"/>
      <c r="G26" s="914"/>
      <c r="H26" s="914"/>
      <c r="I26" s="914"/>
      <c r="J26" s="1323" t="s">
        <v>95</v>
      </c>
      <c r="K26" s="1324">
        <f>L19*AC89</f>
        <v>22979.8137472</v>
      </c>
      <c r="L26" s="914"/>
      <c r="S26" s="914"/>
      <c r="T26" s="914"/>
      <c r="U26" s="914"/>
      <c r="W26" s="914"/>
      <c r="AD26" s="959"/>
    </row>
    <row r="27" spans="2:30" s="952" customFormat="1" ht="11.25" customHeight="1" thickTop="1">
      <c r="B27" s="953"/>
      <c r="C27" s="957"/>
      <c r="D27" s="954"/>
      <c r="E27" s="971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14"/>
      <c r="W27" s="914"/>
      <c r="AD27" s="959"/>
    </row>
    <row r="28" spans="1:30" ht="16.5" customHeight="1">
      <c r="A28" s="913"/>
      <c r="B28" s="927"/>
      <c r="C28" s="950" t="s">
        <v>96</v>
      </c>
      <c r="D28" s="972" t="s">
        <v>299</v>
      </c>
      <c r="E28" s="975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AD28" s="931"/>
    </row>
    <row r="29" spans="1:30" ht="21.75" customHeight="1" thickBot="1">
      <c r="A29" s="913"/>
      <c r="B29" s="927"/>
      <c r="C29" s="928"/>
      <c r="D29" s="928"/>
      <c r="E29" s="975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T29" s="928"/>
      <c r="U29" s="928"/>
      <c r="V29" s="928"/>
      <c r="AD29" s="931"/>
    </row>
    <row r="30" spans="2:31" s="913" customFormat="1" ht="33.75" customHeight="1" thickBot="1" thickTop="1">
      <c r="B30" s="927"/>
      <c r="C30" s="976" t="s">
        <v>26</v>
      </c>
      <c r="D30" s="272" t="s">
        <v>5</v>
      </c>
      <c r="E30" s="977" t="s">
        <v>29</v>
      </c>
      <c r="F30" s="978" t="s">
        <v>30</v>
      </c>
      <c r="G30" s="979" t="s">
        <v>31</v>
      </c>
      <c r="H30" s="980" t="s">
        <v>32</v>
      </c>
      <c r="I30" s="981" t="s">
        <v>33</v>
      </c>
      <c r="J30" s="982" t="s">
        <v>34</v>
      </c>
      <c r="K30" s="983" t="s">
        <v>35</v>
      </c>
      <c r="L30" s="984" t="s">
        <v>36</v>
      </c>
      <c r="M30" s="985" t="s">
        <v>37</v>
      </c>
      <c r="N30" s="984" t="s">
        <v>97</v>
      </c>
      <c r="O30" s="984" t="s">
        <v>38</v>
      </c>
      <c r="P30" s="983" t="s">
        <v>39</v>
      </c>
      <c r="Q30" s="982" t="s">
        <v>40</v>
      </c>
      <c r="R30" s="986" t="s">
        <v>41</v>
      </c>
      <c r="S30" s="987" t="s">
        <v>42</v>
      </c>
      <c r="T30" s="988" t="s">
        <v>50</v>
      </c>
      <c r="U30" s="989"/>
      <c r="V30" s="990"/>
      <c r="W30" s="991" t="s">
        <v>98</v>
      </c>
      <c r="X30" s="992"/>
      <c r="Y30" s="993"/>
      <c r="Z30" s="994" t="s">
        <v>45</v>
      </c>
      <c r="AA30" s="995" t="s">
        <v>99</v>
      </c>
      <c r="AB30" s="996" t="s">
        <v>47</v>
      </c>
      <c r="AC30" s="997" t="s">
        <v>48</v>
      </c>
      <c r="AD30" s="998"/>
      <c r="AE30" s="914"/>
    </row>
    <row r="31" spans="1:30" ht="16.5" customHeight="1" thickTop="1">
      <c r="A31" s="913"/>
      <c r="B31" s="927"/>
      <c r="C31" s="999"/>
      <c r="D31" s="1000"/>
      <c r="E31" s="1001"/>
      <c r="F31" s="1002"/>
      <c r="G31" s="1003"/>
      <c r="H31" s="1004"/>
      <c r="I31" s="1325"/>
      <c r="J31" s="1006"/>
      <c r="K31" s="1007"/>
      <c r="L31" s="999"/>
      <c r="M31" s="999"/>
      <c r="N31" s="1008"/>
      <c r="O31" s="1008"/>
      <c r="P31" s="999"/>
      <c r="Q31" s="1009"/>
      <c r="R31" s="1010"/>
      <c r="S31" s="1011"/>
      <c r="T31" s="1012"/>
      <c r="U31" s="1013"/>
      <c r="V31" s="1014"/>
      <c r="W31" s="1015"/>
      <c r="X31" s="1016"/>
      <c r="Y31" s="1017"/>
      <c r="Z31" s="1018"/>
      <c r="AA31" s="1019"/>
      <c r="AB31" s="1020"/>
      <c r="AC31" s="1021"/>
      <c r="AD31" s="931"/>
    </row>
    <row r="32" spans="1:30" ht="16.5" customHeight="1">
      <c r="A32" s="913"/>
      <c r="B32" s="927"/>
      <c r="C32" s="561" t="s">
        <v>100</v>
      </c>
      <c r="D32" s="999"/>
      <c r="E32" s="1326"/>
      <c r="F32" s="1327"/>
      <c r="G32" s="1022"/>
      <c r="H32" s="1023">
        <f>IF(G32="A",200,IF(G32="B",60,20))</f>
        <v>20</v>
      </c>
      <c r="I32" s="1328">
        <f>IF(F32&gt;100,F32,100)*$F$19/100</f>
        <v>272.761</v>
      </c>
      <c r="J32" s="1329"/>
      <c r="K32" s="1330"/>
      <c r="L32" s="1025">
        <f>IF(D32="","",(K32-J32)*24)</f>
      </c>
      <c r="M32" s="1026">
        <f>IF(D32="","",ROUND((K32-J32)*24*60,0))</f>
      </c>
      <c r="N32" s="1027"/>
      <c r="O32" s="1028">
        <f>IF(D32="","","--")</f>
      </c>
      <c r="P32" s="1029">
        <f>IF(D32="","","NO")</f>
      </c>
      <c r="Q32" s="1029">
        <f>IF(D32="","",IF(OR(N32="P",N32="RP"),"--","NO"))</f>
      </c>
      <c r="R32" s="1030" t="str">
        <f>IF(N32="P",+I32*H32*ROUND(M32/60,2)/100,"--")</f>
        <v>--</v>
      </c>
      <c r="S32" s="1031" t="str">
        <f>IF(N32="RP",I32*H32*ROUND(M32/60,2)*0.01*O32/100,"--")</f>
        <v>--</v>
      </c>
      <c r="T32" s="1032" t="str">
        <f>IF(AND(N32="F",Q32="NO"),IF(P32="SI",1.2,1)*I32*H32,"--")</f>
        <v>--</v>
      </c>
      <c r="U32" s="1033" t="str">
        <f>IF(AND(M32&gt;10,N32="F"),IF(M32&lt;=300,ROUND(M32/60,2),5)*I32*H32*IF(P32="SI",1.2,1),"--")</f>
        <v>--</v>
      </c>
      <c r="V32" s="1034" t="str">
        <f>IF(AND(N32="F",M32&gt;300),IF(P32="SI",1.2,1)*(ROUND(M32/60,2)-5)*I32*H32*0.1,"--")</f>
        <v>--</v>
      </c>
      <c r="W32" s="1035" t="str">
        <f>IF(AND(N32="R",Q32="NO"),IF(P32="SI",1.2,1)*I32*H32*O32/100,"--")</f>
        <v>--</v>
      </c>
      <c r="X32" s="1036" t="str">
        <f>IF(AND(M32&gt;10,N32="R"),IF(M32&lt;=300,ROUND(M32/60,2),5)*I32*H32*O32/100*IF(P32="SI",1.2,1),"--")</f>
        <v>--</v>
      </c>
      <c r="Y32" s="1037" t="str">
        <f>IF(AND(N32="R",M32&gt;300),IF(P32="SI",1.2,1)*(ROUND(M32/60,2)-5)*I32*H32*O32/100*0.1,"--")</f>
        <v>--</v>
      </c>
      <c r="Z32" s="1038" t="str">
        <f>IF(N32="RF",IF(P32="SI",1.2,1)*ROUND(M32/60,2)*I32*H32*0.1,"--")</f>
        <v>--</v>
      </c>
      <c r="AA32" s="1039" t="str">
        <f>IF(N32="RR",IF(P32="SI",1.2,1)*ROUND(M32/60,2)*I32*H32*O32/100*0.1,"--")</f>
        <v>--</v>
      </c>
      <c r="AB32" s="1040">
        <f>IF(D32="","","SI")</f>
      </c>
      <c r="AC32" s="1041">
        <f>IF(D32="","",SUM(R32:AA32)*IF(AB32="SI",1,2))</f>
      </c>
      <c r="AD32" s="931"/>
    </row>
    <row r="33" spans="1:30" ht="16.5" customHeight="1">
      <c r="A33" s="913"/>
      <c r="B33" s="927"/>
      <c r="C33" s="561" t="s">
        <v>101</v>
      </c>
      <c r="D33" s="999"/>
      <c r="E33" s="1326"/>
      <c r="F33" s="1327"/>
      <c r="G33" s="1022"/>
      <c r="H33" s="1023">
        <f>IF(G33="A",200,IF(G33="B",60,20))</f>
        <v>20</v>
      </c>
      <c r="I33" s="1328">
        <f>IF(F33&gt;100,F33,100)*$F$19/100</f>
        <v>272.761</v>
      </c>
      <c r="J33" s="1329"/>
      <c r="K33" s="1330"/>
      <c r="L33" s="1025">
        <f>IF(D33="","",(K33-J33)*24)</f>
      </c>
      <c r="M33" s="1026">
        <f>IF(D33="","",ROUND((K33-J33)*24*60,0))</f>
      </c>
      <c r="N33" s="1027"/>
      <c r="O33" s="1028">
        <f>IF(D33="","","--")</f>
      </c>
      <c r="P33" s="1029">
        <f>IF(D33="","","NO")</f>
      </c>
      <c r="Q33" s="1029">
        <f>IF(D33="","",IF(OR(N33="P",N33="RP"),"--","NO"))</f>
      </c>
      <c r="R33" s="1030" t="str">
        <f>IF(N33="P",+I33*H33*ROUND(M33/60,2)/100,"--")</f>
        <v>--</v>
      </c>
      <c r="S33" s="1031" t="str">
        <f>IF(N33="RP",I33*H33*ROUND(M33/60,2)*0.01*O33/100,"--")</f>
        <v>--</v>
      </c>
      <c r="T33" s="1032" t="str">
        <f>IF(AND(N33="F",Q33="NO"),IF(P33="SI",1.2,1)*I33*H33,"--")</f>
        <v>--</v>
      </c>
      <c r="U33" s="1033" t="str">
        <f>IF(AND(M33&gt;10,N33="F"),IF(M33&lt;=300,ROUND(M33/60,2),5)*I33*H33*IF(P33="SI",1.2,1),"--")</f>
        <v>--</v>
      </c>
      <c r="V33" s="1034" t="str">
        <f>IF(AND(N33="F",M33&gt;300),IF(P33="SI",1.2,1)*(ROUND(M33/60,2)-5)*I33*H33*0.1,"--")</f>
        <v>--</v>
      </c>
      <c r="W33" s="1035" t="str">
        <f>IF(AND(N33="R",Q33="NO"),IF(P33="SI",1.2,1)*I33*H33*O33/100,"--")</f>
        <v>--</v>
      </c>
      <c r="X33" s="1036" t="str">
        <f>IF(AND(M33&gt;10,N33="R"),IF(M33&lt;=300,ROUND(M33/60,2),5)*I33*H33*O33/100*IF(P33="SI",1.2,1),"--")</f>
        <v>--</v>
      </c>
      <c r="Y33" s="1037" t="str">
        <f>IF(AND(N33="R",M33&gt;300),IF(P33="SI",1.2,1)*(ROUND(M33/60,2)-5)*I33*H33*O33/100*0.1,"--")</f>
        <v>--</v>
      </c>
      <c r="Z33" s="1038" t="str">
        <f>IF(N33="RF",IF(P33="SI",1.2,1)*ROUND(M33/60,2)*I33*H33*0.1,"--")</f>
        <v>--</v>
      </c>
      <c r="AA33" s="1039" t="str">
        <f>IF(N33="RR",IF(P33="SI",1.2,1)*ROUND(M33/60,2)*I33*H33*O33/100*0.1,"--")</f>
        <v>--</v>
      </c>
      <c r="AB33" s="1040">
        <f>IF(D33="","","SI")</f>
      </c>
      <c r="AC33" s="1041">
        <f>IF(D33="","",SUM(R33:AA33)*IF(AB33="SI",1,2))</f>
      </c>
      <c r="AD33" s="931"/>
    </row>
    <row r="34" spans="1:30" ht="16.5" customHeight="1">
      <c r="A34" s="913"/>
      <c r="B34" s="927"/>
      <c r="C34" s="561" t="s">
        <v>102</v>
      </c>
      <c r="D34" s="1331"/>
      <c r="E34" s="1326"/>
      <c r="F34" s="1327"/>
      <c r="G34" s="1022"/>
      <c r="H34" s="1023">
        <f>IF(G34="A",200,IF(G34="B",60,20))</f>
        <v>20</v>
      </c>
      <c r="I34" s="1328">
        <f>IF(F34&gt;100,F34,100)*$F$19/100</f>
        <v>272.761</v>
      </c>
      <c r="J34" s="1329"/>
      <c r="K34" s="1330"/>
      <c r="L34" s="1025">
        <f>IF(D34="","",(K34-J34)*24)</f>
      </c>
      <c r="M34" s="1026">
        <f>IF(D34="","",ROUND((K34-J34)*24*60,0))</f>
      </c>
      <c r="N34" s="1027"/>
      <c r="O34" s="1028">
        <f>IF(D34="","","--")</f>
      </c>
      <c r="P34" s="1029">
        <f>IF(D34="","","NO")</f>
      </c>
      <c r="Q34" s="1029">
        <f>IF(D34="","",IF(OR(N34="P",N34="RP"),"--","NO"))</f>
      </c>
      <c r="R34" s="1030" t="str">
        <f>IF(N34="P",+I34*H34*ROUND(M34/60,2)/100,"--")</f>
        <v>--</v>
      </c>
      <c r="S34" s="1031" t="str">
        <f>IF(N34="RP",I34*H34*ROUND(M34/60,2)*0.01*O34/100,"--")</f>
        <v>--</v>
      </c>
      <c r="T34" s="1032" t="str">
        <f>IF(AND(N34="F",Q34="NO"),IF(P34="SI",1.2,1)*I34*H34,"--")</f>
        <v>--</v>
      </c>
      <c r="U34" s="1033" t="str">
        <f>IF(AND(M34&gt;10,N34="F"),IF(M34&lt;=300,ROUND(M34/60,2),5)*I34*H34*IF(P34="SI",1.2,1),"--")</f>
        <v>--</v>
      </c>
      <c r="V34" s="1034" t="str">
        <f>IF(AND(N34="F",M34&gt;300),IF(P34="SI",1.2,1)*(ROUND(M34/60,2)-5)*I34*H34*0.1,"--")</f>
        <v>--</v>
      </c>
      <c r="W34" s="1035" t="str">
        <f>IF(AND(N34="R",Q34="NO"),IF(P34="SI",1.2,1)*I34*H34*O34/100,"--")</f>
        <v>--</v>
      </c>
      <c r="X34" s="1036" t="str">
        <f>IF(AND(M34&gt;10,N34="R"),IF(M34&lt;=300,ROUND(M34/60,2),5)*I34*H34*O34/100*IF(P34="SI",1.2,1),"--")</f>
        <v>--</v>
      </c>
      <c r="Y34" s="1037" t="str">
        <f>IF(AND(N34="R",M34&gt;300),IF(P34="SI",1.2,1)*(ROUND(M34/60,2)-5)*I34*H34*O34/100*0.1,"--")</f>
        <v>--</v>
      </c>
      <c r="Z34" s="1038" t="str">
        <f>IF(N34="RF",IF(P34="SI",1.2,1)*ROUND(M34/60,2)*I34*H34*0.1,"--")</f>
        <v>--</v>
      </c>
      <c r="AA34" s="1039" t="str">
        <f>IF(N34="RR",IF(P34="SI",1.2,1)*ROUND(M34/60,2)*I34*H34*O34/100*0.1,"--")</f>
        <v>--</v>
      </c>
      <c r="AB34" s="1040">
        <f>IF(D34="","","SI")</f>
      </c>
      <c r="AC34" s="1041">
        <f>IF(D34="","",SUM(R34:AA34)*IF(AB34="SI",1,2))</f>
      </c>
      <c r="AD34" s="931"/>
    </row>
    <row r="35" spans="1:30" ht="16.5" customHeight="1">
      <c r="A35" s="913"/>
      <c r="B35" s="927"/>
      <c r="C35" s="561" t="s">
        <v>103</v>
      </c>
      <c r="D35" s="1332"/>
      <c r="E35" s="1326"/>
      <c r="F35" s="1327"/>
      <c r="G35" s="1022"/>
      <c r="H35" s="1023">
        <f>IF(G35="A",200,IF(G35="B",60,20))</f>
        <v>20</v>
      </c>
      <c r="I35" s="1328">
        <f>IF(F35&gt;100,F35,100)*$F$19/100</f>
        <v>272.761</v>
      </c>
      <c r="J35" s="1329"/>
      <c r="K35" s="1330"/>
      <c r="L35" s="1025">
        <f>IF(D35="","",(K35-J35)*24)</f>
      </c>
      <c r="M35" s="1026">
        <f>IF(D35="","",ROUND((K35-J35)*24*60,0))</f>
      </c>
      <c r="N35" s="1027"/>
      <c r="O35" s="1028">
        <f>IF(D35="","","--")</f>
      </c>
      <c r="P35" s="1029">
        <f>IF(D35="","","NO")</f>
      </c>
      <c r="Q35" s="1029">
        <f>IF(D35="","",IF(OR(N35="P",N35="RP"),"--","NO"))</f>
      </c>
      <c r="R35" s="1030" t="str">
        <f>IF(N35="P",+I35*H35*ROUND(M35/60,2)/100,"--")</f>
        <v>--</v>
      </c>
      <c r="S35" s="1031" t="str">
        <f>IF(N35="RP",I35*H35*ROUND(M35/60,2)*0.01*O35/100,"--")</f>
        <v>--</v>
      </c>
      <c r="T35" s="1032" t="str">
        <f>IF(AND(N35="F",Q35="NO"),IF(P35="SI",1.2,1)*I35*H35,"--")</f>
        <v>--</v>
      </c>
      <c r="U35" s="1033" t="str">
        <f>IF(AND(M35&gt;10,N35="F"),IF(M35&lt;=300,ROUND(M35/60,2),5)*I35*H35*IF(P35="SI",1.2,1),"--")</f>
        <v>--</v>
      </c>
      <c r="V35" s="1034" t="str">
        <f>IF(AND(N35="F",M35&gt;300),IF(P35="SI",1.2,1)*(ROUND(M35/60,2)-5)*I35*H35*0.1,"--")</f>
        <v>--</v>
      </c>
      <c r="W35" s="1035" t="str">
        <f>IF(AND(N35="R",Q35="NO"),IF(P35="SI",1.2,1)*I35*H35*O35/100,"--")</f>
        <v>--</v>
      </c>
      <c r="X35" s="1036" t="str">
        <f>IF(AND(M35&gt;10,N35="R"),IF(M35&lt;=300,ROUND(M35/60,2),5)*I35*H35*O35/100*IF(P35="SI",1.2,1),"--")</f>
        <v>--</v>
      </c>
      <c r="Y35" s="1037" t="str">
        <f>IF(AND(N35="R",M35&gt;300),IF(P35="SI",1.2,1)*(ROUND(M35/60,2)-5)*I35*H35*O35/100*0.1,"--")</f>
        <v>--</v>
      </c>
      <c r="Z35" s="1038" t="str">
        <f>IF(N35="RF",IF(P35="SI",1.2,1)*ROUND(M35/60,2)*I35*H35*0.1,"--")</f>
        <v>--</v>
      </c>
      <c r="AA35" s="1039" t="str">
        <f>IF(N35="RR",IF(P35="SI",1.2,1)*ROUND(M35/60,2)*I35*H35*O35/100*0.1,"--")</f>
        <v>--</v>
      </c>
      <c r="AB35" s="1040">
        <f>IF(D35="","","SI")</f>
      </c>
      <c r="AC35" s="1041">
        <f>IF(D35="","",SUM(R35:AA35)*IF(AB35="SI",1,2))</f>
      </c>
      <c r="AD35" s="931"/>
    </row>
    <row r="36" spans="1:30" ht="16.5" customHeight="1">
      <c r="A36" s="913"/>
      <c r="B36" s="927"/>
      <c r="C36" s="561" t="s">
        <v>104</v>
      </c>
      <c r="D36" s="999"/>
      <c r="E36" s="1326"/>
      <c r="F36" s="1327"/>
      <c r="G36" s="1022"/>
      <c r="H36" s="1023"/>
      <c r="I36" s="1328"/>
      <c r="J36" s="1329"/>
      <c r="K36" s="1330"/>
      <c r="L36" s="1025">
        <f>IF(D36="","",(K36-J36)*24)</f>
      </c>
      <c r="M36" s="1026">
        <f>IF(D36="","",ROUND((K36-J36)*24*60,0))</f>
      </c>
      <c r="N36" s="1027"/>
      <c r="O36" s="1028">
        <f>IF(D36="","","--")</f>
      </c>
      <c r="P36" s="1029">
        <f>IF(D36="","","NO")</f>
      </c>
      <c r="Q36" s="1029">
        <f>IF(D36="","",IF(OR(N36="P",N36="RP"),"--","NO"))</f>
      </c>
      <c r="R36" s="1030" t="str">
        <f>IF(N36="P",+I36*H36*ROUND(M36/60,2)/100,"--")</f>
        <v>--</v>
      </c>
      <c r="S36" s="1031" t="str">
        <f>IF(N36="RP",I36*H36*ROUND(M36/60,2)*0.01*O36/100,"--")</f>
        <v>--</v>
      </c>
      <c r="T36" s="1032" t="str">
        <f>IF(AND(N36="F",Q36="NO"),IF(P36="SI",1.2,1)*I36*H36,"--")</f>
        <v>--</v>
      </c>
      <c r="U36" s="1033" t="str">
        <f>IF(AND(M36&gt;10,N36="F"),IF(M36&lt;=300,ROUND(M36/60,2),5)*I36*H36*IF(P36="SI",1.2,1),"--")</f>
        <v>--</v>
      </c>
      <c r="V36" s="1034" t="str">
        <f>IF(AND(N36="F",M36&gt;300),IF(P36="SI",1.2,1)*(ROUND(M36/60,2)-5)*I36*H36*0.1,"--")</f>
        <v>--</v>
      </c>
      <c r="W36" s="1035" t="str">
        <f>IF(AND(N36="R",Q36="NO"),IF(P36="SI",1.2,1)*I36*H36*O36/100,"--")</f>
        <v>--</v>
      </c>
      <c r="X36" s="1036" t="str">
        <f>IF(AND(M36&gt;10,N36="R"),IF(M36&lt;=300,ROUND(M36/60,2),5)*I36*H36*O36/100*IF(P36="SI",1.2,1),"--")</f>
        <v>--</v>
      </c>
      <c r="Y36" s="1037" t="str">
        <f>IF(AND(N36="R",M36&gt;300),IF(P36="SI",1.2,1)*(ROUND(M36/60,2)-5)*I36*H36*O36/100*0.1,"--")</f>
        <v>--</v>
      </c>
      <c r="Z36" s="1038" t="str">
        <f>IF(N36="RF",IF(P36="SI",1.2,1)*ROUND(M36/60,2)*I36*H36*0.1,"--")</f>
        <v>--</v>
      </c>
      <c r="AA36" s="1039" t="str">
        <f>IF(N36="RR",IF(P36="SI",1.2,1)*ROUND(M36/60,2)*I36*H36*O36/100*0.1,"--")</f>
        <v>--</v>
      </c>
      <c r="AB36" s="1040">
        <f>IF(D36="","","SI")</f>
      </c>
      <c r="AC36" s="1041">
        <f>IF(D36="","",SUM(R36:AA36)*IF(AB36="SI",1,2))</f>
      </c>
      <c r="AD36" s="931"/>
    </row>
    <row r="37" spans="1:30" ht="16.5" customHeight="1" thickBot="1">
      <c r="A37" s="952"/>
      <c r="B37" s="927"/>
      <c r="C37" s="1103"/>
      <c r="D37" s="1046"/>
      <c r="E37" s="1047"/>
      <c r="F37" s="1048"/>
      <c r="G37" s="1049"/>
      <c r="H37" s="1050"/>
      <c r="I37" s="1333"/>
      <c r="J37" s="1052"/>
      <c r="K37" s="1052"/>
      <c r="L37" s="1053"/>
      <c r="M37" s="1053"/>
      <c r="N37" s="1053"/>
      <c r="O37" s="1054"/>
      <c r="P37" s="1053"/>
      <c r="Q37" s="1053"/>
      <c r="R37" s="1055"/>
      <c r="S37" s="1056"/>
      <c r="T37" s="1057"/>
      <c r="U37" s="1058"/>
      <c r="V37" s="1059"/>
      <c r="W37" s="1060"/>
      <c r="X37" s="1061"/>
      <c r="Y37" s="1062"/>
      <c r="Z37" s="1063"/>
      <c r="AA37" s="1064"/>
      <c r="AB37" s="1065"/>
      <c r="AC37" s="1066"/>
      <c r="AD37" s="1067"/>
    </row>
    <row r="38" spans="1:30" ht="16.5" customHeight="1" thickBot="1" thickTop="1">
      <c r="A38" s="952"/>
      <c r="B38" s="927"/>
      <c r="C38" s="957"/>
      <c r="D38" s="957"/>
      <c r="E38" s="1068"/>
      <c r="F38" s="971"/>
      <c r="G38" s="1069"/>
      <c r="H38" s="1069"/>
      <c r="I38" s="1070"/>
      <c r="J38" s="1070"/>
      <c r="K38" s="1070"/>
      <c r="L38" s="1070"/>
      <c r="M38" s="1070"/>
      <c r="N38" s="1070"/>
      <c r="O38" s="1071"/>
      <c r="P38" s="1070"/>
      <c r="Q38" s="1070"/>
      <c r="R38" s="1072">
        <f aca="true" t="shared" si="0" ref="R38:AA38">SUM(R31:R37)</f>
        <v>0</v>
      </c>
      <c r="S38" s="1073">
        <f t="shared" si="0"/>
        <v>0</v>
      </c>
      <c r="T38" s="1074">
        <f t="shared" si="0"/>
        <v>0</v>
      </c>
      <c r="U38" s="1074">
        <f t="shared" si="0"/>
        <v>0</v>
      </c>
      <c r="V38" s="1074">
        <f t="shared" si="0"/>
        <v>0</v>
      </c>
      <c r="W38" s="1075">
        <f t="shared" si="0"/>
        <v>0</v>
      </c>
      <c r="X38" s="1075">
        <f t="shared" si="0"/>
        <v>0</v>
      </c>
      <c r="Y38" s="1075">
        <f t="shared" si="0"/>
        <v>0</v>
      </c>
      <c r="Z38" s="1076">
        <f t="shared" si="0"/>
        <v>0</v>
      </c>
      <c r="AA38" s="1077">
        <f t="shared" si="0"/>
        <v>0</v>
      </c>
      <c r="AB38" s="1078"/>
      <c r="AC38" s="1079">
        <f>SUM(AC31:AC37)</f>
        <v>0</v>
      </c>
      <c r="AD38" s="1067"/>
    </row>
    <row r="39" spans="1:30" ht="13.5" customHeight="1" thickBot="1" thickTop="1">
      <c r="A39" s="952"/>
      <c r="B39" s="927"/>
      <c r="C39" s="957"/>
      <c r="D39" s="957"/>
      <c r="E39" s="1068"/>
      <c r="F39" s="971"/>
      <c r="G39" s="1069"/>
      <c r="H39" s="1069"/>
      <c r="I39" s="1070"/>
      <c r="J39" s="1070"/>
      <c r="K39" s="1070"/>
      <c r="L39" s="1070"/>
      <c r="M39" s="1070"/>
      <c r="N39" s="1070"/>
      <c r="O39" s="1071"/>
      <c r="P39" s="1070"/>
      <c r="Q39" s="1070"/>
      <c r="R39" s="1085"/>
      <c r="S39" s="1086"/>
      <c r="T39" s="1087"/>
      <c r="U39" s="1087"/>
      <c r="V39" s="1087"/>
      <c r="W39" s="1085"/>
      <c r="X39" s="1085"/>
      <c r="Y39" s="1085"/>
      <c r="Z39" s="1085"/>
      <c r="AA39" s="1085"/>
      <c r="AB39" s="1088"/>
      <c r="AC39" s="1089"/>
      <c r="AD39" s="1067"/>
    </row>
    <row r="40" spans="1:33" s="913" customFormat="1" ht="33.75" customHeight="1" thickBot="1" thickTop="1">
      <c r="A40" s="912"/>
      <c r="B40" s="1090"/>
      <c r="C40" s="1091" t="s">
        <v>26</v>
      </c>
      <c r="D40" s="1092" t="s">
        <v>56</v>
      </c>
      <c r="E40" s="1334" t="s">
        <v>57</v>
      </c>
      <c r="F40" s="1335" t="s">
        <v>58</v>
      </c>
      <c r="G40" s="997" t="s">
        <v>29</v>
      </c>
      <c r="H40" s="1093" t="s">
        <v>33</v>
      </c>
      <c r="I40" s="1336"/>
      <c r="J40" s="1334" t="s">
        <v>34</v>
      </c>
      <c r="K40" s="1334" t="s">
        <v>35</v>
      </c>
      <c r="L40" s="1092" t="s">
        <v>59</v>
      </c>
      <c r="M40" s="1092" t="s">
        <v>37</v>
      </c>
      <c r="N40" s="984" t="s">
        <v>105</v>
      </c>
      <c r="O40" s="1334" t="s">
        <v>40</v>
      </c>
      <c r="P40" s="1337" t="s">
        <v>60</v>
      </c>
      <c r="Q40" s="1338"/>
      <c r="R40" s="1093" t="s">
        <v>106</v>
      </c>
      <c r="S40" s="1339" t="s">
        <v>41</v>
      </c>
      <c r="T40" s="1340" t="s">
        <v>107</v>
      </c>
      <c r="U40" s="1341"/>
      <c r="V40" s="1342" t="s">
        <v>45</v>
      </c>
      <c r="W40" s="1343"/>
      <c r="X40" s="1344"/>
      <c r="Y40" s="1344"/>
      <c r="Z40" s="1344"/>
      <c r="AA40" s="1345"/>
      <c r="AB40" s="1094" t="s">
        <v>47</v>
      </c>
      <c r="AC40" s="997" t="s">
        <v>48</v>
      </c>
      <c r="AD40" s="931"/>
      <c r="AF40" s="914"/>
      <c r="AG40" s="914"/>
    </row>
    <row r="41" spans="1:30" ht="16.5" customHeight="1" thickTop="1">
      <c r="A41" s="913"/>
      <c r="B41" s="927"/>
      <c r="C41" s="999"/>
      <c r="D41" s="1095"/>
      <c r="E41" s="1095"/>
      <c r="F41" s="1095"/>
      <c r="G41" s="1346"/>
      <c r="H41" s="1347"/>
      <c r="I41" s="1096"/>
      <c r="J41" s="1095"/>
      <c r="K41" s="1095"/>
      <c r="L41" s="1095"/>
      <c r="M41" s="1095"/>
      <c r="N41" s="1095"/>
      <c r="O41" s="1348"/>
      <c r="P41" s="1557"/>
      <c r="Q41" s="1558"/>
      <c r="R41" s="1349"/>
      <c r="S41" s="1350"/>
      <c r="T41" s="1351"/>
      <c r="U41" s="1352"/>
      <c r="V41" s="1353"/>
      <c r="W41" s="1354"/>
      <c r="X41" s="1097"/>
      <c r="Y41" s="1097"/>
      <c r="Z41" s="1097"/>
      <c r="AA41" s="1098"/>
      <c r="AB41" s="1348"/>
      <c r="AC41" s="1099"/>
      <c r="AD41" s="931"/>
    </row>
    <row r="42" spans="1:30" ht="16.5" customHeight="1">
      <c r="A42" s="913"/>
      <c r="B42" s="927"/>
      <c r="C42" s="561" t="s">
        <v>100</v>
      </c>
      <c r="D42" s="1331"/>
      <c r="E42" s="1355"/>
      <c r="F42" s="1356"/>
      <c r="G42" s="1357"/>
      <c r="H42" s="1358">
        <f>F42*$F$20</f>
        <v>0</v>
      </c>
      <c r="I42" s="1359"/>
      <c r="J42" s="1360"/>
      <c r="K42" s="1360"/>
      <c r="L42" s="1361">
        <f>IF(D42="","",(K42-J42)*24)</f>
      </c>
      <c r="M42" s="1362">
        <f>IF(D42="","",(K42-J42)*24*60)</f>
      </c>
      <c r="N42" s="1363"/>
      <c r="O42" s="1364">
        <f>IF(D42="","",IF(OR(N42="P",N42="RP"),"--","NO"))</f>
      </c>
      <c r="P42" s="1551">
        <f>IF(D42="","","NO")</f>
      </c>
      <c r="Q42" s="1552"/>
      <c r="R42" s="1365">
        <f>200*IF(P42="SI",1,0.1)*IF(N42="P",0.1,1)</f>
        <v>20</v>
      </c>
      <c r="S42" s="1366" t="str">
        <f>IF(N42="P",H42*R42*ROUND(M42/60,2),"--")</f>
        <v>--</v>
      </c>
      <c r="T42" s="1367" t="str">
        <f>IF(AND(N42="F",O42="NO"),H42*R42,"--")</f>
        <v>--</v>
      </c>
      <c r="U42" s="1368" t="str">
        <f>IF(N42="F",H42*R42*ROUND(M42/60,2),"--")</f>
        <v>--</v>
      </c>
      <c r="V42" s="1285" t="str">
        <f>IF(N42="RF",H42*R42*ROUND(M42/60,2),"--")</f>
        <v>--</v>
      </c>
      <c r="W42" s="1369"/>
      <c r="X42" s="1370"/>
      <c r="Y42" s="1370"/>
      <c r="Z42" s="1370"/>
      <c r="AA42" s="1371"/>
      <c r="AB42" s="1102">
        <f>IF(D42="","","SI")</f>
      </c>
      <c r="AC42" s="1372">
        <f>IF(D42="","",SUM(S42:V42)*IF(AB42="SI",1,2))</f>
      </c>
      <c r="AD42" s="931"/>
    </row>
    <row r="43" spans="1:30" ht="16.5" customHeight="1">
      <c r="A43" s="913"/>
      <c r="B43" s="927"/>
      <c r="C43" s="561" t="s">
        <v>101</v>
      </c>
      <c r="D43" s="1331"/>
      <c r="E43" s="1355"/>
      <c r="F43" s="1356"/>
      <c r="G43" s="1357"/>
      <c r="H43" s="1358">
        <f>F43*$F$20</f>
        <v>0</v>
      </c>
      <c r="I43" s="1359"/>
      <c r="J43" s="1360"/>
      <c r="K43" s="1360"/>
      <c r="L43" s="1361">
        <f>IF(D43="","",(K43-J43)*24)</f>
      </c>
      <c r="M43" s="1362">
        <f>IF(D43="","",(K43-J43)*24*60)</f>
      </c>
      <c r="N43" s="1363"/>
      <c r="O43" s="1364">
        <f>IF(D43="","",IF(OR(N43="P",N43="RP"),"--","NO"))</f>
      </c>
      <c r="P43" s="1551">
        <f>IF(D43="","","NO")</f>
      </c>
      <c r="Q43" s="1552"/>
      <c r="R43" s="1365">
        <f>200*IF(P43="SI",1,0.1)*IF(N43="P",0.1,1)</f>
        <v>20</v>
      </c>
      <c r="S43" s="1366" t="str">
        <f>IF(N43="P",H43*R43*ROUND(M43/60,2),"--")</f>
        <v>--</v>
      </c>
      <c r="T43" s="1367" t="str">
        <f>IF(AND(N43="F",O43="NO"),H43*R43,"--")</f>
        <v>--</v>
      </c>
      <c r="U43" s="1368" t="str">
        <f>IF(N43="F",H43*R43*ROUND(M43/60,2),"--")</f>
        <v>--</v>
      </c>
      <c r="V43" s="1285" t="str">
        <f>IF(N43="RF",H43*R43*ROUND(M43/60,2),"--")</f>
        <v>--</v>
      </c>
      <c r="W43" s="1369"/>
      <c r="X43" s="1370"/>
      <c r="Y43" s="1370"/>
      <c r="Z43" s="1370"/>
      <c r="AA43" s="1371"/>
      <c r="AB43" s="1102">
        <f>IF(D43="","","SI")</f>
      </c>
      <c r="AC43" s="1372">
        <f>IF(D43="","",SUM(S43:V43)*IF(AB43="SI",1,2))</f>
      </c>
      <c r="AD43" s="931"/>
    </row>
    <row r="44" spans="1:30" ht="16.5" customHeight="1" thickBot="1">
      <c r="A44" s="952"/>
      <c r="B44" s="927"/>
      <c r="C44" s="1103"/>
      <c r="D44" s="1104"/>
      <c r="E44" s="1105"/>
      <c r="F44" s="1373"/>
      <c r="G44" s="1374"/>
      <c r="H44" s="1375"/>
      <c r="I44" s="1106"/>
      <c r="J44" s="1107"/>
      <c r="K44" s="1108"/>
      <c r="L44" s="1109"/>
      <c r="M44" s="1110"/>
      <c r="N44" s="1376"/>
      <c r="O44" s="1053"/>
      <c r="P44" s="1584"/>
      <c r="Q44" s="1585"/>
      <c r="R44" s="1378"/>
      <c r="S44" s="1379"/>
      <c r="T44" s="1380"/>
      <c r="U44" s="1381"/>
      <c r="V44" s="1382"/>
      <c r="W44" s="1383"/>
      <c r="X44" s="1111"/>
      <c r="Y44" s="1111"/>
      <c r="Z44" s="1111"/>
      <c r="AA44" s="1112"/>
      <c r="AB44" s="1113"/>
      <c r="AC44" s="1114"/>
      <c r="AD44" s="1067"/>
    </row>
    <row r="45" spans="1:30" ht="16.5" customHeight="1" thickBot="1" thickTop="1">
      <c r="A45" s="952"/>
      <c r="B45" s="927"/>
      <c r="C45" s="1115"/>
      <c r="D45" s="975"/>
      <c r="E45" s="975"/>
      <c r="F45" s="1116"/>
      <c r="G45" s="1117"/>
      <c r="H45" s="1118"/>
      <c r="I45" s="1119"/>
      <c r="J45" s="1120"/>
      <c r="K45" s="1121"/>
      <c r="L45" s="1122"/>
      <c r="M45" s="1118"/>
      <c r="N45" s="1123"/>
      <c r="O45" s="1124"/>
      <c r="P45" s="1384"/>
      <c r="Q45" s="1385"/>
      <c r="R45" s="1126"/>
      <c r="S45" s="1126"/>
      <c r="T45" s="1126"/>
      <c r="U45" s="1127"/>
      <c r="V45" s="1127"/>
      <c r="W45" s="1127"/>
      <c r="X45" s="1127"/>
      <c r="Y45" s="1127"/>
      <c r="Z45" s="1127"/>
      <c r="AA45" s="1127"/>
      <c r="AB45" s="1127"/>
      <c r="AC45" s="1386">
        <f>SUM(AC41:AC44)</f>
        <v>0</v>
      </c>
      <c r="AD45" s="1067"/>
    </row>
    <row r="46" spans="1:30" ht="13.5" customHeight="1" thickBot="1" thickTop="1">
      <c r="A46" s="952"/>
      <c r="B46" s="927"/>
      <c r="C46" s="957"/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57"/>
      <c r="P46" s="957"/>
      <c r="Q46" s="957"/>
      <c r="R46" s="957"/>
      <c r="S46" s="957"/>
      <c r="T46" s="957"/>
      <c r="U46" s="957"/>
      <c r="V46" s="957"/>
      <c r="W46" s="957"/>
      <c r="X46" s="957"/>
      <c r="Y46" s="957"/>
      <c r="Z46" s="957"/>
      <c r="AA46" s="957"/>
      <c r="AB46" s="957"/>
      <c r="AC46" s="957"/>
      <c r="AD46" s="1067"/>
    </row>
    <row r="47" spans="1:33" s="913" customFormat="1" ht="33.75" customHeight="1" thickBot="1" thickTop="1">
      <c r="A47" s="912"/>
      <c r="B47" s="1090"/>
      <c r="C47" s="1091" t="s">
        <v>26</v>
      </c>
      <c r="D47" s="1092" t="s">
        <v>56</v>
      </c>
      <c r="E47" s="1334" t="s">
        <v>57</v>
      </c>
      <c r="F47" s="1595" t="s">
        <v>29</v>
      </c>
      <c r="G47" s="1605"/>
      <c r="H47" s="1093" t="s">
        <v>33</v>
      </c>
      <c r="I47" s="1336"/>
      <c r="J47" s="1334" t="s">
        <v>34</v>
      </c>
      <c r="K47" s="1334" t="s">
        <v>35</v>
      </c>
      <c r="L47" s="1092" t="s">
        <v>59</v>
      </c>
      <c r="M47" s="1092" t="s">
        <v>37</v>
      </c>
      <c r="N47" s="984" t="s">
        <v>105</v>
      </c>
      <c r="O47" s="1601" t="s">
        <v>40</v>
      </c>
      <c r="P47" s="1602"/>
      <c r="Q47" s="1603"/>
      <c r="R47" s="981" t="s">
        <v>32</v>
      </c>
      <c r="S47" s="1265" t="s">
        <v>69</v>
      </c>
      <c r="T47" s="1266" t="s">
        <v>70</v>
      </c>
      <c r="U47" s="1267"/>
      <c r="V47" s="1268" t="s">
        <v>45</v>
      </c>
      <c r="W47" s="1344"/>
      <c r="X47" s="1344"/>
      <c r="Y47" s="1344"/>
      <c r="Z47" s="1344"/>
      <c r="AA47" s="1345"/>
      <c r="AB47" s="1094" t="s">
        <v>47</v>
      </c>
      <c r="AC47" s="997" t="s">
        <v>48</v>
      </c>
      <c r="AD47" s="931"/>
      <c r="AF47" s="914"/>
      <c r="AG47" s="914"/>
    </row>
    <row r="48" spans="1:30" ht="16.5" customHeight="1" thickTop="1">
      <c r="A48" s="913"/>
      <c r="B48" s="927"/>
      <c r="C48" s="999"/>
      <c r="D48" s="1095"/>
      <c r="E48" s="1095"/>
      <c r="F48" s="1557"/>
      <c r="G48" s="1558"/>
      <c r="H48" s="1347"/>
      <c r="I48" s="1096"/>
      <c r="J48" s="1095"/>
      <c r="K48" s="1095"/>
      <c r="L48" s="1095"/>
      <c r="M48" s="1095"/>
      <c r="N48" s="1095"/>
      <c r="O48" s="1557"/>
      <c r="P48" s="1604"/>
      <c r="Q48" s="1558"/>
      <c r="R48" s="1291"/>
      <c r="S48" s="1273"/>
      <c r="T48" s="1274"/>
      <c r="U48" s="1275"/>
      <c r="V48" s="1276"/>
      <c r="W48" s="1097"/>
      <c r="X48" s="1097"/>
      <c r="Y48" s="1097"/>
      <c r="Z48" s="1097"/>
      <c r="AA48" s="1098"/>
      <c r="AB48" s="1348"/>
      <c r="AC48" s="1099"/>
      <c r="AD48" s="931"/>
    </row>
    <row r="49" spans="1:30" ht="15">
      <c r="A49" s="913"/>
      <c r="B49" s="927"/>
      <c r="C49" s="563" t="s">
        <v>100</v>
      </c>
      <c r="D49" s="1331" t="s">
        <v>446</v>
      </c>
      <c r="E49" s="1355" t="s">
        <v>447</v>
      </c>
      <c r="F49" s="1593">
        <v>132</v>
      </c>
      <c r="G49" s="1594"/>
      <c r="H49" s="1358">
        <f>IF(F49=132,$F$21,IF(F49=500,#REF!,0))</f>
        <v>119.01</v>
      </c>
      <c r="I49" s="1359"/>
      <c r="J49" s="1100">
        <v>41379.29583333333</v>
      </c>
      <c r="K49" s="1290">
        <v>41379.48125</v>
      </c>
      <c r="L49" s="1361">
        <f>IF(D49="","",(K49-J49)*24)</f>
        <v>4.4500000000116415</v>
      </c>
      <c r="M49" s="1362">
        <f>IF(D49="","",(K49-J49)*24*60)</f>
        <v>267.0000000006985</v>
      </c>
      <c r="N49" s="1363" t="s">
        <v>309</v>
      </c>
      <c r="O49" s="1597" t="str">
        <f>IF(D49="","",IF(N49="P","--","NO"))</f>
        <v>--</v>
      </c>
      <c r="P49" s="1598"/>
      <c r="Q49" s="1599"/>
      <c r="R49" s="1291">
        <f>IF(F49=500,200,IF(F49=132,40,0))</f>
        <v>40</v>
      </c>
      <c r="S49" s="1292">
        <f>IF(N49="P",H49*R49*ROUND(M49/60,2)*0.1,"--")</f>
        <v>2118.378</v>
      </c>
      <c r="T49" s="1283" t="str">
        <f>IF(AND(N49="F",O49="NO"),H49*R49,"--")</f>
        <v>--</v>
      </c>
      <c r="U49" s="1284" t="str">
        <f>IF(N49="F",H49*R49*ROUND(M49/60,2),"--")</f>
        <v>--</v>
      </c>
      <c r="V49" s="1285" t="str">
        <f>IF(N49="RF",H49*R49*ROUND(M49/60,2),"--")</f>
        <v>--</v>
      </c>
      <c r="W49" s="1370"/>
      <c r="X49" s="1370"/>
      <c r="Y49" s="1370"/>
      <c r="Z49" s="1370"/>
      <c r="AA49" s="1371"/>
      <c r="AB49" s="1102" t="str">
        <f>IF(D49="","","SI")</f>
        <v>SI</v>
      </c>
      <c r="AC49" s="1156">
        <f aca="true" t="shared" si="1" ref="AC49:AC54">IF(D49="","",SUM(S49:V49)*IF(AB49="SI",1,2))</f>
        <v>2118.378</v>
      </c>
      <c r="AD49" s="1067"/>
    </row>
    <row r="50" spans="1:30" ht="16.5" customHeight="1">
      <c r="A50" s="913"/>
      <c r="B50" s="927"/>
      <c r="C50" s="561" t="s">
        <v>101</v>
      </c>
      <c r="D50" s="1331" t="s">
        <v>446</v>
      </c>
      <c r="E50" s="1355" t="s">
        <v>448</v>
      </c>
      <c r="F50" s="1593">
        <v>132</v>
      </c>
      <c r="G50" s="1594"/>
      <c r="H50" s="1358">
        <f>IF(F50=132,$F$21,IF(F50=500,#REF!,0))</f>
        <v>119.01</v>
      </c>
      <c r="I50" s="1359"/>
      <c r="J50" s="1100">
        <v>41381.33472222222</v>
      </c>
      <c r="K50" s="1290">
        <v>41381.52291666667</v>
      </c>
      <c r="L50" s="1361">
        <f>IF(D50="","",(K50-J50)*24)</f>
        <v>4.516666666720994</v>
      </c>
      <c r="M50" s="1362">
        <f>IF(D50="","",(K50-J50)*24*60)</f>
        <v>271.00000000325963</v>
      </c>
      <c r="N50" s="1363" t="s">
        <v>309</v>
      </c>
      <c r="O50" s="1597" t="str">
        <f>IF(D50="","",IF(N50="P","--","NO"))</f>
        <v>--</v>
      </c>
      <c r="P50" s="1598"/>
      <c r="Q50" s="1599"/>
      <c r="R50" s="1291">
        <f>IF(F50=500,200,IF(F50=132,40,0))</f>
        <v>40</v>
      </c>
      <c r="S50" s="1292">
        <f>IF(N50="P",H50*R50*ROUND(M50/60,2)*0.1,"--")</f>
        <v>2151.7008</v>
      </c>
      <c r="T50" s="1283" t="str">
        <f>IF(AND(N50="F",O50="NO"),H50*R50,"--")</f>
        <v>--</v>
      </c>
      <c r="U50" s="1284" t="str">
        <f>IF(N50="F",H50*R50*ROUND(M50/60,2),"--")</f>
        <v>--</v>
      </c>
      <c r="V50" s="1285" t="str">
        <f>IF(N50="RF",H50*R50*ROUND(M50/60,2),"--")</f>
        <v>--</v>
      </c>
      <c r="W50" s="1370"/>
      <c r="X50" s="1370"/>
      <c r="Y50" s="1370"/>
      <c r="Z50" s="1370"/>
      <c r="AA50" s="1371"/>
      <c r="AB50" s="1102" t="str">
        <f>IF(D50="","","SI")</f>
        <v>SI</v>
      </c>
      <c r="AC50" s="1156">
        <f t="shared" si="1"/>
        <v>2151.7008</v>
      </c>
      <c r="AD50" s="931"/>
    </row>
    <row r="51" spans="1:30" ht="16.5" customHeight="1">
      <c r="A51" s="913"/>
      <c r="B51" s="927"/>
      <c r="C51" s="561" t="s">
        <v>102</v>
      </c>
      <c r="D51" s="1331" t="s">
        <v>446</v>
      </c>
      <c r="E51" s="1355" t="s">
        <v>449</v>
      </c>
      <c r="F51" s="1593">
        <v>132</v>
      </c>
      <c r="G51" s="1594"/>
      <c r="H51" s="1358">
        <f>IF(F51=132,$F$21,IF(F51=500,#REF!,0))</f>
        <v>119.01</v>
      </c>
      <c r="I51" s="1359"/>
      <c r="J51" s="1100">
        <v>41383.31597222222</v>
      </c>
      <c r="K51" s="1290">
        <v>41383.506944444445</v>
      </c>
      <c r="L51" s="1361">
        <f>IF(D51="","",(K51-J51)*24)</f>
        <v>4.583333333430346</v>
      </c>
      <c r="M51" s="1362">
        <f>IF(D51="","",(K51-J51)*24*60)</f>
        <v>275.00000000582077</v>
      </c>
      <c r="N51" s="1363" t="s">
        <v>309</v>
      </c>
      <c r="O51" s="1597" t="str">
        <f>IF(D51="","",IF(N51="P","--","NO"))</f>
        <v>--</v>
      </c>
      <c r="P51" s="1598"/>
      <c r="Q51" s="1599"/>
      <c r="R51" s="1291">
        <f>IF(F51=500,200,IF(F51=132,40,0))</f>
        <v>40</v>
      </c>
      <c r="S51" s="1292">
        <f>IF(N51="P",H51*R51*ROUND(M51/60,2)*0.1,"--")</f>
        <v>2180.2632000000003</v>
      </c>
      <c r="T51" s="1283" t="str">
        <f>IF(AND(N51="F",O51="NO"),H51*R51,"--")</f>
        <v>--</v>
      </c>
      <c r="U51" s="1284" t="str">
        <f>IF(N51="F",H51*R51*ROUND(M51/60,2),"--")</f>
        <v>--</v>
      </c>
      <c r="V51" s="1285" t="str">
        <f>IF(N51="RF",H51*R51*ROUND(M51/60,2),"--")</f>
        <v>--</v>
      </c>
      <c r="W51" s="1370"/>
      <c r="X51" s="1370"/>
      <c r="Y51" s="1370"/>
      <c r="Z51" s="1370"/>
      <c r="AA51" s="1371"/>
      <c r="AB51" s="1102" t="str">
        <f>IF(D51="","","SI")</f>
        <v>SI</v>
      </c>
      <c r="AC51" s="1156">
        <f t="shared" si="1"/>
        <v>2180.2632000000003</v>
      </c>
      <c r="AD51" s="931"/>
    </row>
    <row r="52" spans="1:30" ht="16.5" customHeight="1">
      <c r="A52" s="913"/>
      <c r="B52" s="927"/>
      <c r="C52" s="561" t="s">
        <v>103</v>
      </c>
      <c r="D52" s="1387" t="s">
        <v>446</v>
      </c>
      <c r="E52" s="1388" t="s">
        <v>447</v>
      </c>
      <c r="F52" s="1593">
        <v>132</v>
      </c>
      <c r="G52" s="1594"/>
      <c r="H52" s="1358">
        <f>IF(F52=132,$F$21,IF(F52=500,#REF!,0))</f>
        <v>119.01</v>
      </c>
      <c r="I52" s="1389"/>
      <c r="J52" s="1100">
        <v>41388.37430555555</v>
      </c>
      <c r="K52" s="1290">
        <v>41388.525</v>
      </c>
      <c r="L52" s="1361">
        <f>IF(D52="","",(K52-J52)*24)</f>
        <v>3.6166666667559184</v>
      </c>
      <c r="M52" s="1362">
        <f>IF(D52="","",(K52-J52)*24*60)</f>
        <v>217.0000000053551</v>
      </c>
      <c r="N52" s="1363" t="s">
        <v>309</v>
      </c>
      <c r="O52" s="1597" t="str">
        <f>IF(D52="","",IF(N52="P","--","NO"))</f>
        <v>--</v>
      </c>
      <c r="P52" s="1598"/>
      <c r="Q52" s="1599"/>
      <c r="R52" s="1291">
        <f>IF(F52=500,200,IF(F52=132,40,0))</f>
        <v>40</v>
      </c>
      <c r="S52" s="1292">
        <f>IF(N52="P",H52*R52*ROUND(M52/60,2)*0.1,"--")</f>
        <v>1723.2648000000002</v>
      </c>
      <c r="T52" s="1283" t="str">
        <f>IF(AND(N52="F",O52="NO"),H52*R52,"--")</f>
        <v>--</v>
      </c>
      <c r="U52" s="1284" t="str">
        <f>IF(N52="F",H52*R52*ROUND(M52/60,2),"--")</f>
        <v>--</v>
      </c>
      <c r="V52" s="1285" t="str">
        <f>IF(N52="RF",H52*R52*ROUND(M52/60,2),"--")</f>
        <v>--</v>
      </c>
      <c r="W52" s="1370"/>
      <c r="X52" s="1370"/>
      <c r="Y52" s="1370"/>
      <c r="Z52" s="1370"/>
      <c r="AA52" s="1371"/>
      <c r="AB52" s="1102" t="str">
        <f>IF(D52="","","SI")</f>
        <v>SI</v>
      </c>
      <c r="AC52" s="1156">
        <f t="shared" si="1"/>
        <v>1723.2648000000002</v>
      </c>
      <c r="AD52" s="931"/>
    </row>
    <row r="53" spans="1:30" ht="16.5" customHeight="1">
      <c r="A53" s="913"/>
      <c r="B53" s="927"/>
      <c r="C53" s="561" t="s">
        <v>104</v>
      </c>
      <c r="D53" s="1387"/>
      <c r="E53" s="1388"/>
      <c r="F53" s="1593"/>
      <c r="G53" s="1594"/>
      <c r="H53" s="1358">
        <f>IF(F53=132,$F$21,IF(F53=500,#REF!,0))</f>
        <v>0</v>
      </c>
      <c r="I53" s="1389"/>
      <c r="J53" s="1360"/>
      <c r="K53" s="1360"/>
      <c r="L53" s="1361">
        <f>IF(D53="","",(K53-J53)*24)</f>
      </c>
      <c r="M53" s="1362">
        <f>IF(D53="","",(K53-J53)*24*60)</f>
      </c>
      <c r="N53" s="1363"/>
      <c r="O53" s="1597">
        <f>IF(D53="","",IF(N53="P","--","NO"))</f>
      </c>
      <c r="P53" s="1598"/>
      <c r="Q53" s="1599"/>
      <c r="R53" s="1291">
        <f>IF(F53=500,200,IF(F53=132,40,0))</f>
        <v>0</v>
      </c>
      <c r="S53" s="1292" t="str">
        <f>IF(N53="P",H53*R53*ROUND(M53/60,2)*0.1,"--")</f>
        <v>--</v>
      </c>
      <c r="T53" s="1283" t="str">
        <f>IF(AND(N53="F",O53="NO"),H53*R53,"--")</f>
        <v>--</v>
      </c>
      <c r="U53" s="1284" t="str">
        <f>IF(N53="F",H53*R53*ROUND(M53/60,2),"--")</f>
        <v>--</v>
      </c>
      <c r="V53" s="1285" t="str">
        <f>IF(N53="RF",H53*R53*ROUND(M53/60,2),"--")</f>
        <v>--</v>
      </c>
      <c r="W53" s="1370"/>
      <c r="X53" s="1370"/>
      <c r="Y53" s="1370"/>
      <c r="Z53" s="1370"/>
      <c r="AA53" s="1371"/>
      <c r="AB53" s="1102">
        <f>IF(D53="","","SI")</f>
      </c>
      <c r="AC53" s="1156">
        <f t="shared" si="1"/>
      </c>
      <c r="AD53" s="931"/>
    </row>
    <row r="54" spans="1:30" ht="16.5" customHeight="1" thickBot="1">
      <c r="A54" s="952"/>
      <c r="B54" s="927"/>
      <c r="C54" s="1103"/>
      <c r="D54" s="1104"/>
      <c r="E54" s="1105"/>
      <c r="F54" s="1547"/>
      <c r="G54" s="1548"/>
      <c r="H54" s="1375"/>
      <c r="I54" s="1106"/>
      <c r="J54" s="1107"/>
      <c r="K54" s="1108"/>
      <c r="L54" s="1109"/>
      <c r="M54" s="1110"/>
      <c r="N54" s="1376"/>
      <c r="O54" s="1584"/>
      <c r="P54" s="1600"/>
      <c r="Q54" s="1585"/>
      <c r="R54" s="1291"/>
      <c r="S54" s="1292"/>
      <c r="T54" s="1283"/>
      <c r="U54" s="1284"/>
      <c r="V54" s="1285"/>
      <c r="W54" s="1111"/>
      <c r="X54" s="1111"/>
      <c r="Y54" s="1111"/>
      <c r="Z54" s="1111"/>
      <c r="AA54" s="1112"/>
      <c r="AB54" s="1113"/>
      <c r="AC54" s="1156">
        <f t="shared" si="1"/>
      </c>
      <c r="AD54" s="1067"/>
    </row>
    <row r="55" spans="1:30" ht="16.5" customHeight="1" thickBot="1" thickTop="1">
      <c r="A55" s="952"/>
      <c r="B55" s="927"/>
      <c r="C55" s="1115"/>
      <c r="D55" s="975"/>
      <c r="E55" s="975"/>
      <c r="F55" s="1116"/>
      <c r="G55" s="1117"/>
      <c r="H55" s="1118"/>
      <c r="I55" s="1119"/>
      <c r="J55" s="1120"/>
      <c r="K55" s="1121"/>
      <c r="L55" s="1122"/>
      <c r="M55" s="1118"/>
      <c r="N55" s="1123"/>
      <c r="O55" s="1124"/>
      <c r="P55" s="1125"/>
      <c r="Q55" s="1161"/>
      <c r="R55" s="1165"/>
      <c r="S55" s="1165"/>
      <c r="T55" s="1165"/>
      <c r="U55" s="1162"/>
      <c r="V55" s="1162"/>
      <c r="W55" s="1162"/>
      <c r="X55" s="1162"/>
      <c r="Y55" s="1162"/>
      <c r="Z55" s="1162"/>
      <c r="AA55" s="1162"/>
      <c r="AB55" s="1162"/>
      <c r="AC55" s="1386">
        <f>SUM(AC48:AC54)</f>
        <v>8173.6068000000005</v>
      </c>
      <c r="AD55" s="1067"/>
    </row>
    <row r="56" spans="1:30" ht="16.5" customHeight="1" thickBot="1" thickTop="1">
      <c r="A56" s="952"/>
      <c r="B56" s="927"/>
      <c r="C56" s="1115"/>
      <c r="D56" s="975"/>
      <c r="E56" s="975"/>
      <c r="F56" s="1116"/>
      <c r="G56" s="1117"/>
      <c r="H56" s="1118"/>
      <c r="I56" s="1119"/>
      <c r="J56" s="1120"/>
      <c r="K56" s="1121"/>
      <c r="L56" s="1122"/>
      <c r="M56" s="1118"/>
      <c r="N56" s="1123"/>
      <c r="O56" s="1124"/>
      <c r="P56" s="1125"/>
      <c r="Q56" s="1161"/>
      <c r="R56" s="1165"/>
      <c r="S56" s="1165"/>
      <c r="T56" s="1165"/>
      <c r="U56" s="1162"/>
      <c r="V56" s="1162"/>
      <c r="W56" s="1162"/>
      <c r="X56" s="1162"/>
      <c r="Y56" s="1162"/>
      <c r="Z56" s="1162"/>
      <c r="AA56" s="1162"/>
      <c r="AB56" s="1162"/>
      <c r="AC56" s="1390"/>
      <c r="AD56" s="1067"/>
    </row>
    <row r="57" spans="1:30" ht="33.75" customHeight="1" thickBot="1" thickTop="1">
      <c r="A57" s="952"/>
      <c r="B57" s="927"/>
      <c r="C57" s="1091" t="s">
        <v>26</v>
      </c>
      <c r="D57" s="1092" t="s">
        <v>56</v>
      </c>
      <c r="E57" s="1334" t="s">
        <v>57</v>
      </c>
      <c r="F57" s="1595" t="s">
        <v>58</v>
      </c>
      <c r="G57" s="1596"/>
      <c r="H57" s="1093" t="s">
        <v>33</v>
      </c>
      <c r="I57" s="1336"/>
      <c r="J57" s="1334" t="s">
        <v>34</v>
      </c>
      <c r="K57" s="1334" t="s">
        <v>35</v>
      </c>
      <c r="L57" s="1092" t="s">
        <v>59</v>
      </c>
      <c r="M57" s="1092" t="s">
        <v>37</v>
      </c>
      <c r="N57" s="984" t="s">
        <v>105</v>
      </c>
      <c r="O57" s="1334" t="s">
        <v>40</v>
      </c>
      <c r="P57" s="1337" t="s">
        <v>60</v>
      </c>
      <c r="Q57" s="1338"/>
      <c r="R57" s="1093" t="s">
        <v>106</v>
      </c>
      <c r="S57" s="1339" t="s">
        <v>41</v>
      </c>
      <c r="T57" s="1340" t="s">
        <v>107</v>
      </c>
      <c r="U57" s="1341"/>
      <c r="V57" s="1342" t="s">
        <v>45</v>
      </c>
      <c r="W57" s="1343"/>
      <c r="X57" s="1344"/>
      <c r="Y57" s="1344"/>
      <c r="Z57" s="1344"/>
      <c r="AA57" s="1345"/>
      <c r="AB57" s="1094" t="s">
        <v>47</v>
      </c>
      <c r="AC57" s="997" t="s">
        <v>48</v>
      </c>
      <c r="AD57" s="1067"/>
    </row>
    <row r="58" spans="1:30" ht="16.5" customHeight="1" thickTop="1">
      <c r="A58" s="952"/>
      <c r="B58" s="927"/>
      <c r="C58" s="999"/>
      <c r="D58" s="1095"/>
      <c r="E58" s="1095"/>
      <c r="F58" s="1608"/>
      <c r="G58" s="1609"/>
      <c r="H58" s="1347"/>
      <c r="I58" s="1096"/>
      <c r="J58" s="1095"/>
      <c r="K58" s="1095"/>
      <c r="L58" s="1095"/>
      <c r="M58" s="1095"/>
      <c r="N58" s="1095"/>
      <c r="O58" s="1348"/>
      <c r="P58" s="1557"/>
      <c r="Q58" s="1558"/>
      <c r="R58" s="1349"/>
      <c r="S58" s="1350"/>
      <c r="T58" s="1351"/>
      <c r="U58" s="1352"/>
      <c r="V58" s="1353"/>
      <c r="W58" s="1354"/>
      <c r="X58" s="1097"/>
      <c r="Y58" s="1097"/>
      <c r="Z58" s="1097"/>
      <c r="AA58" s="1098"/>
      <c r="AB58" s="1348"/>
      <c r="AC58" s="1099"/>
      <c r="AD58" s="1067"/>
    </row>
    <row r="59" spans="1:30" ht="16.5" customHeight="1">
      <c r="A59" s="952"/>
      <c r="B59" s="927"/>
      <c r="C59" s="561" t="s">
        <v>100</v>
      </c>
      <c r="D59" s="1355"/>
      <c r="E59" s="1144"/>
      <c r="F59" s="1606"/>
      <c r="G59" s="1607"/>
      <c r="H59" s="1358">
        <f>F59*$F$20</f>
        <v>0</v>
      </c>
      <c r="I59" s="1359"/>
      <c r="J59" s="1392"/>
      <c r="K59" s="1393"/>
      <c r="L59" s="1361">
        <f>IF(D59="","",(K59-J59)*24)</f>
      </c>
      <c r="M59" s="1362">
        <f>IF(D59="","",(K59-J59)*24*60)</f>
      </c>
      <c r="N59" s="1394"/>
      <c r="O59" s="1364">
        <f>IF(D59="","",IF(OR(N59="P",N59="RP"),"--","NO"))</f>
      </c>
      <c r="P59" s="1551">
        <f>IF(D59="","","NO")</f>
      </c>
      <c r="Q59" s="1552"/>
      <c r="R59" s="1365">
        <f>200*IF(P59="SI",1,0.1)*IF(N59="P",0.1,1)</f>
        <v>20</v>
      </c>
      <c r="S59" s="1366" t="str">
        <f>IF(N59="P",H59*R59*ROUND(M59/60,2),"--")</f>
        <v>--</v>
      </c>
      <c r="T59" s="1367" t="str">
        <f>IF(AND(N59="F",O59="NO"),H59*R59,"--")</f>
        <v>--</v>
      </c>
      <c r="U59" s="1368" t="str">
        <f>IF(N59="F",H59*R59*ROUND(M59/60,2),"--")</f>
        <v>--</v>
      </c>
      <c r="V59" s="1285" t="str">
        <f>IF(N59="RF",H59*R59*ROUND(M59/60,2),"--")</f>
        <v>--</v>
      </c>
      <c r="W59" s="1369"/>
      <c r="X59" s="1370"/>
      <c r="Y59" s="1370"/>
      <c r="Z59" s="1370"/>
      <c r="AA59" s="1371"/>
      <c r="AB59" s="1102">
        <f>IF(D59="","","SI")</f>
      </c>
      <c r="AC59" s="1372">
        <f>IF(D59="","",SUM(S59:V59)*IF(AB59="SI",1,2))</f>
      </c>
      <c r="AD59" s="1067"/>
    </row>
    <row r="60" spans="1:30" ht="16.5" customHeight="1">
      <c r="A60" s="952"/>
      <c r="B60" s="927"/>
      <c r="C60" s="561" t="s">
        <v>101</v>
      </c>
      <c r="D60" s="1395"/>
      <c r="E60" s="1144"/>
      <c r="F60" s="1606"/>
      <c r="G60" s="1607"/>
      <c r="H60" s="1358">
        <f>F60*$F$20</f>
        <v>0</v>
      </c>
      <c r="I60" s="1359"/>
      <c r="J60" s="1100"/>
      <c r="K60" s="1101"/>
      <c r="L60" s="1361">
        <f>IF(D60="","",(K60-J60)*24)</f>
      </c>
      <c r="M60" s="1362">
        <f>IF(D60="","",(K60-J60)*24*60)</f>
      </c>
      <c r="N60" s="1147"/>
      <c r="O60" s="1364">
        <f>IF(D60="","",IF(OR(N60="P",N60="RP"),"--","NO"))</f>
      </c>
      <c r="P60" s="1551">
        <f>IF(D60="","","NO")</f>
      </c>
      <c r="Q60" s="1552"/>
      <c r="R60" s="1365">
        <f>200*IF(P60="SI",1,0.1)*IF(N60="P",0.1,1)</f>
        <v>20</v>
      </c>
      <c r="S60" s="1366" t="str">
        <f>IF(N60="P",H60*R60*ROUND(M60/60,2),"--")</f>
        <v>--</v>
      </c>
      <c r="T60" s="1367" t="str">
        <f>IF(AND(N60="F",O60="NO"),H60*R60,"--")</f>
        <v>--</v>
      </c>
      <c r="U60" s="1368" t="str">
        <f>IF(N60="F",H60*R60*ROUND(M60/60,2),"--")</f>
        <v>--</v>
      </c>
      <c r="V60" s="1285" t="str">
        <f>IF(N60="RF",H60*R60*ROUND(M60/60,2),"--")</f>
        <v>--</v>
      </c>
      <c r="W60" s="1369"/>
      <c r="X60" s="1370"/>
      <c r="Y60" s="1370"/>
      <c r="Z60" s="1370"/>
      <c r="AA60" s="1371"/>
      <c r="AB60" s="1102">
        <f>IF(D60="","","SI")</f>
      </c>
      <c r="AC60" s="1372">
        <f>IF(D60="","",SUM(S60:V60)*IF(AB60="SI",1,2))</f>
      </c>
      <c r="AD60" s="1067"/>
    </row>
    <row r="61" spans="1:30" ht="16.5" customHeight="1">
      <c r="A61" s="952"/>
      <c r="B61" s="927"/>
      <c r="C61" s="561" t="s">
        <v>102</v>
      </c>
      <c r="D61" s="1143"/>
      <c r="E61" s="1144"/>
      <c r="F61" s="1549"/>
      <c r="G61" s="1550"/>
      <c r="H61" s="1358">
        <f>F61*$F$20</f>
        <v>0</v>
      </c>
      <c r="I61" s="1359"/>
      <c r="J61" s="1100"/>
      <c r="K61" s="1101"/>
      <c r="L61" s="1361">
        <f>IF(D61="","",(K61-J61)*24)</f>
      </c>
      <c r="M61" s="1362">
        <f>IF(D61="","",(K61-J61)*24*60)</f>
      </c>
      <c r="N61" s="1147"/>
      <c r="O61" s="1364">
        <f>IF(D61="","",IF(OR(N61="P",N61="RP"),"--","NO"))</f>
      </c>
      <c r="P61" s="1551">
        <f>IF(D61="","","NO")</f>
      </c>
      <c r="Q61" s="1552"/>
      <c r="R61" s="1365">
        <f>200*IF(P61="SI",1,0.1)*IF(N61="P",0.1,1)</f>
        <v>20</v>
      </c>
      <c r="S61" s="1366" t="str">
        <f>IF(N61="P",H61*R61*ROUND(M61/60,2),"--")</f>
        <v>--</v>
      </c>
      <c r="T61" s="1367" t="str">
        <f>IF(AND(N61="F",O61="NO"),H61*R61,"--")</f>
        <v>--</v>
      </c>
      <c r="U61" s="1368" t="str">
        <f>IF(N61="F",H61*R61*ROUND(M61/60,2),"--")</f>
        <v>--</v>
      </c>
      <c r="V61" s="1285" t="str">
        <f>IF(N61="RF",H61*R61*ROUND(M61/60,2),"--")</f>
        <v>--</v>
      </c>
      <c r="W61" s="1369"/>
      <c r="X61" s="1370"/>
      <c r="Y61" s="1370"/>
      <c r="Z61" s="1370"/>
      <c r="AA61" s="1371"/>
      <c r="AB61" s="1102">
        <f>IF(D61="","","SI")</f>
      </c>
      <c r="AC61" s="1372">
        <f>IF(D61="","",SUM(S61:V61)*IF(AB61="SI",1,2))</f>
      </c>
      <c r="AD61" s="1067"/>
    </row>
    <row r="62" spans="1:30" ht="16.5" customHeight="1" thickBot="1">
      <c r="A62" s="952"/>
      <c r="B62" s="927"/>
      <c r="C62" s="1103"/>
      <c r="D62" s="1104"/>
      <c r="E62" s="1105"/>
      <c r="F62" s="1547"/>
      <c r="G62" s="1610"/>
      <c r="H62" s="1375"/>
      <c r="I62" s="1106"/>
      <c r="J62" s="1107"/>
      <c r="K62" s="1108"/>
      <c r="L62" s="1109"/>
      <c r="M62" s="1110"/>
      <c r="N62" s="1376"/>
      <c r="O62" s="1053"/>
      <c r="P62" s="1584"/>
      <c r="Q62" s="1585"/>
      <c r="R62" s="1378"/>
      <c r="S62" s="1379"/>
      <c r="T62" s="1380"/>
      <c r="U62" s="1381"/>
      <c r="V62" s="1382"/>
      <c r="W62" s="1383"/>
      <c r="X62" s="1111"/>
      <c r="Y62" s="1111"/>
      <c r="Z62" s="1111"/>
      <c r="AA62" s="1112"/>
      <c r="AB62" s="1113"/>
      <c r="AC62" s="1114"/>
      <c r="AD62" s="1067"/>
    </row>
    <row r="63" spans="1:30" ht="16.5" customHeight="1" thickBot="1" thickTop="1">
      <c r="A63" s="952"/>
      <c r="B63" s="927"/>
      <c r="C63" s="1115"/>
      <c r="D63" s="975"/>
      <c r="E63" s="975"/>
      <c r="F63" s="1116"/>
      <c r="G63" s="1117"/>
      <c r="H63" s="1118"/>
      <c r="I63" s="1119"/>
      <c r="J63" s="1120"/>
      <c r="K63" s="1121"/>
      <c r="L63" s="1122"/>
      <c r="M63" s="1118"/>
      <c r="N63" s="1123"/>
      <c r="O63" s="1124"/>
      <c r="P63" s="1384"/>
      <c r="Q63" s="1385"/>
      <c r="R63" s="1126"/>
      <c r="S63" s="1126"/>
      <c r="T63" s="1126"/>
      <c r="U63" s="1127"/>
      <c r="V63" s="1127"/>
      <c r="W63" s="1127"/>
      <c r="X63" s="1127"/>
      <c r="Y63" s="1127"/>
      <c r="Z63" s="1127"/>
      <c r="AA63" s="1127"/>
      <c r="AB63" s="1127"/>
      <c r="AC63" s="1386">
        <f>SUM(AC58:AC62)</f>
        <v>0</v>
      </c>
      <c r="AD63" s="1067"/>
    </row>
    <row r="64" spans="1:30" ht="16.5" customHeight="1" thickBot="1" thickTop="1">
      <c r="A64" s="952"/>
      <c r="B64" s="953"/>
      <c r="C64" s="1115"/>
      <c r="D64" s="975"/>
      <c r="E64" s="1162"/>
      <c r="F64" s="1162"/>
      <c r="G64" s="1162"/>
      <c r="H64" s="1162"/>
      <c r="I64" s="1162"/>
      <c r="J64" s="1162"/>
      <c r="K64" s="1162"/>
      <c r="L64" s="1162"/>
      <c r="M64" s="1162"/>
      <c r="N64" s="1162"/>
      <c r="O64" s="1162"/>
      <c r="P64" s="1162"/>
      <c r="Q64" s="1162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396"/>
      <c r="AD64" s="1157"/>
    </row>
    <row r="65" spans="1:30" ht="16.5" customHeight="1" thickBot="1" thickTop="1">
      <c r="A65" s="952"/>
      <c r="B65" s="927"/>
      <c r="C65" s="1115"/>
      <c r="D65" s="975"/>
      <c r="E65" s="975"/>
      <c r="F65" s="1116"/>
      <c r="G65" s="1117"/>
      <c r="H65" s="1118"/>
      <c r="I65" s="1119"/>
      <c r="J65" s="1323" t="s">
        <v>108</v>
      </c>
      <c r="K65" s="1324">
        <f>+AC45+AC38+AC55+AC63</f>
        <v>8173.6068000000005</v>
      </c>
      <c r="L65" s="1122"/>
      <c r="M65" s="1118"/>
      <c r="N65" s="1163"/>
      <c r="O65" s="1164"/>
      <c r="P65" s="1125"/>
      <c r="Q65" s="1161"/>
      <c r="R65" s="1165"/>
      <c r="S65" s="1165"/>
      <c r="T65" s="1165"/>
      <c r="U65" s="1162"/>
      <c r="V65" s="1162"/>
      <c r="W65" s="1162"/>
      <c r="X65" s="1162"/>
      <c r="Y65" s="1162"/>
      <c r="Z65" s="1162"/>
      <c r="AA65" s="1162"/>
      <c r="AB65" s="1162"/>
      <c r="AC65" s="1166"/>
      <c r="AD65" s="1067"/>
    </row>
    <row r="66" spans="1:30" ht="13.5" customHeight="1" thickTop="1">
      <c r="A66" s="952"/>
      <c r="B66" s="953"/>
      <c r="C66" s="957"/>
      <c r="D66" s="1167"/>
      <c r="E66" s="1168"/>
      <c r="F66" s="1169"/>
      <c r="G66" s="1170"/>
      <c r="H66" s="1170"/>
      <c r="I66" s="1168"/>
      <c r="J66" s="1171"/>
      <c r="K66" s="1171"/>
      <c r="L66" s="1168"/>
      <c r="M66" s="1168"/>
      <c r="N66" s="1168"/>
      <c r="O66" s="1172"/>
      <c r="P66" s="1168"/>
      <c r="Q66" s="1168"/>
      <c r="R66" s="1173"/>
      <c r="S66" s="1174"/>
      <c r="T66" s="1174"/>
      <c r="U66" s="1175"/>
      <c r="AC66" s="1175"/>
      <c r="AD66" s="1157"/>
    </row>
    <row r="67" spans="1:30" ht="16.5" customHeight="1">
      <c r="A67" s="952"/>
      <c r="B67" s="953"/>
      <c r="C67" s="1176" t="s">
        <v>109</v>
      </c>
      <c r="D67" s="1177" t="s">
        <v>300</v>
      </c>
      <c r="E67" s="1168"/>
      <c r="F67" s="1169"/>
      <c r="G67" s="1170"/>
      <c r="H67" s="1170"/>
      <c r="I67" s="1168"/>
      <c r="J67" s="1171"/>
      <c r="K67" s="1171"/>
      <c r="L67" s="1168"/>
      <c r="M67" s="1168"/>
      <c r="N67" s="1168"/>
      <c r="O67" s="1172"/>
      <c r="P67" s="1168"/>
      <c r="Q67" s="1168"/>
      <c r="R67" s="1173"/>
      <c r="S67" s="1174"/>
      <c r="T67" s="1174"/>
      <c r="U67" s="1175"/>
      <c r="AC67" s="1175"/>
      <c r="AD67" s="1157"/>
    </row>
    <row r="68" spans="1:30" ht="16.5" customHeight="1">
      <c r="A68" s="952"/>
      <c r="B68" s="953"/>
      <c r="C68" s="1176"/>
      <c r="D68" s="1167"/>
      <c r="E68" s="1168"/>
      <c r="F68" s="1169"/>
      <c r="G68" s="1170"/>
      <c r="H68" s="1170"/>
      <c r="I68" s="1168"/>
      <c r="J68" s="1171"/>
      <c r="K68" s="1171"/>
      <c r="L68" s="1168"/>
      <c r="M68" s="1168"/>
      <c r="N68" s="1168"/>
      <c r="O68" s="1172"/>
      <c r="P68" s="1168"/>
      <c r="Q68" s="1168"/>
      <c r="R68" s="1168"/>
      <c r="S68" s="1173"/>
      <c r="T68" s="1174"/>
      <c r="AD68" s="1157"/>
    </row>
    <row r="69" spans="2:30" s="952" customFormat="1" ht="16.5" customHeight="1">
      <c r="B69" s="953"/>
      <c r="C69" s="957"/>
      <c r="D69" s="1178" t="s">
        <v>5</v>
      </c>
      <c r="E69" s="1070" t="s">
        <v>110</v>
      </c>
      <c r="F69" s="1070" t="s">
        <v>111</v>
      </c>
      <c r="G69" s="1179" t="s">
        <v>301</v>
      </c>
      <c r="H69" s="1071"/>
      <c r="I69" s="1070"/>
      <c r="J69" s="914"/>
      <c r="K69" s="914"/>
      <c r="L69" s="1180" t="s">
        <v>302</v>
      </c>
      <c r="M69" s="914"/>
      <c r="N69" s="914"/>
      <c r="O69" s="914"/>
      <c r="P69" s="914"/>
      <c r="Q69" s="1183"/>
      <c r="R69" s="1183"/>
      <c r="S69" s="954"/>
      <c r="T69" s="914"/>
      <c r="U69" s="914"/>
      <c r="V69" s="914"/>
      <c r="W69" s="914"/>
      <c r="X69" s="954"/>
      <c r="Y69" s="954"/>
      <c r="Z69" s="954"/>
      <c r="AA69" s="954"/>
      <c r="AB69" s="954"/>
      <c r="AC69" s="1184" t="s">
        <v>304</v>
      </c>
      <c r="AD69" s="1157"/>
    </row>
    <row r="70" spans="2:30" s="952" customFormat="1" ht="16.5" customHeight="1">
      <c r="B70" s="953"/>
      <c r="C70" s="957"/>
      <c r="D70" s="1070" t="s">
        <v>432</v>
      </c>
      <c r="E70" s="1186">
        <v>160</v>
      </c>
      <c r="F70" s="1186">
        <v>500</v>
      </c>
      <c r="G70" s="1187">
        <f>E70*$F$19*$L$20/100</f>
        <v>314220.672</v>
      </c>
      <c r="H70" s="1187"/>
      <c r="I70" s="1187"/>
      <c r="J70" s="942"/>
      <c r="K70" s="914"/>
      <c r="L70" s="1188">
        <v>6930</v>
      </c>
      <c r="M70" s="942"/>
      <c r="N70" s="1194" t="str">
        <f>"(DTE "&amp;DATO!$G$14&amp;DATO!$H$14&amp;")"</f>
        <v>(DTE 0413)</v>
      </c>
      <c r="O70" s="914"/>
      <c r="P70" s="914"/>
      <c r="Q70" s="1183"/>
      <c r="R70" s="1183"/>
      <c r="S70" s="954"/>
      <c r="T70" s="914"/>
      <c r="U70" s="914"/>
      <c r="V70" s="914"/>
      <c r="W70" s="914"/>
      <c r="X70" s="954"/>
      <c r="Y70" s="954"/>
      <c r="Z70" s="954"/>
      <c r="AA70" s="954"/>
      <c r="AB70" s="1189"/>
      <c r="AC70" s="967">
        <f>L70+G70</f>
        <v>321150.672</v>
      </c>
      <c r="AD70" s="1157"/>
    </row>
    <row r="71" spans="2:30" s="952" customFormat="1" ht="16.5" customHeight="1">
      <c r="B71" s="953"/>
      <c r="C71" s="957"/>
      <c r="D71" s="1070" t="s">
        <v>454</v>
      </c>
      <c r="E71" s="1186">
        <v>147</v>
      </c>
      <c r="F71" s="1186">
        <v>500</v>
      </c>
      <c r="G71" s="1187">
        <f>E71*$F$19*$L$20/100</f>
        <v>288690.24240000005</v>
      </c>
      <c r="H71" s="1187"/>
      <c r="I71" s="1187"/>
      <c r="J71" s="942"/>
      <c r="K71" s="914"/>
      <c r="L71" s="1188">
        <v>16456</v>
      </c>
      <c r="M71" s="942"/>
      <c r="N71" s="1194" t="str">
        <f>"(DTE "&amp;DATO!$G$14&amp;DATO!$H$14&amp;")"</f>
        <v>(DTE 0413)</v>
      </c>
      <c r="O71" s="914"/>
      <c r="P71" s="914"/>
      <c r="Q71" s="1183"/>
      <c r="R71" s="1183"/>
      <c r="S71" s="954"/>
      <c r="T71" s="914"/>
      <c r="U71" s="914"/>
      <c r="V71" s="914"/>
      <c r="W71" s="914"/>
      <c r="X71" s="954"/>
      <c r="Y71" s="954"/>
      <c r="Z71" s="954"/>
      <c r="AA71" s="954"/>
      <c r="AB71" s="1189"/>
      <c r="AC71" s="967">
        <f>L71+G71</f>
        <v>305146.24240000005</v>
      </c>
      <c r="AD71" s="1157"/>
    </row>
    <row r="72" spans="2:30" s="952" customFormat="1" ht="16.5" customHeight="1">
      <c r="B72" s="953"/>
      <c r="C72" s="957"/>
      <c r="D72" s="1070" t="s">
        <v>433</v>
      </c>
      <c r="E72" s="1186">
        <v>262.8</v>
      </c>
      <c r="F72" s="1186">
        <v>500</v>
      </c>
      <c r="G72" s="1187">
        <f>E72*$F$19*$L$20/100</f>
        <v>516107.45376</v>
      </c>
      <c r="H72" s="1187"/>
      <c r="I72" s="1187"/>
      <c r="J72" s="942"/>
      <c r="K72" s="914"/>
      <c r="L72" s="1188">
        <v>60219</v>
      </c>
      <c r="M72" s="942"/>
      <c r="N72" s="1194" t="str">
        <f>"(DTE "&amp;DATO!$G$14&amp;DATO!$H$14&amp;")"</f>
        <v>(DTE 0413)</v>
      </c>
      <c r="O72" s="914"/>
      <c r="P72" s="914"/>
      <c r="Q72" s="1183"/>
      <c r="R72" s="1183"/>
      <c r="S72" s="954"/>
      <c r="T72" s="914"/>
      <c r="U72" s="914"/>
      <c r="V72" s="914"/>
      <c r="W72" s="914"/>
      <c r="X72" s="954"/>
      <c r="Y72" s="954"/>
      <c r="Z72" s="954"/>
      <c r="AA72" s="954"/>
      <c r="AB72" s="1189"/>
      <c r="AC72" s="967">
        <f>L72+G72</f>
        <v>576326.45376</v>
      </c>
      <c r="AD72" s="1157"/>
    </row>
    <row r="73" spans="2:30" s="952" customFormat="1" ht="16.5" customHeight="1">
      <c r="B73" s="953"/>
      <c r="C73" s="957"/>
      <c r="E73" s="962"/>
      <c r="F73" s="1070"/>
      <c r="G73" s="1071"/>
      <c r="H73" s="914"/>
      <c r="I73" s="1070"/>
      <c r="J73" s="1070"/>
      <c r="K73" s="914"/>
      <c r="L73" s="967"/>
      <c r="M73" s="1182"/>
      <c r="N73" s="1182"/>
      <c r="O73" s="1183"/>
      <c r="P73" s="1183"/>
      <c r="Q73" s="1183"/>
      <c r="R73" s="1183"/>
      <c r="S73" s="954"/>
      <c r="T73" s="914"/>
      <c r="U73" s="914"/>
      <c r="V73" s="914"/>
      <c r="W73" s="914"/>
      <c r="X73" s="954"/>
      <c r="Y73" s="954"/>
      <c r="Z73" s="954"/>
      <c r="AA73" s="954"/>
      <c r="AB73" s="954"/>
      <c r="AC73" s="967"/>
      <c r="AD73" s="1157"/>
    </row>
    <row r="74" spans="1:30" ht="16.5" customHeight="1">
      <c r="A74" s="952"/>
      <c r="B74" s="953"/>
      <c r="C74" s="957"/>
      <c r="D74" s="1178" t="s">
        <v>434</v>
      </c>
      <c r="E74" s="1070" t="s">
        <v>119</v>
      </c>
      <c r="F74" s="1070" t="s">
        <v>111</v>
      </c>
      <c r="G74" s="1179" t="s">
        <v>305</v>
      </c>
      <c r="I74" s="1181"/>
      <c r="J74" s="1070"/>
      <c r="L74" s="1180" t="s">
        <v>303</v>
      </c>
      <c r="M74" s="1181"/>
      <c r="N74" s="1182"/>
      <c r="O74" s="1183"/>
      <c r="P74" s="1183"/>
      <c r="Q74" s="1183"/>
      <c r="R74" s="1183"/>
      <c r="S74" s="1183"/>
      <c r="AC74" s="967"/>
      <c r="AD74" s="1157"/>
    </row>
    <row r="75" spans="1:30" ht="16.5" customHeight="1">
      <c r="A75" s="952"/>
      <c r="B75" s="953"/>
      <c r="C75" s="957"/>
      <c r="D75" s="1070" t="s">
        <v>435</v>
      </c>
      <c r="E75" s="1186">
        <v>300</v>
      </c>
      <c r="F75" s="1186" t="s">
        <v>122</v>
      </c>
      <c r="G75" s="1187">
        <f>E75*F20*L20</f>
        <v>161784</v>
      </c>
      <c r="H75" s="942"/>
      <c r="I75" s="942"/>
      <c r="J75" s="1188"/>
      <c r="L75" s="1188"/>
      <c r="M75" s="942"/>
      <c r="N75" s="1194" t="str">
        <f>"(DTE "&amp;DATO!$G$14&amp;DATO!$H$14&amp;")"</f>
        <v>(DTE 0413)</v>
      </c>
      <c r="O75" s="1397"/>
      <c r="P75" s="1397"/>
      <c r="Q75" s="1397"/>
      <c r="R75" s="1397"/>
      <c r="S75" s="1397"/>
      <c r="AC75" s="1398">
        <f>G75+L75</f>
        <v>161784</v>
      </c>
      <c r="AD75" s="1157"/>
    </row>
    <row r="76" spans="1:30" ht="16.5" customHeight="1">
      <c r="A76" s="952"/>
      <c r="B76" s="953"/>
      <c r="C76" s="957"/>
      <c r="D76" s="1070" t="s">
        <v>436</v>
      </c>
      <c r="E76" s="1186">
        <v>300</v>
      </c>
      <c r="F76" s="1186" t="s">
        <v>122</v>
      </c>
      <c r="G76" s="1187">
        <f>E76*F20*L20</f>
        <v>161784</v>
      </c>
      <c r="H76" s="942"/>
      <c r="I76" s="942"/>
      <c r="J76" s="1188"/>
      <c r="L76" s="1188"/>
      <c r="M76" s="942"/>
      <c r="N76" s="1194" t="str">
        <f>"(DTE "&amp;DATO!$G$14&amp;DATO!$H$14&amp;")"</f>
        <v>(DTE 0413)</v>
      </c>
      <c r="O76" s="1397"/>
      <c r="P76" s="1397"/>
      <c r="Q76" s="1397"/>
      <c r="R76" s="1397"/>
      <c r="S76" s="1397"/>
      <c r="AC76" s="1398">
        <f>G76+L76</f>
        <v>161784</v>
      </c>
      <c r="AD76" s="1157"/>
    </row>
    <row r="77" spans="1:30" ht="16.5" customHeight="1">
      <c r="A77" s="952"/>
      <c r="B77" s="953"/>
      <c r="C77" s="957"/>
      <c r="D77" s="1070" t="s">
        <v>437</v>
      </c>
      <c r="E77" s="1186">
        <v>150</v>
      </c>
      <c r="F77" s="1186" t="s">
        <v>122</v>
      </c>
      <c r="G77" s="1187">
        <f>E77*F20*L20</f>
        <v>80892</v>
      </c>
      <c r="H77" s="942"/>
      <c r="I77" s="942"/>
      <c r="J77" s="1188"/>
      <c r="L77" s="1188"/>
      <c r="M77" s="942"/>
      <c r="N77" s="1194" t="str">
        <f>"(DTE "&amp;DATO!$G$14&amp;DATO!$H$14&amp;")"</f>
        <v>(DTE 0413)</v>
      </c>
      <c r="O77" s="1397"/>
      <c r="P77" s="1397"/>
      <c r="Q77" s="1397"/>
      <c r="R77" s="1397"/>
      <c r="S77" s="1397"/>
      <c r="AC77" s="1398">
        <f>G77+L77</f>
        <v>80892</v>
      </c>
      <c r="AD77" s="1157"/>
    </row>
    <row r="78" spans="1:30" ht="16.5" customHeight="1">
      <c r="A78" s="952"/>
      <c r="B78" s="953"/>
      <c r="C78" s="957"/>
      <c r="D78" s="1070"/>
      <c r="E78" s="1186"/>
      <c r="F78" s="1186"/>
      <c r="G78" s="1187"/>
      <c r="H78" s="942"/>
      <c r="I78" s="942"/>
      <c r="J78" s="1188"/>
      <c r="L78" s="1188"/>
      <c r="M78" s="942"/>
      <c r="N78" s="1194"/>
      <c r="O78" s="1397"/>
      <c r="P78" s="1397"/>
      <c r="Q78" s="1397"/>
      <c r="R78" s="1397"/>
      <c r="S78" s="1397"/>
      <c r="AC78" s="1398"/>
      <c r="AD78" s="1157"/>
    </row>
    <row r="79" spans="1:30" ht="16.5" customHeight="1">
      <c r="A79" s="952"/>
      <c r="B79" s="953"/>
      <c r="C79" s="957"/>
      <c r="D79" s="1178" t="s">
        <v>120</v>
      </c>
      <c r="E79" s="1070" t="s">
        <v>121</v>
      </c>
      <c r="F79" s="1191"/>
      <c r="G79" s="1070" t="s">
        <v>111</v>
      </c>
      <c r="I79" s="1181"/>
      <c r="J79" s="1179" t="s">
        <v>306</v>
      </c>
      <c r="L79" s="1180"/>
      <c r="M79" s="1181"/>
      <c r="N79" s="1182"/>
      <c r="O79" s="1183"/>
      <c r="P79" s="1183"/>
      <c r="Q79" s="1183"/>
      <c r="R79" s="1183"/>
      <c r="S79" s="1183"/>
      <c r="AC79" s="967"/>
      <c r="AD79" s="1157"/>
    </row>
    <row r="80" spans="1:30" ht="16.5" customHeight="1">
      <c r="A80" s="952"/>
      <c r="B80" s="953"/>
      <c r="C80" s="957"/>
      <c r="D80" s="1070" t="s">
        <v>438</v>
      </c>
      <c r="E80" s="1186" t="s">
        <v>439</v>
      </c>
      <c r="F80" s="1399"/>
      <c r="G80" s="1186">
        <v>132</v>
      </c>
      <c r="H80" s="942"/>
      <c r="I80" s="942"/>
      <c r="J80" s="1187">
        <f>$F$21*$L$20</f>
        <v>85687.2</v>
      </c>
      <c r="L80" s="1188"/>
      <c r="M80" s="942"/>
      <c r="N80" s="1194"/>
      <c r="O80" s="1397"/>
      <c r="P80" s="1397"/>
      <c r="Q80" s="1397"/>
      <c r="R80" s="1397"/>
      <c r="S80" s="1397"/>
      <c r="AC80" s="1398">
        <f>J80</f>
        <v>85687.2</v>
      </c>
      <c r="AD80" s="1157"/>
    </row>
    <row r="81" spans="1:30" ht="16.5" customHeight="1">
      <c r="A81" s="952"/>
      <c r="B81" s="953"/>
      <c r="C81" s="957"/>
      <c r="D81" s="1070" t="s">
        <v>438</v>
      </c>
      <c r="E81" s="1186" t="s">
        <v>440</v>
      </c>
      <c r="F81" s="1399"/>
      <c r="G81" s="1186">
        <v>132</v>
      </c>
      <c r="H81" s="942"/>
      <c r="I81" s="942"/>
      <c r="J81" s="1187">
        <f>$F$21*$L$20</f>
        <v>85687.2</v>
      </c>
      <c r="L81" s="1188"/>
      <c r="M81" s="942"/>
      <c r="N81" s="1194"/>
      <c r="O81" s="1397"/>
      <c r="P81" s="1397"/>
      <c r="Q81" s="1397"/>
      <c r="R81" s="1397"/>
      <c r="S81" s="1397"/>
      <c r="AC81" s="1398">
        <f>J81</f>
        <v>85687.2</v>
      </c>
      <c r="AD81" s="1157"/>
    </row>
    <row r="82" spans="1:30" ht="16.5" customHeight="1">
      <c r="A82" s="952"/>
      <c r="B82" s="953"/>
      <c r="C82" s="957"/>
      <c r="D82" s="1070" t="s">
        <v>438</v>
      </c>
      <c r="E82" s="1186" t="s">
        <v>441</v>
      </c>
      <c r="F82" s="1399"/>
      <c r="G82" s="1186">
        <v>132</v>
      </c>
      <c r="H82" s="942"/>
      <c r="I82" s="942"/>
      <c r="J82" s="1187">
        <f>$F$21*$L$20</f>
        <v>85687.2</v>
      </c>
      <c r="L82" s="1188"/>
      <c r="M82" s="942"/>
      <c r="N82" s="1194"/>
      <c r="O82" s="1397"/>
      <c r="P82" s="1397"/>
      <c r="Q82" s="1397"/>
      <c r="R82" s="1397"/>
      <c r="S82" s="1397"/>
      <c r="AC82" s="1398">
        <f>J82</f>
        <v>85687.2</v>
      </c>
      <c r="AD82" s="1157"/>
    </row>
    <row r="83" spans="1:30" ht="16.5" customHeight="1">
      <c r="A83" s="952"/>
      <c r="B83" s="953"/>
      <c r="C83" s="957"/>
      <c r="D83" s="1070" t="s">
        <v>438</v>
      </c>
      <c r="E83" s="1186" t="s">
        <v>442</v>
      </c>
      <c r="F83" s="1399"/>
      <c r="G83" s="1186">
        <v>132</v>
      </c>
      <c r="H83" s="942"/>
      <c r="I83" s="942"/>
      <c r="J83" s="1187">
        <f>$F$21*$L$20</f>
        <v>85687.2</v>
      </c>
      <c r="L83" s="1188"/>
      <c r="M83" s="942"/>
      <c r="N83" s="1194"/>
      <c r="O83" s="1397"/>
      <c r="P83" s="1397"/>
      <c r="Q83" s="1397"/>
      <c r="R83" s="1397"/>
      <c r="S83" s="1397"/>
      <c r="AC83" s="1398">
        <f>J83</f>
        <v>85687.2</v>
      </c>
      <c r="AD83" s="1157"/>
    </row>
    <row r="84" spans="1:30" ht="16.5" customHeight="1">
      <c r="A84" s="952"/>
      <c r="B84" s="953"/>
      <c r="C84" s="957"/>
      <c r="D84" s="1070" t="s">
        <v>438</v>
      </c>
      <c r="E84" s="1186" t="s">
        <v>443</v>
      </c>
      <c r="F84" s="1399"/>
      <c r="G84" s="1186">
        <v>132</v>
      </c>
      <c r="H84" s="942"/>
      <c r="I84" s="942"/>
      <c r="J84" s="1187">
        <f>$F$21*$L$20</f>
        <v>85687.2</v>
      </c>
      <c r="L84" s="1188"/>
      <c r="M84" s="942"/>
      <c r="N84" s="1194"/>
      <c r="O84" s="1397"/>
      <c r="P84" s="1397"/>
      <c r="Q84" s="1397"/>
      <c r="R84" s="1397"/>
      <c r="S84" s="1397"/>
      <c r="AC84" s="1398">
        <f>J84</f>
        <v>85687.2</v>
      </c>
      <c r="AD84" s="1157"/>
    </row>
    <row r="85" spans="1:30" ht="16.5" customHeight="1">
      <c r="A85" s="952"/>
      <c r="B85" s="953"/>
      <c r="C85" s="957"/>
      <c r="D85" s="1070"/>
      <c r="E85" s="1400"/>
      <c r="F85" s="1399"/>
      <c r="G85" s="1186"/>
      <c r="H85" s="942"/>
      <c r="I85" s="942"/>
      <c r="J85" s="1187"/>
      <c r="L85" s="1188"/>
      <c r="M85" s="942"/>
      <c r="N85" s="1194"/>
      <c r="O85" s="1397"/>
      <c r="P85" s="1397"/>
      <c r="Q85" s="1397"/>
      <c r="R85" s="1397"/>
      <c r="S85" s="1397"/>
      <c r="AC85" s="1398"/>
      <c r="AD85" s="1157"/>
    </row>
    <row r="86" spans="1:30" ht="16.5" customHeight="1" thickBot="1">
      <c r="A86" s="952"/>
      <c r="B86" s="953"/>
      <c r="C86" s="957"/>
      <c r="D86" s="1070"/>
      <c r="E86" s="1186"/>
      <c r="F86" s="1186"/>
      <c r="G86" s="1187"/>
      <c r="H86" s="942"/>
      <c r="I86" s="942"/>
      <c r="J86" s="1187"/>
      <c r="L86" s="1188"/>
      <c r="M86" s="942"/>
      <c r="N86" s="1194"/>
      <c r="O86" s="1397"/>
      <c r="P86" s="1397"/>
      <c r="Q86" s="1397"/>
      <c r="R86" s="1397"/>
      <c r="S86" s="1397"/>
      <c r="AC86" s="1398"/>
      <c r="AD86" s="1157"/>
    </row>
    <row r="87" spans="1:30" ht="16.5" customHeight="1" thickBot="1" thickTop="1">
      <c r="A87" s="952"/>
      <c r="B87" s="953"/>
      <c r="C87" s="957"/>
      <c r="D87" s="1171"/>
      <c r="E87" s="962"/>
      <c r="F87" s="1070"/>
      <c r="G87" s="1070"/>
      <c r="H87" s="1071"/>
      <c r="J87" s="1070"/>
      <c r="L87" s="1195"/>
      <c r="M87" s="1182"/>
      <c r="N87" s="1182"/>
      <c r="O87" s="1183"/>
      <c r="P87" s="1183"/>
      <c r="Q87" s="1183"/>
      <c r="R87" s="1183"/>
      <c r="S87" s="1183"/>
      <c r="AB87" s="1401" t="s">
        <v>444</v>
      </c>
      <c r="AC87" s="1402">
        <f>SUM(AC70:AC85)</f>
        <v>2035519.3681599998</v>
      </c>
      <c r="AD87" s="1157"/>
    </row>
    <row r="88" spans="2:30" ht="16.5" customHeight="1" thickBot="1" thickTop="1">
      <c r="B88" s="953"/>
      <c r="C88" s="1176" t="s">
        <v>114</v>
      </c>
      <c r="D88" s="1198" t="s">
        <v>115</v>
      </c>
      <c r="E88" s="1070"/>
      <c r="F88" s="1199"/>
      <c r="G88" s="1069"/>
      <c r="H88" s="1171"/>
      <c r="I88" s="1171"/>
      <c r="J88" s="1171"/>
      <c r="K88" s="1070"/>
      <c r="L88" s="1070"/>
      <c r="M88" s="1171"/>
      <c r="N88" s="1070"/>
      <c r="O88" s="1171"/>
      <c r="P88" s="1171"/>
      <c r="Q88" s="1171"/>
      <c r="R88" s="1171"/>
      <c r="S88" s="1171"/>
      <c r="T88" s="1171"/>
      <c r="U88" s="1171"/>
      <c r="AC88" s="1171"/>
      <c r="AD88" s="1157"/>
    </row>
    <row r="89" spans="2:30" s="952" customFormat="1" ht="16.5" customHeight="1" thickBot="1" thickTop="1">
      <c r="B89" s="953"/>
      <c r="C89" s="957"/>
      <c r="D89" s="1178" t="s">
        <v>116</v>
      </c>
      <c r="E89" s="1200">
        <f>10*K65*K26/AC87</f>
        <v>922.7520250845552</v>
      </c>
      <c r="G89" s="1069"/>
      <c r="L89" s="1070"/>
      <c r="N89" s="1070"/>
      <c r="O89" s="1071"/>
      <c r="V89" s="914"/>
      <c r="W89" s="914"/>
      <c r="AB89" s="1401" t="s">
        <v>377</v>
      </c>
      <c r="AC89" s="1402">
        <v>574495.34368</v>
      </c>
      <c r="AD89" s="1157"/>
    </row>
    <row r="90" spans="2:30" s="952" customFormat="1" ht="16.5" customHeight="1" thickTop="1">
      <c r="B90" s="953"/>
      <c r="C90" s="957"/>
      <c r="E90" s="1201"/>
      <c r="F90" s="971"/>
      <c r="G90" s="1069"/>
      <c r="J90" s="1069"/>
      <c r="K90" s="1089"/>
      <c r="L90" s="1070"/>
      <c r="M90" s="1070"/>
      <c r="N90" s="1070"/>
      <c r="O90" s="1071"/>
      <c r="P90" s="1070"/>
      <c r="Q90" s="1070"/>
      <c r="R90" s="1088"/>
      <c r="S90" s="1088"/>
      <c r="T90" s="1088"/>
      <c r="U90" s="1202"/>
      <c r="V90" s="914"/>
      <c r="W90" s="914"/>
      <c r="AC90" s="1202"/>
      <c r="AD90" s="1157"/>
    </row>
    <row r="91" spans="2:30" ht="16.5" customHeight="1">
      <c r="B91" s="953"/>
      <c r="C91" s="957"/>
      <c r="D91" s="1203"/>
      <c r="E91" s="1204"/>
      <c r="F91" s="971"/>
      <c r="G91" s="1069"/>
      <c r="H91" s="1171"/>
      <c r="I91" s="1171"/>
      <c r="N91" s="1070"/>
      <c r="O91" s="1071"/>
      <c r="P91" s="1070"/>
      <c r="Q91" s="1070"/>
      <c r="R91" s="1181"/>
      <c r="S91" s="1181"/>
      <c r="T91" s="1181"/>
      <c r="U91" s="1182"/>
      <c r="AC91" s="1182"/>
      <c r="AD91" s="1157"/>
    </row>
    <row r="92" spans="2:30" ht="16.5" customHeight="1" thickBot="1">
      <c r="B92" s="953"/>
      <c r="C92" s="957"/>
      <c r="D92" s="1203"/>
      <c r="E92" s="1204"/>
      <c r="F92" s="971"/>
      <c r="G92" s="1069"/>
      <c r="H92" s="1171"/>
      <c r="I92" s="1171"/>
      <c r="N92" s="1070"/>
      <c r="O92" s="1071"/>
      <c r="P92" s="1070"/>
      <c r="Q92" s="1070"/>
      <c r="R92" s="1181"/>
      <c r="S92" s="1181"/>
      <c r="T92" s="1181"/>
      <c r="U92" s="1182"/>
      <c r="AC92" s="1182"/>
      <c r="AD92" s="1157"/>
    </row>
    <row r="93" spans="2:30" s="1205" customFormat="1" ht="21" thickBot="1" thickTop="1">
      <c r="B93" s="1206"/>
      <c r="C93" s="1207"/>
      <c r="D93" s="1208"/>
      <c r="E93" s="1209"/>
      <c r="F93" s="1210"/>
      <c r="G93" s="1211"/>
      <c r="I93" s="914"/>
      <c r="J93" s="1212" t="s">
        <v>118</v>
      </c>
      <c r="K93" s="1213">
        <f>IF(E89&gt;3*K26,K26*3,E89)</f>
        <v>922.7520250845552</v>
      </c>
      <c r="M93" s="1214"/>
      <c r="N93" s="1215" t="s">
        <v>445</v>
      </c>
      <c r="O93" s="1216"/>
      <c r="P93" s="1214"/>
      <c r="Q93" s="1214"/>
      <c r="R93" s="1217"/>
      <c r="S93" s="1217"/>
      <c r="T93" s="1217"/>
      <c r="U93" s="1218"/>
      <c r="V93" s="914"/>
      <c r="W93" s="914"/>
      <c r="AC93" s="1218"/>
      <c r="AD93" s="1219"/>
    </row>
    <row r="94" spans="2:30" ht="16.5" customHeight="1" thickBot="1" thickTop="1">
      <c r="B94" s="1220"/>
      <c r="C94" s="1221"/>
      <c r="D94" s="1221"/>
      <c r="E94" s="1221"/>
      <c r="F94" s="1221"/>
      <c r="G94" s="1221"/>
      <c r="H94" s="1221"/>
      <c r="I94" s="1221"/>
      <c r="J94" s="1221"/>
      <c r="K94" s="1221"/>
      <c r="L94" s="1221"/>
      <c r="M94" s="1221"/>
      <c r="N94" s="1221"/>
      <c r="O94" s="1221"/>
      <c r="P94" s="1221"/>
      <c r="Q94" s="1221"/>
      <c r="R94" s="1221"/>
      <c r="S94" s="1221"/>
      <c r="T94" s="1221"/>
      <c r="U94" s="1221"/>
      <c r="V94" s="1222"/>
      <c r="W94" s="1222"/>
      <c r="X94" s="1222"/>
      <c r="Y94" s="1222"/>
      <c r="Z94" s="1222"/>
      <c r="AA94" s="1222"/>
      <c r="AB94" s="1222"/>
      <c r="AC94" s="1221"/>
      <c r="AD94" s="1223"/>
    </row>
    <row r="95" spans="2:23" ht="16.5" customHeight="1" thickTop="1">
      <c r="B95" s="949"/>
      <c r="C95" s="1224"/>
      <c r="W95" s="949"/>
    </row>
  </sheetData>
  <sheetProtection password="CC12"/>
  <mergeCells count="31">
    <mergeCell ref="P61:Q61"/>
    <mergeCell ref="F60:G60"/>
    <mergeCell ref="P60:Q60"/>
    <mergeCell ref="F47:G47"/>
    <mergeCell ref="F48:G48"/>
    <mergeCell ref="F50:G50"/>
    <mergeCell ref="F49:G49"/>
    <mergeCell ref="P62:Q62"/>
    <mergeCell ref="F59:G59"/>
    <mergeCell ref="F58:G58"/>
    <mergeCell ref="F61:G61"/>
    <mergeCell ref="F62:G62"/>
    <mergeCell ref="P59:Q59"/>
    <mergeCell ref="P41:Q41"/>
    <mergeCell ref="P42:Q42"/>
    <mergeCell ref="P43:Q43"/>
    <mergeCell ref="O50:Q50"/>
    <mergeCell ref="P44:Q44"/>
    <mergeCell ref="O49:Q49"/>
    <mergeCell ref="O47:Q47"/>
    <mergeCell ref="O48:Q48"/>
    <mergeCell ref="F54:G54"/>
    <mergeCell ref="F51:G51"/>
    <mergeCell ref="P58:Q58"/>
    <mergeCell ref="F57:G57"/>
    <mergeCell ref="O52:Q52"/>
    <mergeCell ref="O53:Q53"/>
    <mergeCell ref="F52:G52"/>
    <mergeCell ref="F53:G53"/>
    <mergeCell ref="O54:Q54"/>
    <mergeCell ref="O51:Q51"/>
  </mergeCells>
  <printOptions horizontalCentered="1"/>
  <pageMargins left="0.24" right="0.24" top="0.65" bottom="0.54" header="0.35" footer="0.41"/>
  <pageSetup fitToHeight="1" fitToWidth="1" orientation="landscape" paperSize="9" scale="32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G88"/>
  <sheetViews>
    <sheetView zoomScale="50" zoomScaleNormal="50" zoomScalePageLayoutView="0" workbookViewId="0" topLeftCell="A1">
      <selection activeCell="E46" sqref="E46"/>
    </sheetView>
  </sheetViews>
  <sheetFormatPr defaultColWidth="11.421875" defaultRowHeight="12.75"/>
  <cols>
    <col min="1" max="1" width="21.28125" style="592" customWidth="1"/>
    <col min="2" max="2" width="8.421875" style="592" customWidth="1"/>
    <col min="3" max="3" width="4.7109375" style="592" customWidth="1"/>
    <col min="4" max="4" width="28.421875" style="592" customWidth="1"/>
    <col min="5" max="5" width="24.421875" style="592" customWidth="1"/>
    <col min="6" max="6" width="15.00390625" style="592" customWidth="1"/>
    <col min="7" max="7" width="14.140625" style="592" customWidth="1"/>
    <col min="8" max="8" width="10.140625" style="592" hidden="1" customWidth="1"/>
    <col min="9" max="9" width="11.28125" style="592" hidden="1" customWidth="1"/>
    <col min="10" max="11" width="18.7109375" style="592" customWidth="1"/>
    <col min="12" max="12" width="11.28125" style="592" customWidth="1"/>
    <col min="13" max="13" width="10.7109375" style="592" customWidth="1"/>
    <col min="14" max="14" width="9.7109375" style="592" customWidth="1"/>
    <col min="15" max="15" width="10.57421875" style="592" customWidth="1"/>
    <col min="16" max="16" width="8.421875" style="592" customWidth="1"/>
    <col min="17" max="17" width="5.8515625" style="592" customWidth="1"/>
    <col min="18" max="18" width="13.421875" style="592" hidden="1" customWidth="1"/>
    <col min="19" max="19" width="14.8515625" style="592" hidden="1" customWidth="1"/>
    <col min="20" max="20" width="15.7109375" style="592" hidden="1" customWidth="1"/>
    <col min="21" max="21" width="16.28125" style="592" hidden="1" customWidth="1"/>
    <col min="22" max="22" width="16.57421875" style="592" hidden="1" customWidth="1"/>
    <col min="23" max="23" width="16.00390625" style="592" hidden="1" customWidth="1"/>
    <col min="24" max="24" width="7.7109375" style="592" hidden="1" customWidth="1"/>
    <col min="25" max="25" width="7.140625" style="592" hidden="1" customWidth="1"/>
    <col min="26" max="26" width="7.7109375" style="592" hidden="1" customWidth="1"/>
    <col min="27" max="27" width="6.57421875" style="592" hidden="1" customWidth="1"/>
    <col min="28" max="28" width="9.7109375" style="592" customWidth="1"/>
    <col min="29" max="29" width="21.00390625" style="592" customWidth="1"/>
    <col min="30" max="30" width="6.421875" style="592" customWidth="1"/>
    <col min="31" max="31" width="4.140625" style="592" customWidth="1"/>
    <col min="32" max="32" width="7.140625" style="592" customWidth="1"/>
    <col min="33" max="33" width="5.28125" style="592" customWidth="1"/>
    <col min="34" max="34" width="5.421875" style="592" customWidth="1"/>
    <col min="35" max="35" width="4.7109375" style="592" customWidth="1"/>
    <col min="36" max="36" width="5.28125" style="592" customWidth="1"/>
    <col min="37" max="38" width="13.28125" style="592" customWidth="1"/>
    <col min="39" max="39" width="6.57421875" style="592" customWidth="1"/>
    <col min="40" max="40" width="6.421875" style="592" customWidth="1"/>
    <col min="41" max="44" width="11.421875" style="592" customWidth="1"/>
    <col min="45" max="45" width="12.7109375" style="592" customWidth="1"/>
    <col min="46" max="48" width="11.421875" style="592" customWidth="1"/>
    <col min="49" max="49" width="21.00390625" style="592" customWidth="1"/>
    <col min="50" max="16384" width="11.421875" style="592" customWidth="1"/>
  </cols>
  <sheetData>
    <row r="1" spans="1:30" ht="13.5">
      <c r="A1" s="590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AD1" s="593"/>
    </row>
    <row r="2" spans="1:23" ht="27" customHeight="1">
      <c r="A2" s="590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</row>
    <row r="3" spans="1:23" ht="27" customHeight="1">
      <c r="A3" s="590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</row>
    <row r="4" spans="1:23" ht="11.25" customHeight="1">
      <c r="A4" s="594" t="s">
        <v>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</row>
    <row r="5" spans="1:23" ht="11.25" customHeight="1">
      <c r="A5" s="594" t="s">
        <v>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</row>
    <row r="6" spans="1:30" s="598" customFormat="1" ht="30.75">
      <c r="A6" s="595"/>
      <c r="B6" s="596" t="str">
        <f>'TOT-0412'!B2</f>
        <v>ANEXO V al Memorándum  D.T.E.E.  N°     461       / 2014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AB6" s="597"/>
      <c r="AC6" s="597"/>
      <c r="AD6" s="597"/>
    </row>
    <row r="7" s="599" customFormat="1" ht="11.25">
      <c r="B7" s="600"/>
    </row>
    <row r="8" s="599" customFormat="1" ht="12" thickBot="1">
      <c r="B8" s="594"/>
    </row>
    <row r="9" spans="1:30" ht="16.5" customHeight="1" thickTop="1">
      <c r="A9" s="591"/>
      <c r="B9" s="601"/>
      <c r="C9" s="602"/>
      <c r="D9" s="602"/>
      <c r="E9" s="603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4"/>
      <c r="X9" s="604"/>
      <c r="Y9" s="604"/>
      <c r="Z9" s="604"/>
      <c r="AA9" s="604"/>
      <c r="AB9" s="604"/>
      <c r="AC9" s="604"/>
      <c r="AD9" s="605"/>
    </row>
    <row r="10" spans="1:30" ht="20.25">
      <c r="A10" s="591"/>
      <c r="B10" s="606"/>
      <c r="C10" s="607"/>
      <c r="D10" s="608" t="s">
        <v>82</v>
      </c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9"/>
      <c r="Q10" s="609"/>
      <c r="R10" s="607"/>
      <c r="S10" s="607"/>
      <c r="T10" s="607"/>
      <c r="U10" s="607"/>
      <c r="V10" s="607"/>
      <c r="AD10" s="610"/>
    </row>
    <row r="11" spans="1:30" ht="16.5" customHeight="1">
      <c r="A11" s="591"/>
      <c r="B11" s="606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AD11" s="610"/>
    </row>
    <row r="12" spans="2:30" s="611" customFormat="1" ht="20.25">
      <c r="B12" s="612"/>
      <c r="C12" s="613"/>
      <c r="D12" s="608" t="s">
        <v>83</v>
      </c>
      <c r="E12" s="613"/>
      <c r="F12" s="613"/>
      <c r="G12" s="613"/>
      <c r="H12" s="613"/>
      <c r="N12" s="613"/>
      <c r="O12" s="613"/>
      <c r="P12" s="614"/>
      <c r="Q12" s="614"/>
      <c r="R12" s="613"/>
      <c r="S12" s="613"/>
      <c r="T12" s="613"/>
      <c r="U12" s="613"/>
      <c r="V12" s="613"/>
      <c r="W12" s="592"/>
      <c r="X12" s="613"/>
      <c r="Y12" s="613"/>
      <c r="Z12" s="613"/>
      <c r="AA12" s="613"/>
      <c r="AB12" s="613"/>
      <c r="AC12" s="592"/>
      <c r="AD12" s="615"/>
    </row>
    <row r="13" spans="1:30" ht="16.5" customHeight="1">
      <c r="A13" s="591"/>
      <c r="B13" s="606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AD13" s="610"/>
    </row>
    <row r="14" spans="2:30" s="611" customFormat="1" ht="20.25">
      <c r="B14" s="612"/>
      <c r="C14" s="613"/>
      <c r="D14" s="608" t="s">
        <v>370</v>
      </c>
      <c r="E14" s="613"/>
      <c r="F14" s="613"/>
      <c r="G14" s="613"/>
      <c r="H14" s="613"/>
      <c r="N14" s="613"/>
      <c r="O14" s="613"/>
      <c r="P14" s="614"/>
      <c r="Q14" s="614"/>
      <c r="R14" s="613"/>
      <c r="S14" s="613"/>
      <c r="T14" s="613"/>
      <c r="U14" s="613"/>
      <c r="V14" s="613"/>
      <c r="W14" s="592"/>
      <c r="X14" s="613"/>
      <c r="Y14" s="613"/>
      <c r="Z14" s="613"/>
      <c r="AA14" s="613"/>
      <c r="AB14" s="613"/>
      <c r="AC14" s="592"/>
      <c r="AD14" s="615"/>
    </row>
    <row r="15" spans="1:30" ht="16.5" customHeight="1">
      <c r="A15" s="591"/>
      <c r="B15" s="606"/>
      <c r="C15" s="607"/>
      <c r="D15" s="607"/>
      <c r="E15" s="591"/>
      <c r="F15" s="591"/>
      <c r="G15" s="591"/>
      <c r="H15" s="591"/>
      <c r="I15" s="616"/>
      <c r="J15" s="616"/>
      <c r="K15" s="616"/>
      <c r="L15" s="616"/>
      <c r="M15" s="616"/>
      <c r="N15" s="616"/>
      <c r="O15" s="616"/>
      <c r="P15" s="616"/>
      <c r="Q15" s="616"/>
      <c r="R15" s="607"/>
      <c r="S15" s="607"/>
      <c r="T15" s="607"/>
      <c r="U15" s="607"/>
      <c r="V15" s="607"/>
      <c r="AD15" s="610"/>
    </row>
    <row r="16" spans="2:30" s="611" customFormat="1" ht="19.5">
      <c r="B16" s="617" t="str">
        <f>'TOT-0412'!B14</f>
        <v>Desde el 01 al 30 de abril de 2013</v>
      </c>
      <c r="C16" s="618"/>
      <c r="D16" s="619"/>
      <c r="E16" s="619"/>
      <c r="F16" s="619"/>
      <c r="G16" s="619"/>
      <c r="H16" s="619"/>
      <c r="I16" s="620"/>
      <c r="J16" s="621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2"/>
      <c r="V16" s="622"/>
      <c r="W16" s="592"/>
      <c r="X16" s="623"/>
      <c r="Y16" s="623"/>
      <c r="Z16" s="623"/>
      <c r="AA16" s="623"/>
      <c r="AB16" s="622"/>
      <c r="AC16" s="621"/>
      <c r="AD16" s="624"/>
    </row>
    <row r="17" spans="1:30" ht="16.5" customHeight="1">
      <c r="A17" s="591"/>
      <c r="B17" s="606"/>
      <c r="C17" s="607"/>
      <c r="D17" s="607"/>
      <c r="E17" s="625"/>
      <c r="F17" s="625"/>
      <c r="G17" s="607"/>
      <c r="H17" s="607"/>
      <c r="I17" s="607"/>
      <c r="J17" s="626"/>
      <c r="K17" s="607"/>
      <c r="L17" s="607"/>
      <c r="M17" s="607"/>
      <c r="N17" s="591"/>
      <c r="O17" s="591"/>
      <c r="P17" s="607"/>
      <c r="Q17" s="607"/>
      <c r="R17" s="607"/>
      <c r="S17" s="607"/>
      <c r="T17" s="607"/>
      <c r="U17" s="607"/>
      <c r="V17" s="607"/>
      <c r="AD17" s="610"/>
    </row>
    <row r="18" spans="1:30" ht="16.5" customHeight="1">
      <c r="A18" s="591"/>
      <c r="B18" s="606"/>
      <c r="C18" s="607"/>
      <c r="D18" s="607"/>
      <c r="E18" s="625"/>
      <c r="F18" s="625"/>
      <c r="G18" s="607"/>
      <c r="H18" s="607"/>
      <c r="I18" s="627"/>
      <c r="J18" s="607"/>
      <c r="K18" s="628"/>
      <c r="M18" s="607"/>
      <c r="N18" s="591"/>
      <c r="O18" s="591"/>
      <c r="P18" s="607"/>
      <c r="Q18" s="607"/>
      <c r="R18" s="607"/>
      <c r="S18" s="607"/>
      <c r="T18" s="607"/>
      <c r="U18" s="607"/>
      <c r="V18" s="607"/>
      <c r="AD18" s="610"/>
    </row>
    <row r="19" spans="1:30" ht="16.5" customHeight="1">
      <c r="A19" s="591"/>
      <c r="B19" s="606"/>
      <c r="C19" s="607"/>
      <c r="D19" s="607"/>
      <c r="E19" s="625"/>
      <c r="F19" s="625"/>
      <c r="G19" s="607"/>
      <c r="H19" s="607"/>
      <c r="I19" s="627"/>
      <c r="J19" s="607"/>
      <c r="K19" s="628"/>
      <c r="M19" s="607"/>
      <c r="N19" s="591"/>
      <c r="O19" s="591"/>
      <c r="P19" s="607"/>
      <c r="Q19" s="607"/>
      <c r="R19" s="607"/>
      <c r="S19" s="607"/>
      <c r="T19" s="607"/>
      <c r="U19" s="607"/>
      <c r="V19" s="607"/>
      <c r="AD19" s="610"/>
    </row>
    <row r="20" spans="1:30" ht="16.5" customHeight="1">
      <c r="A20" s="591"/>
      <c r="B20" s="606"/>
      <c r="C20" s="629" t="s">
        <v>85</v>
      </c>
      <c r="D20" s="630" t="s">
        <v>86</v>
      </c>
      <c r="E20" s="625"/>
      <c r="F20" s="625"/>
      <c r="G20" s="607"/>
      <c r="H20" s="607"/>
      <c r="I20" s="607"/>
      <c r="J20" s="626"/>
      <c r="K20" s="607"/>
      <c r="L20" s="607"/>
      <c r="M20" s="607"/>
      <c r="N20" s="591"/>
      <c r="O20" s="591"/>
      <c r="P20" s="607"/>
      <c r="Q20" s="607"/>
      <c r="R20" s="607"/>
      <c r="S20" s="607"/>
      <c r="T20" s="607"/>
      <c r="U20" s="607"/>
      <c r="V20" s="607"/>
      <c r="AD20" s="610"/>
    </row>
    <row r="21" spans="2:30" s="631" customFormat="1" ht="16.5" customHeight="1">
      <c r="B21" s="632"/>
      <c r="C21" s="633"/>
      <c r="D21" s="634"/>
      <c r="E21" s="635"/>
      <c r="F21" s="636"/>
      <c r="G21" s="633"/>
      <c r="H21" s="633"/>
      <c r="I21" s="633"/>
      <c r="J21" s="637"/>
      <c r="K21" s="633"/>
      <c r="L21" s="633"/>
      <c r="M21" s="633"/>
      <c r="P21" s="633"/>
      <c r="Q21" s="633"/>
      <c r="R21" s="633"/>
      <c r="S21" s="633"/>
      <c r="T21" s="633"/>
      <c r="U21" s="633"/>
      <c r="V21" s="633"/>
      <c r="W21" s="592"/>
      <c r="AD21" s="638"/>
    </row>
    <row r="22" spans="2:30" s="631" customFormat="1" ht="16.5" customHeight="1">
      <c r="B22" s="632"/>
      <c r="C22" s="633"/>
      <c r="D22" s="960" t="s">
        <v>87</v>
      </c>
      <c r="F22" s="643">
        <v>272.761</v>
      </c>
      <c r="G22" s="960" t="s">
        <v>88</v>
      </c>
      <c r="H22" s="633"/>
      <c r="K22" s="633"/>
      <c r="L22" s="640"/>
      <c r="M22" s="641" t="s">
        <v>89</v>
      </c>
      <c r="N22" s="642">
        <v>0.04</v>
      </c>
      <c r="R22" s="633"/>
      <c r="S22" s="633"/>
      <c r="T22" s="633"/>
      <c r="U22" s="633"/>
      <c r="V22" s="633"/>
      <c r="W22" s="592"/>
      <c r="AD22" s="638"/>
    </row>
    <row r="23" spans="2:30" s="631" customFormat="1" ht="16.5" customHeight="1">
      <c r="B23" s="632"/>
      <c r="C23" s="633"/>
      <c r="D23" s="639" t="s">
        <v>90</v>
      </c>
      <c r="F23" s="643">
        <v>0.749</v>
      </c>
      <c r="G23" s="639" t="s">
        <v>91</v>
      </c>
      <c r="H23" s="633"/>
      <c r="K23" s="633"/>
      <c r="L23" s="633"/>
      <c r="M23" s="634" t="s">
        <v>92</v>
      </c>
      <c r="N23" s="633">
        <f>MID(B16,16,2)*24</f>
        <v>720</v>
      </c>
      <c r="O23" s="633"/>
      <c r="P23" s="644"/>
      <c r="Q23" s="633"/>
      <c r="R23" s="633"/>
      <c r="S23" s="633"/>
      <c r="T23" s="633"/>
      <c r="U23" s="633"/>
      <c r="V23" s="633"/>
      <c r="W23" s="592"/>
      <c r="AD23" s="638"/>
    </row>
    <row r="24" spans="2:30" s="631" customFormat="1" ht="16.5" customHeight="1">
      <c r="B24" s="632"/>
      <c r="C24" s="633"/>
      <c r="D24" s="631" t="s">
        <v>371</v>
      </c>
      <c r="F24" s="645">
        <v>133.866</v>
      </c>
      <c r="G24" s="639" t="s">
        <v>33</v>
      </c>
      <c r="H24" s="633"/>
      <c r="K24" s="1611" t="s">
        <v>372</v>
      </c>
      <c r="L24" s="1611"/>
      <c r="M24" s="1611"/>
      <c r="N24" s="647">
        <v>20</v>
      </c>
      <c r="O24" s="633"/>
      <c r="P24" s="644"/>
      <c r="Q24" s="633"/>
      <c r="R24" s="633"/>
      <c r="S24" s="633"/>
      <c r="T24" s="633"/>
      <c r="U24" s="633"/>
      <c r="V24" s="633"/>
      <c r="W24" s="592"/>
      <c r="AD24" s="638"/>
    </row>
    <row r="25" spans="2:30" s="631" customFormat="1" ht="16.5" customHeight="1">
      <c r="B25" s="632"/>
      <c r="C25" s="633"/>
      <c r="F25" s="645"/>
      <c r="G25" s="639"/>
      <c r="H25" s="633"/>
      <c r="K25" s="646"/>
      <c r="L25" s="646"/>
      <c r="M25" s="646"/>
      <c r="N25" s="647"/>
      <c r="O25" s="633"/>
      <c r="P25" s="644"/>
      <c r="Q25" s="633"/>
      <c r="R25" s="633"/>
      <c r="S25" s="633"/>
      <c r="T25" s="633"/>
      <c r="U25" s="633"/>
      <c r="V25" s="633"/>
      <c r="W25" s="592"/>
      <c r="AD25" s="638"/>
    </row>
    <row r="26" spans="2:30" s="631" customFormat="1" ht="8.25" customHeight="1">
      <c r="B26" s="632"/>
      <c r="C26" s="633"/>
      <c r="D26" s="633"/>
      <c r="E26" s="646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592"/>
      <c r="AD26" s="638"/>
    </row>
    <row r="27" spans="1:30" ht="16.5" customHeight="1">
      <c r="A27" s="591"/>
      <c r="B27" s="606"/>
      <c r="C27" s="629" t="s">
        <v>94</v>
      </c>
      <c r="D27" s="648" t="s">
        <v>298</v>
      </c>
      <c r="I27" s="607"/>
      <c r="J27" s="631"/>
      <c r="O27" s="607"/>
      <c r="P27" s="607"/>
      <c r="Q27" s="607"/>
      <c r="R27" s="607"/>
      <c r="S27" s="607"/>
      <c r="T27" s="607"/>
      <c r="V27" s="607"/>
      <c r="X27" s="607"/>
      <c r="Y27" s="607"/>
      <c r="Z27" s="607"/>
      <c r="AA27" s="607"/>
      <c r="AB27" s="607"/>
      <c r="AC27" s="607"/>
      <c r="AD27" s="610"/>
    </row>
    <row r="28" spans="1:30" ht="10.5" customHeight="1" thickBot="1">
      <c r="A28" s="591"/>
      <c r="B28" s="606"/>
      <c r="C28" s="625"/>
      <c r="D28" s="648"/>
      <c r="I28" s="607"/>
      <c r="J28" s="631"/>
      <c r="O28" s="607"/>
      <c r="P28" s="607"/>
      <c r="Q28" s="607"/>
      <c r="R28" s="607"/>
      <c r="S28" s="607"/>
      <c r="T28" s="607"/>
      <c r="V28" s="607"/>
      <c r="X28" s="607"/>
      <c r="Y28" s="607"/>
      <c r="Z28" s="607"/>
      <c r="AA28" s="607"/>
      <c r="AB28" s="607"/>
      <c r="AC28" s="607"/>
      <c r="AD28" s="610"/>
    </row>
    <row r="29" spans="2:30" s="631" customFormat="1" ht="16.5" customHeight="1" thickBot="1" thickTop="1">
      <c r="B29" s="632"/>
      <c r="C29" s="636"/>
      <c r="D29" s="592"/>
      <c r="E29" s="592"/>
      <c r="F29" s="592"/>
      <c r="G29" s="592"/>
      <c r="H29" s="592"/>
      <c r="I29" s="592"/>
      <c r="J29" s="649" t="s">
        <v>95</v>
      </c>
      <c r="K29" s="650">
        <f>N22*AC80</f>
        <v>14811.337649472001</v>
      </c>
      <c r="L29" s="592"/>
      <c r="S29" s="592"/>
      <c r="T29" s="592"/>
      <c r="U29" s="592"/>
      <c r="W29" s="592"/>
      <c r="AD29" s="638"/>
    </row>
    <row r="30" spans="2:30" s="631" customFormat="1" ht="11.25" customHeight="1" thickTop="1">
      <c r="B30" s="632"/>
      <c r="C30" s="636"/>
      <c r="D30" s="633"/>
      <c r="E30" s="646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592"/>
      <c r="W30" s="592"/>
      <c r="AD30" s="638"/>
    </row>
    <row r="31" spans="1:30" ht="16.5" customHeight="1">
      <c r="A31" s="591"/>
      <c r="B31" s="606"/>
      <c r="C31" s="629" t="s">
        <v>96</v>
      </c>
      <c r="D31" s="648" t="s">
        <v>299</v>
      </c>
      <c r="E31" s="651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AD31" s="610"/>
    </row>
    <row r="32" spans="1:30" ht="21.75" customHeight="1" thickBot="1">
      <c r="A32" s="591"/>
      <c r="B32" s="606"/>
      <c r="C32" s="607"/>
      <c r="D32" s="607"/>
      <c r="E32" s="651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AD32" s="610"/>
    </row>
    <row r="33" spans="1:30" ht="35.25" customHeight="1" thickBot="1" thickTop="1">
      <c r="A33" s="591"/>
      <c r="B33" s="606"/>
      <c r="C33" s="976" t="s">
        <v>26</v>
      </c>
      <c r="D33" s="272" t="s">
        <v>5</v>
      </c>
      <c r="E33" s="977" t="s">
        <v>29</v>
      </c>
      <c r="F33" s="978" t="s">
        <v>30</v>
      </c>
      <c r="G33" s="979" t="s">
        <v>31</v>
      </c>
      <c r="H33" s="980" t="s">
        <v>32</v>
      </c>
      <c r="I33" s="981" t="s">
        <v>33</v>
      </c>
      <c r="J33" s="982" t="s">
        <v>34</v>
      </c>
      <c r="K33" s="983" t="s">
        <v>35</v>
      </c>
      <c r="L33" s="984" t="s">
        <v>36</v>
      </c>
      <c r="M33" s="985" t="s">
        <v>37</v>
      </c>
      <c r="N33" s="984" t="s">
        <v>97</v>
      </c>
      <c r="O33" s="984" t="s">
        <v>38</v>
      </c>
      <c r="P33" s="983" t="s">
        <v>39</v>
      </c>
      <c r="Q33" s="982" t="s">
        <v>40</v>
      </c>
      <c r="R33" s="986" t="s">
        <v>41</v>
      </c>
      <c r="S33" s="987" t="s">
        <v>42</v>
      </c>
      <c r="T33" s="988" t="s">
        <v>50</v>
      </c>
      <c r="U33" s="989"/>
      <c r="V33" s="990"/>
      <c r="W33" s="991" t="s">
        <v>98</v>
      </c>
      <c r="X33" s="992"/>
      <c r="Y33" s="993"/>
      <c r="Z33" s="994" t="s">
        <v>45</v>
      </c>
      <c r="AA33" s="995" t="s">
        <v>99</v>
      </c>
      <c r="AB33" s="996" t="s">
        <v>47</v>
      </c>
      <c r="AC33" s="997" t="s">
        <v>48</v>
      </c>
      <c r="AD33" s="610"/>
    </row>
    <row r="34" spans="1:30" ht="16.5" customHeight="1" thickTop="1">
      <c r="A34" s="591"/>
      <c r="B34" s="606"/>
      <c r="C34" s="999"/>
      <c r="D34" s="1000"/>
      <c r="E34" s="1001"/>
      <c r="F34" s="1002"/>
      <c r="G34" s="1003"/>
      <c r="H34" s="1004"/>
      <c r="I34" s="1005"/>
      <c r="J34" s="1006"/>
      <c r="K34" s="1007"/>
      <c r="L34" s="999"/>
      <c r="M34" s="999"/>
      <c r="N34" s="1008"/>
      <c r="O34" s="1008"/>
      <c r="P34" s="999"/>
      <c r="Q34" s="1009"/>
      <c r="R34" s="1010"/>
      <c r="S34" s="1011"/>
      <c r="T34" s="1012"/>
      <c r="U34" s="1013"/>
      <c r="V34" s="1014"/>
      <c r="W34" s="1015"/>
      <c r="X34" s="1016"/>
      <c r="Y34" s="1017"/>
      <c r="Z34" s="1018"/>
      <c r="AA34" s="1019"/>
      <c r="AB34" s="1020"/>
      <c r="AC34" s="1021"/>
      <c r="AD34" s="610"/>
    </row>
    <row r="35" spans="1:30" ht="16.5" customHeight="1">
      <c r="A35" s="591"/>
      <c r="B35" s="606"/>
      <c r="C35" s="561" t="s">
        <v>100</v>
      </c>
      <c r="D35" s="195"/>
      <c r="E35" s="196"/>
      <c r="F35" s="197"/>
      <c r="G35" s="1022"/>
      <c r="H35" s="1023">
        <f>IF(G35="A",200,IF(G35="B",60,20))</f>
        <v>20</v>
      </c>
      <c r="I35" s="1024">
        <f>IF(F35&gt;100,F35,100)*$F$22/100</f>
        <v>272.761</v>
      </c>
      <c r="J35" s="175"/>
      <c r="K35" s="176"/>
      <c r="L35" s="1025">
        <f>IF(D35="","",(K35-J35)*24)</f>
      </c>
      <c r="M35" s="1026">
        <f>IF(D35="","",ROUND((K35-J35)*24*60,0))</f>
      </c>
      <c r="N35" s="1027"/>
      <c r="O35" s="1028">
        <f>IF(D35="","","--")</f>
      </c>
      <c r="P35" s="1029">
        <f>IF(D35="","","NO")</f>
      </c>
      <c r="Q35" s="1029">
        <f>IF(D35="","",IF(OR(N35="P",N35="RP"),"--","NO"))</f>
      </c>
      <c r="R35" s="1030" t="str">
        <f>IF(N35="P",+I35*H35*ROUND(M35/60,2)/100,"--")</f>
        <v>--</v>
      </c>
      <c r="S35" s="1031" t="str">
        <f>IF(N35="RP",I35*H35*ROUND(M35/60,2)*0.01*O35/100,"--")</f>
        <v>--</v>
      </c>
      <c r="T35" s="1032" t="str">
        <f>IF(AND(N35="F",Q35="NO"),IF(P35="SI",1.2,1)*I35*H35,"--")</f>
        <v>--</v>
      </c>
      <c r="U35" s="1033" t="str">
        <f>IF(AND(M35&gt;10,N35="F"),IF(M35&lt;=300,ROUND(M35/60,2),5)*I35*H35*IF(P35="SI",1.2,1),"--")</f>
        <v>--</v>
      </c>
      <c r="V35" s="1034" t="str">
        <f>IF(AND(N35="F",M35&gt;300),IF(P35="SI",1.2,1)*(ROUND(M35/60,2)-5)*I35*H35*0.1,"--")</f>
        <v>--</v>
      </c>
      <c r="W35" s="1035" t="str">
        <f>IF(AND(N35="R",Q35="NO"),IF(P35="SI",1.2,1)*I35*H35*O35/100,"--")</f>
        <v>--</v>
      </c>
      <c r="X35" s="1036" t="str">
        <f>IF(AND(M35&gt;10,N35="R"),IF(M35&lt;=300,ROUND(M35/60,2),5)*I35*H35*O35/100*IF(P35="SI",1.2,1),"--")</f>
        <v>--</v>
      </c>
      <c r="Y35" s="1037" t="str">
        <f>IF(AND(N35="R",M35&gt;300),IF(P35="SI",1.2,1)*(ROUND(M35/60,2)-5)*I35*H35*O35/100*0.1,"--")</f>
        <v>--</v>
      </c>
      <c r="Z35" s="1038" t="str">
        <f>IF(N35="RF",IF(P35="SI",1.2,1)*ROUND(M35/60,2)*I35*H35*0.1,"--")</f>
        <v>--</v>
      </c>
      <c r="AA35" s="1039" t="str">
        <f>IF(N35="RR",IF(P35="SI",1.2,1)*ROUND(M35/60,2)*I35*H35*O35/100*0.1,"--")</f>
        <v>--</v>
      </c>
      <c r="AB35" s="1040">
        <f>IF(D35="","","SI")</f>
      </c>
      <c r="AC35" s="1041">
        <f>IF(D35="","",SUM(R35:AA35)*IF(AB35="SI",1,2))</f>
      </c>
      <c r="AD35" s="610"/>
    </row>
    <row r="36" spans="1:30" ht="16.5" customHeight="1">
      <c r="A36" s="591"/>
      <c r="B36" s="606"/>
      <c r="C36" s="561" t="s">
        <v>101</v>
      </c>
      <c r="D36" s="195"/>
      <c r="E36" s="196"/>
      <c r="F36" s="197"/>
      <c r="G36" s="1022"/>
      <c r="H36" s="1023">
        <f>IF(G36="A",200,IF(G36="B",60,20))</f>
        <v>20</v>
      </c>
      <c r="I36" s="1024">
        <f>IF(F36&gt;100,F36,100)*$F$22/100</f>
        <v>272.761</v>
      </c>
      <c r="J36" s="175"/>
      <c r="K36" s="176"/>
      <c r="L36" s="1025">
        <f>IF(D36="","",(K36-J36)*24)</f>
      </c>
      <c r="M36" s="1026">
        <f>IF(D36="","",ROUND((K36-J36)*24*60,0))</f>
      </c>
      <c r="N36" s="1027"/>
      <c r="O36" s="1028">
        <f>IF(D36="","","--")</f>
      </c>
      <c r="P36" s="1029">
        <f>IF(D36="","","NO")</f>
      </c>
      <c r="Q36" s="1029">
        <f>IF(D36="","",IF(OR(N36="P",N36="RP"),"--","NO"))</f>
      </c>
      <c r="R36" s="1030" t="str">
        <f>IF(N36="P",+I36*H36*ROUND(M36/60,2)/100,"--")</f>
        <v>--</v>
      </c>
      <c r="S36" s="1031" t="str">
        <f>IF(N36="RP",I36*H36*ROUND(M36/60,2)*0.01*O36/100,"--")</f>
        <v>--</v>
      </c>
      <c r="T36" s="1032" t="str">
        <f>IF(AND(N36="F",Q36="NO"),IF(P36="SI",1.2,1)*I36*H36,"--")</f>
        <v>--</v>
      </c>
      <c r="U36" s="1033" t="str">
        <f>IF(AND(M36&gt;10,N36="F"),IF(M36&lt;=300,ROUND(M36/60,2),5)*I36*H36*IF(P36="SI",1.2,1),"--")</f>
        <v>--</v>
      </c>
      <c r="V36" s="1034" t="str">
        <f>IF(AND(N36="F",M36&gt;300),IF(P36="SI",1.2,1)*(ROUND(M36/60,2)-5)*I36*H36*0.1,"--")</f>
        <v>--</v>
      </c>
      <c r="W36" s="1035" t="str">
        <f>IF(AND(N36="R",Q36="NO"),IF(P36="SI",1.2,1)*I36*H36*O36/100,"--")</f>
        <v>--</v>
      </c>
      <c r="X36" s="1036" t="str">
        <f>IF(AND(M36&gt;10,N36="R"),IF(M36&lt;=300,ROUND(M36/60,2),5)*I36*H36*O36/100*IF(P36="SI",1.2,1),"--")</f>
        <v>--</v>
      </c>
      <c r="Y36" s="1037" t="str">
        <f>IF(AND(N36="R",M36&gt;300),IF(P36="SI",1.2,1)*(ROUND(M36/60,2)-5)*I36*H36*O36/100*0.1,"--")</f>
        <v>--</v>
      </c>
      <c r="Z36" s="1038" t="str">
        <f>IF(N36="RF",IF(P36="SI",1.2,1)*ROUND(M36/60,2)*I36*H36*0.1,"--")</f>
        <v>--</v>
      </c>
      <c r="AA36" s="1039" t="str">
        <f>IF(N36="RR",IF(P36="SI",1.2,1)*ROUND(M36/60,2)*I36*H36*O36/100*0.1,"--")</f>
        <v>--</v>
      </c>
      <c r="AB36" s="1040">
        <f>IF(D36="","","SI")</f>
      </c>
      <c r="AC36" s="1041">
        <f>IF(D36="","",SUM(R36:AA36)*IF(AB36="SI",1,2))</f>
      </c>
      <c r="AD36" s="610"/>
    </row>
    <row r="37" spans="1:30" ht="16.5" customHeight="1">
      <c r="A37" s="591"/>
      <c r="B37" s="606"/>
      <c r="C37" s="563" t="s">
        <v>102</v>
      </c>
      <c r="D37" s="1042"/>
      <c r="E37" s="1043"/>
      <c r="F37" s="1044"/>
      <c r="G37" s="1022"/>
      <c r="H37" s="1023">
        <f>IF(G37="A",200,IF(G37="B",60,20))</f>
        <v>20</v>
      </c>
      <c r="I37" s="1024">
        <f>IF(F37&gt;100,F37,100)*$F$22/100</f>
        <v>272.761</v>
      </c>
      <c r="J37" s="198"/>
      <c r="K37" s="199"/>
      <c r="L37" s="1025">
        <f>IF(D37="","",(K37-J37)*24)</f>
      </c>
      <c r="M37" s="1026">
        <f>IF(D37="","",ROUND((K37-J37)*24*60,0))</f>
      </c>
      <c r="N37" s="1027"/>
      <c r="O37" s="1028">
        <f>IF(D37="","","--")</f>
      </c>
      <c r="P37" s="1029">
        <f>IF(D37="","","NO")</f>
      </c>
      <c r="Q37" s="1029">
        <f>IF(D37="","",IF(OR(N37="P",N37="RP"),"--","NO"))</f>
      </c>
      <c r="R37" s="1030" t="str">
        <f>IF(N37="P",+I37*H37*ROUND(M37/60,2)/100,"--")</f>
        <v>--</v>
      </c>
      <c r="S37" s="1031" t="str">
        <f>IF(N37="RP",I37*H37*ROUND(M37/60,2)*0.01*O37/100,"--")</f>
        <v>--</v>
      </c>
      <c r="T37" s="1032" t="str">
        <f>IF(AND(N37="F",Q37="NO"),IF(P37="SI",1.2,1)*I37*H37,"--")</f>
        <v>--</v>
      </c>
      <c r="U37" s="1033" t="str">
        <f>IF(AND(M37&gt;10,N37="F"),IF(M37&lt;=300,ROUND(M37/60,2),5)*I37*H37*IF(P37="SI",1.2,1),"--")</f>
        <v>--</v>
      </c>
      <c r="V37" s="1034" t="str">
        <f>IF(AND(N37="F",M37&gt;300),IF(P37="SI",1.2,1)*(ROUND(M37/60,2)-5)*I37*H37*0.1,"--")</f>
        <v>--</v>
      </c>
      <c r="W37" s="1035" t="str">
        <f>IF(AND(N37="R",Q37="NO"),IF(P37="SI",1.2,1)*I37*H37*O37/100,"--")</f>
        <v>--</v>
      </c>
      <c r="X37" s="1036" t="str">
        <f>IF(AND(M37&gt;10,N37="R"),IF(M37&lt;=300,ROUND(M37/60,2),5)*I37*H37*O37/100*IF(P37="SI",1.2,1),"--")</f>
        <v>--</v>
      </c>
      <c r="Y37" s="1037" t="str">
        <f>IF(AND(N37="R",M37&gt;300),IF(P37="SI",1.2,1)*(ROUND(M37/60,2)-5)*I37*H37*O37/100*0.1,"--")</f>
        <v>--</v>
      </c>
      <c r="Z37" s="1038" t="str">
        <f>IF(N37="RF",IF(P37="SI",1.2,1)*ROUND(M37/60,2)*I37*H37*0.1,"--")</f>
        <v>--</v>
      </c>
      <c r="AA37" s="1039" t="str">
        <f>IF(N37="RR",IF(P37="SI",1.2,1)*ROUND(M37/60,2)*I37*H37*O37/100*0.1,"--")</f>
        <v>--</v>
      </c>
      <c r="AB37" s="1040">
        <f>IF(D37="","","SI")</f>
      </c>
      <c r="AC37" s="1041">
        <f>IF(D37="","",SUM(R37:AA37)*IF(AB37="SI",1,2))</f>
      </c>
      <c r="AD37" s="610"/>
    </row>
    <row r="38" spans="1:30" ht="16.5" customHeight="1">
      <c r="A38" s="591"/>
      <c r="B38" s="606"/>
      <c r="C38" s="563" t="s">
        <v>103</v>
      </c>
      <c r="D38" s="1042"/>
      <c r="E38" s="1043"/>
      <c r="F38" s="1044"/>
      <c r="G38" s="1022"/>
      <c r="H38" s="1023">
        <f>IF(G38="A",200,IF(G38="B",60,20))</f>
        <v>20</v>
      </c>
      <c r="I38" s="1024">
        <f>IF(F38&gt;100,F38,100)*$F$22/100</f>
        <v>272.761</v>
      </c>
      <c r="J38" s="198"/>
      <c r="K38" s="199"/>
      <c r="L38" s="1025">
        <f>IF(D38="","",(K38-J38)*24)</f>
      </c>
      <c r="M38" s="1026">
        <f>IF(D38="","",ROUND((K38-J38)*24*60,0))</f>
      </c>
      <c r="N38" s="1027"/>
      <c r="O38" s="1028">
        <f>IF(D38="","","--")</f>
      </c>
      <c r="P38" s="1029">
        <f>IF(D38="","","NO")</f>
      </c>
      <c r="Q38" s="1029">
        <f>IF(D38="","",IF(OR(N38="P",N38="RP"),"--","NO"))</f>
      </c>
      <c r="R38" s="1030" t="str">
        <f>IF(N38="P",+I38*H38*ROUND(M38/60,2)/100,"--")</f>
        <v>--</v>
      </c>
      <c r="S38" s="1031" t="str">
        <f>IF(N38="RP",I38*H38*ROUND(M38/60,2)*0.01*O38/100,"--")</f>
        <v>--</v>
      </c>
      <c r="T38" s="1032" t="str">
        <f>IF(AND(N38="F",Q38="NO"),IF(P38="SI",1.2,1)*I38*H38,"--")</f>
        <v>--</v>
      </c>
      <c r="U38" s="1033" t="str">
        <f>IF(AND(M38&gt;10,N38="F"),IF(M38&lt;=300,ROUND(M38/60,2),5)*I38*H38*IF(P38="SI",1.2,1),"--")</f>
        <v>--</v>
      </c>
      <c r="V38" s="1034" t="str">
        <f>IF(AND(N38="F",M38&gt;300),IF(P38="SI",1.2,1)*(ROUND(M38/60,2)-5)*I38*H38*0.1,"--")</f>
        <v>--</v>
      </c>
      <c r="W38" s="1035" t="str">
        <f>IF(AND(N38="R",Q38="NO"),IF(P38="SI",1.2,1)*I38*H38*O38/100,"--")</f>
        <v>--</v>
      </c>
      <c r="X38" s="1036" t="str">
        <f>IF(AND(M38&gt;10,N38="R"),IF(M38&lt;=300,ROUND(M38/60,2),5)*I38*H38*O38/100*IF(P38="SI",1.2,1),"--")</f>
        <v>--</v>
      </c>
      <c r="Y38" s="1037" t="str">
        <f>IF(AND(N38="R",M38&gt;300),IF(P38="SI",1.2,1)*(ROUND(M38/60,2)-5)*I38*H38*O38/100*0.1,"--")</f>
        <v>--</v>
      </c>
      <c r="Z38" s="1038" t="str">
        <f>IF(N38="RF",IF(P38="SI",1.2,1)*ROUND(M38/60,2)*I38*H38*0.1,"--")</f>
        <v>--</v>
      </c>
      <c r="AA38" s="1039" t="str">
        <f>IF(N38="RR",IF(P38="SI",1.2,1)*ROUND(M38/60,2)*I38*H38*O38/100*0.1,"--")</f>
        <v>--</v>
      </c>
      <c r="AB38" s="1040">
        <f>IF(D38="","","SI")</f>
      </c>
      <c r="AC38" s="1041">
        <f>IF(D38="","",SUM(R38:AA38)*IF(AB38="SI",1,2))</f>
      </c>
      <c r="AD38" s="610"/>
    </row>
    <row r="39" spans="1:30" ht="16.5" customHeight="1" thickBot="1">
      <c r="A39" s="591"/>
      <c r="B39" s="606"/>
      <c r="C39" s="1045"/>
      <c r="D39" s="1046"/>
      <c r="E39" s="1047"/>
      <c r="F39" s="1048"/>
      <c r="G39" s="1049"/>
      <c r="H39" s="1050"/>
      <c r="I39" s="1051"/>
      <c r="J39" s="1052"/>
      <c r="K39" s="1052"/>
      <c r="L39" s="1053"/>
      <c r="M39" s="1053"/>
      <c r="N39" s="1053"/>
      <c r="O39" s="1054"/>
      <c r="P39" s="1053"/>
      <c r="Q39" s="1053"/>
      <c r="R39" s="1055"/>
      <c r="S39" s="1056"/>
      <c r="T39" s="1057"/>
      <c r="U39" s="1058"/>
      <c r="V39" s="1059"/>
      <c r="W39" s="1060"/>
      <c r="X39" s="1061"/>
      <c r="Y39" s="1062"/>
      <c r="Z39" s="1063"/>
      <c r="AA39" s="1064"/>
      <c r="AB39" s="1065"/>
      <c r="AC39" s="1066"/>
      <c r="AD39" s="610"/>
    </row>
    <row r="40" spans="1:30" ht="14.25" customHeight="1" thickBot="1" thickTop="1">
      <c r="A40" s="591"/>
      <c r="B40" s="606"/>
      <c r="C40" s="957"/>
      <c r="D40" s="957"/>
      <c r="E40" s="1068"/>
      <c r="F40" s="971"/>
      <c r="G40" s="1069"/>
      <c r="H40" s="1069"/>
      <c r="I40" s="1070"/>
      <c r="J40" s="1070"/>
      <c r="K40" s="1070"/>
      <c r="L40" s="1070"/>
      <c r="M40" s="1070"/>
      <c r="N40" s="1070"/>
      <c r="O40" s="1071"/>
      <c r="P40" s="1070"/>
      <c r="Q40" s="1070"/>
      <c r="R40" s="1072">
        <f aca="true" t="shared" si="0" ref="R40:AA40">SUM(R34:R39)</f>
        <v>0</v>
      </c>
      <c r="S40" s="1073">
        <f t="shared" si="0"/>
        <v>0</v>
      </c>
      <c r="T40" s="1074">
        <f t="shared" si="0"/>
        <v>0</v>
      </c>
      <c r="U40" s="1074">
        <f t="shared" si="0"/>
        <v>0</v>
      </c>
      <c r="V40" s="1074">
        <f t="shared" si="0"/>
        <v>0</v>
      </c>
      <c r="W40" s="1075">
        <f t="shared" si="0"/>
        <v>0</v>
      </c>
      <c r="X40" s="1075">
        <f t="shared" si="0"/>
        <v>0</v>
      </c>
      <c r="Y40" s="1075">
        <f t="shared" si="0"/>
        <v>0</v>
      </c>
      <c r="Z40" s="1076">
        <f t="shared" si="0"/>
        <v>0</v>
      </c>
      <c r="AA40" s="1077">
        <f t="shared" si="0"/>
        <v>0</v>
      </c>
      <c r="AB40" s="1078"/>
      <c r="AC40" s="1079">
        <f>SUM(AC34:AC39)</f>
        <v>0</v>
      </c>
      <c r="AD40" s="610"/>
    </row>
    <row r="41" spans="1:30" ht="18" customHeight="1" thickBot="1" thickTop="1">
      <c r="A41" s="631"/>
      <c r="B41" s="606"/>
      <c r="C41" s="636"/>
      <c r="D41" s="636"/>
      <c r="E41" s="652"/>
      <c r="F41" s="646"/>
      <c r="G41" s="653"/>
      <c r="H41" s="653"/>
      <c r="I41" s="654"/>
      <c r="J41" s="654"/>
      <c r="K41" s="654"/>
      <c r="L41" s="654"/>
      <c r="M41" s="654"/>
      <c r="N41" s="654"/>
      <c r="O41" s="655"/>
      <c r="P41" s="654"/>
      <c r="Q41" s="654"/>
      <c r="R41" s="656"/>
      <c r="S41" s="657"/>
      <c r="T41" s="658"/>
      <c r="U41" s="658"/>
      <c r="V41" s="658"/>
      <c r="W41" s="656"/>
      <c r="X41" s="656"/>
      <c r="Y41" s="656"/>
      <c r="Z41" s="656"/>
      <c r="AA41" s="656"/>
      <c r="AB41" s="659"/>
      <c r="AC41" s="660"/>
      <c r="AD41" s="661"/>
    </row>
    <row r="42" spans="1:33" s="591" customFormat="1" ht="33.75" customHeight="1" thickBot="1" thickTop="1">
      <c r="A42" s="590"/>
      <c r="B42" s="662"/>
      <c r="C42" s="663" t="s">
        <v>26</v>
      </c>
      <c r="D42" s="664" t="s">
        <v>56</v>
      </c>
      <c r="E42" s="665" t="s">
        <v>57</v>
      </c>
      <c r="F42" s="666" t="s">
        <v>58</v>
      </c>
      <c r="G42" s="667" t="s">
        <v>29</v>
      </c>
      <c r="H42" s="668" t="s">
        <v>33</v>
      </c>
      <c r="I42" s="669"/>
      <c r="J42" s="665" t="s">
        <v>34</v>
      </c>
      <c r="K42" s="665" t="s">
        <v>35</v>
      </c>
      <c r="L42" s="664" t="s">
        <v>59</v>
      </c>
      <c r="M42" s="664" t="s">
        <v>37</v>
      </c>
      <c r="N42" s="670" t="s">
        <v>105</v>
      </c>
      <c r="O42" s="665" t="s">
        <v>40</v>
      </c>
      <c r="P42" s="671" t="s">
        <v>60</v>
      </c>
      <c r="Q42" s="672"/>
      <c r="R42" s="668" t="s">
        <v>106</v>
      </c>
      <c r="S42" s="673" t="s">
        <v>41</v>
      </c>
      <c r="T42" s="674" t="s">
        <v>107</v>
      </c>
      <c r="U42" s="675"/>
      <c r="V42" s="676" t="s">
        <v>45</v>
      </c>
      <c r="W42" s="677"/>
      <c r="X42" s="678"/>
      <c r="Y42" s="678"/>
      <c r="Z42" s="678"/>
      <c r="AA42" s="679"/>
      <c r="AB42" s="680" t="s">
        <v>47</v>
      </c>
      <c r="AC42" s="667" t="s">
        <v>48</v>
      </c>
      <c r="AD42" s="610"/>
      <c r="AF42" s="592"/>
      <c r="AG42" s="592"/>
    </row>
    <row r="43" spans="1:30" ht="16.5" customHeight="1" thickTop="1">
      <c r="A43" s="591"/>
      <c r="B43" s="606"/>
      <c r="C43" s="681"/>
      <c r="D43" s="682"/>
      <c r="E43" s="682"/>
      <c r="F43" s="682"/>
      <c r="G43" s="683"/>
      <c r="H43" s="684"/>
      <c r="I43" s="685"/>
      <c r="J43" s="682"/>
      <c r="K43" s="682"/>
      <c r="L43" s="682"/>
      <c r="M43" s="682"/>
      <c r="N43" s="682"/>
      <c r="O43" s="686"/>
      <c r="P43" s="687"/>
      <c r="Q43" s="688"/>
      <c r="R43" s="689"/>
      <c r="S43" s="690"/>
      <c r="T43" s="691"/>
      <c r="U43" s="692"/>
      <c r="V43" s="693"/>
      <c r="W43" s="694"/>
      <c r="X43" s="695"/>
      <c r="Y43" s="695"/>
      <c r="Z43" s="695"/>
      <c r="AA43" s="696"/>
      <c r="AB43" s="686"/>
      <c r="AC43" s="697"/>
      <c r="AD43" s="610"/>
    </row>
    <row r="44" spans="1:30" ht="16.5" customHeight="1">
      <c r="A44" s="591"/>
      <c r="B44" s="606"/>
      <c r="C44" s="561" t="s">
        <v>100</v>
      </c>
      <c r="D44" s="698"/>
      <c r="E44" s="698"/>
      <c r="F44" s="699"/>
      <c r="G44" s="700"/>
      <c r="H44" s="701">
        <f>F44*$F$23</f>
        <v>0</v>
      </c>
      <c r="I44" s="702"/>
      <c r="J44" s="363"/>
      <c r="K44" s="363"/>
      <c r="L44" s="703">
        <f>IF(D44="","",(K44-J44)*24)</f>
      </c>
      <c r="M44" s="704">
        <f>IF(D44="","",(K44-J44)*24*60)</f>
      </c>
      <c r="N44" s="705"/>
      <c r="O44" s="706">
        <f>IF(D44="","",IF(OR(N44="P",N44="RP"),"--","NO"))</f>
      </c>
      <c r="P44" s="707"/>
      <c r="Q44" s="708"/>
      <c r="R44" s="709">
        <f>200*IF(OR(N44="P",N44="RP"),0.1,1)*IF(P44="SI",1,0.1)</f>
        <v>20</v>
      </c>
      <c r="S44" s="710" t="str">
        <f>IF(N44="P",H44*R44*ROUND(M44/60,2),"--")</f>
        <v>--</v>
      </c>
      <c r="T44" s="711" t="str">
        <f>IF(AND(N44="F",O44="NO"),H44*R44,"--")</f>
        <v>--</v>
      </c>
      <c r="U44" s="712" t="str">
        <f>IF(N44="F",H44*R44*ROUND(M44/60,2),"--")</f>
        <v>--</v>
      </c>
      <c r="V44" s="713" t="str">
        <f>IF(N44="RF",H44*R44*ROUND(M44/60,2),"--")</f>
        <v>--</v>
      </c>
      <c r="W44" s="714"/>
      <c r="X44" s="715"/>
      <c r="Y44" s="715"/>
      <c r="Z44" s="715"/>
      <c r="AA44" s="716"/>
      <c r="AB44" s="717">
        <f>IF(D44="","","SI")</f>
      </c>
      <c r="AC44" s="718">
        <f>IF(D44="","",SUM(S44:V44)*IF(AB44="SI",1,2))</f>
      </c>
      <c r="AD44" s="610"/>
    </row>
    <row r="45" spans="1:30" ht="16.5" customHeight="1">
      <c r="A45" s="591"/>
      <c r="B45" s="606"/>
      <c r="C45" s="561" t="s">
        <v>101</v>
      </c>
      <c r="D45" s="698"/>
      <c r="E45" s="698"/>
      <c r="F45" s="699"/>
      <c r="G45" s="700"/>
      <c r="H45" s="701">
        <f>F45*$F$23</f>
        <v>0</v>
      </c>
      <c r="I45" s="702"/>
      <c r="J45" s="363"/>
      <c r="K45" s="363"/>
      <c r="L45" s="703">
        <f>IF(D45="","",(K45-J45)*24)</f>
      </c>
      <c r="M45" s="704">
        <f>IF(D45="","",(K45-J45)*24*60)</f>
      </c>
      <c r="N45" s="705"/>
      <c r="O45" s="706">
        <f>IF(D45="","",IF(OR(N45="P",N45="RP"),"--","NO"))</f>
      </c>
      <c r="P45" s="707"/>
      <c r="Q45" s="708"/>
      <c r="R45" s="709">
        <f>200*IF(OR(N45="P",N45="RP"),0.1,1)*IF(P45="SI",1,0.1)</f>
        <v>20</v>
      </c>
      <c r="S45" s="710" t="str">
        <f>IF(N45="P",H45*R45*ROUND(M45/60,2),"--")</f>
        <v>--</v>
      </c>
      <c r="T45" s="711" t="str">
        <f>IF(AND(N45="F",O45="NO"),H45*R45,"--")</f>
        <v>--</v>
      </c>
      <c r="U45" s="712" t="str">
        <f>IF(N45="F",H45*R45*ROUND(M45/60,2),"--")</f>
        <v>--</v>
      </c>
      <c r="V45" s="713" t="str">
        <f>IF(N45="RF",H45*R45*ROUND(M45/60,2),"--")</f>
        <v>--</v>
      </c>
      <c r="W45" s="714"/>
      <c r="X45" s="715"/>
      <c r="Y45" s="715"/>
      <c r="Z45" s="715"/>
      <c r="AA45" s="716"/>
      <c r="AB45" s="717">
        <f>IF(D45="","","SI")</f>
      </c>
      <c r="AC45" s="718">
        <f>IF(D45="","",SUM(S45:V45)*IF(AB45="SI",1,2))</f>
      </c>
      <c r="AD45" s="610"/>
    </row>
    <row r="46" spans="1:30" ht="16.5" customHeight="1">
      <c r="A46" s="591"/>
      <c r="B46" s="606"/>
      <c r="C46" s="563" t="s">
        <v>102</v>
      </c>
      <c r="D46" s="698"/>
      <c r="E46" s="698"/>
      <c r="F46" s="699"/>
      <c r="G46" s="700"/>
      <c r="H46" s="701">
        <f>F46*$F$23</f>
        <v>0</v>
      </c>
      <c r="I46" s="702"/>
      <c r="J46" s="363"/>
      <c r="K46" s="363"/>
      <c r="L46" s="703">
        <f>IF(D46="","",(K46-J46)*24)</f>
      </c>
      <c r="M46" s="704">
        <f>IF(D46="","",(K46-J46)*24*60)</f>
      </c>
      <c r="N46" s="705"/>
      <c r="O46" s="706">
        <f>IF(D46="","",IF(OR(N46="P",N46="RP"),"--","NO"))</f>
      </c>
      <c r="P46" s="707"/>
      <c r="Q46" s="708"/>
      <c r="R46" s="709">
        <f>200*IF(OR(N46="P",N46="RP"),0.1,1)*IF(P46="SI",1,0.1)</f>
        <v>20</v>
      </c>
      <c r="S46" s="710" t="str">
        <f>IF(N46="P",H46*R46*ROUND(M46/60,2),"--")</f>
        <v>--</v>
      </c>
      <c r="T46" s="711" t="str">
        <f>IF(AND(N46="F",O46="NO"),H46*R46,"--")</f>
        <v>--</v>
      </c>
      <c r="U46" s="712" t="str">
        <f>IF(N46="F",H46*R46*ROUND(M46/60,2),"--")</f>
        <v>--</v>
      </c>
      <c r="V46" s="713" t="str">
        <f>IF(N46="RF",H46*R46*ROUND(M46/60,2),"--")</f>
        <v>--</v>
      </c>
      <c r="W46" s="714"/>
      <c r="X46" s="715"/>
      <c r="Y46" s="715"/>
      <c r="Z46" s="715"/>
      <c r="AA46" s="716"/>
      <c r="AB46" s="717">
        <f>IF(D46="","","SI")</f>
      </c>
      <c r="AC46" s="718">
        <f>IF(D46="","",SUM(S46:V46)*IF(AB46="SI",1,2))</f>
      </c>
      <c r="AD46" s="610"/>
    </row>
    <row r="47" spans="1:30" ht="16.5" customHeight="1" thickBot="1">
      <c r="A47" s="631"/>
      <c r="B47" s="606"/>
      <c r="C47" s="719"/>
      <c r="D47" s="720"/>
      <c r="E47" s="721"/>
      <c r="F47" s="722"/>
      <c r="G47" s="723"/>
      <c r="H47" s="724"/>
      <c r="I47" s="725"/>
      <c r="J47" s="726"/>
      <c r="K47" s="727"/>
      <c r="L47" s="728"/>
      <c r="M47" s="729"/>
      <c r="N47" s="730"/>
      <c r="O47" s="731"/>
      <c r="P47" s="732"/>
      <c r="Q47" s="733"/>
      <c r="R47" s="734"/>
      <c r="S47" s="735"/>
      <c r="T47" s="736"/>
      <c r="U47" s="737"/>
      <c r="V47" s="738"/>
      <c r="W47" s="739"/>
      <c r="X47" s="740"/>
      <c r="Y47" s="740"/>
      <c r="Z47" s="740"/>
      <c r="AA47" s="741"/>
      <c r="AB47" s="742"/>
      <c r="AC47" s="743"/>
      <c r="AD47" s="661"/>
    </row>
    <row r="48" spans="1:30" ht="16.5" customHeight="1" thickBot="1" thickTop="1">
      <c r="A48" s="631"/>
      <c r="B48" s="606"/>
      <c r="C48" s="744"/>
      <c r="D48" s="651"/>
      <c r="E48" s="651"/>
      <c r="F48" s="745"/>
      <c r="G48" s="746"/>
      <c r="H48" s="655"/>
      <c r="I48" s="628"/>
      <c r="J48" s="747"/>
      <c r="K48" s="748"/>
      <c r="L48" s="749"/>
      <c r="M48" s="750"/>
      <c r="N48" s="751"/>
      <c r="O48" s="752"/>
      <c r="P48" s="753"/>
      <c r="Q48" s="753"/>
      <c r="R48" s="754"/>
      <c r="S48" s="755"/>
      <c r="T48" s="756"/>
      <c r="U48" s="756"/>
      <c r="V48" s="757"/>
      <c r="W48" s="758"/>
      <c r="X48" s="758"/>
      <c r="Y48" s="758"/>
      <c r="Z48" s="758"/>
      <c r="AA48" s="758"/>
      <c r="AB48" s="759"/>
      <c r="AC48" s="760">
        <f>SUM(AC43:AC47)</f>
        <v>0</v>
      </c>
      <c r="AD48" s="661"/>
    </row>
    <row r="49" spans="1:30" ht="16.5" customHeight="1" thickBot="1" thickTop="1">
      <c r="A49" s="631"/>
      <c r="B49" s="606"/>
      <c r="C49" s="744"/>
      <c r="D49" s="651"/>
      <c r="E49" s="651"/>
      <c r="F49" s="745"/>
      <c r="G49" s="746"/>
      <c r="H49" s="655"/>
      <c r="I49" s="628"/>
      <c r="J49" s="761"/>
      <c r="K49" s="762"/>
      <c r="L49" s="749"/>
      <c r="M49" s="750"/>
      <c r="N49" s="751"/>
      <c r="O49" s="752"/>
      <c r="P49" s="753"/>
      <c r="Q49" s="753"/>
      <c r="R49" s="754"/>
      <c r="S49" s="755"/>
      <c r="T49" s="756"/>
      <c r="U49" s="756"/>
      <c r="V49" s="757"/>
      <c r="W49" s="758"/>
      <c r="X49" s="758"/>
      <c r="Y49" s="758"/>
      <c r="Z49" s="758"/>
      <c r="AA49" s="758"/>
      <c r="AB49" s="759"/>
      <c r="AC49" s="763"/>
      <c r="AD49" s="661"/>
    </row>
    <row r="50" spans="1:30" ht="33.75" customHeight="1" thickBot="1" thickTop="1">
      <c r="A50" s="631"/>
      <c r="B50" s="606"/>
      <c r="C50" s="663" t="s">
        <v>26</v>
      </c>
      <c r="D50" s="664" t="s">
        <v>56</v>
      </c>
      <c r="E50" s="665" t="s">
        <v>57</v>
      </c>
      <c r="F50" s="1576" t="s">
        <v>29</v>
      </c>
      <c r="G50" s="1577"/>
      <c r="H50" s="668" t="s">
        <v>33</v>
      </c>
      <c r="I50" s="669"/>
      <c r="J50" s="665" t="s">
        <v>34</v>
      </c>
      <c r="K50" s="665" t="s">
        <v>35</v>
      </c>
      <c r="L50" s="664" t="s">
        <v>59</v>
      </c>
      <c r="M50" s="664" t="s">
        <v>37</v>
      </c>
      <c r="N50" s="670" t="s">
        <v>105</v>
      </c>
      <c r="O50" s="1564" t="s">
        <v>40</v>
      </c>
      <c r="P50" s="1565"/>
      <c r="Q50" s="1566"/>
      <c r="R50" s="764" t="s">
        <v>32</v>
      </c>
      <c r="S50" s="765" t="s">
        <v>69</v>
      </c>
      <c r="T50" s="766" t="s">
        <v>70</v>
      </c>
      <c r="U50" s="767"/>
      <c r="V50" s="768" t="s">
        <v>45</v>
      </c>
      <c r="W50" s="678"/>
      <c r="X50" s="678"/>
      <c r="Y50" s="678"/>
      <c r="Z50" s="678"/>
      <c r="AA50" s="679"/>
      <c r="AB50" s="680" t="s">
        <v>47</v>
      </c>
      <c r="AC50" s="667" t="s">
        <v>48</v>
      </c>
      <c r="AD50" s="661"/>
    </row>
    <row r="51" spans="1:30" ht="16.5" customHeight="1" thickTop="1">
      <c r="A51" s="631"/>
      <c r="B51" s="606"/>
      <c r="C51" s="681"/>
      <c r="D51" s="682"/>
      <c r="E51" s="682"/>
      <c r="F51" s="1567"/>
      <c r="G51" s="1569"/>
      <c r="H51" s="684"/>
      <c r="I51" s="685"/>
      <c r="J51" s="682"/>
      <c r="K51" s="682"/>
      <c r="L51" s="682"/>
      <c r="M51" s="682"/>
      <c r="N51" s="682"/>
      <c r="O51" s="1567"/>
      <c r="P51" s="1568"/>
      <c r="Q51" s="1569"/>
      <c r="R51" s="769"/>
      <c r="S51" s="770"/>
      <c r="T51" s="771"/>
      <c r="U51" s="772"/>
      <c r="V51" s="773"/>
      <c r="W51" s="695"/>
      <c r="X51" s="695"/>
      <c r="Y51" s="695"/>
      <c r="Z51" s="695"/>
      <c r="AA51" s="696"/>
      <c r="AB51" s="686"/>
      <c r="AC51" s="697"/>
      <c r="AD51" s="661"/>
    </row>
    <row r="52" spans="1:30" ht="16.5" customHeight="1">
      <c r="A52" s="631"/>
      <c r="B52" s="606"/>
      <c r="C52" s="563" t="s">
        <v>100</v>
      </c>
      <c r="D52" s="698" t="s">
        <v>450</v>
      </c>
      <c r="E52" s="698" t="s">
        <v>451</v>
      </c>
      <c r="F52" s="1559">
        <v>220</v>
      </c>
      <c r="G52" s="1560"/>
      <c r="H52" s="701">
        <f>IF(F52=220,$F$24,0)</f>
        <v>133.866</v>
      </c>
      <c r="I52" s="702"/>
      <c r="J52" s="774">
        <v>41382.40138888889</v>
      </c>
      <c r="K52" s="775">
        <v>41382.7125</v>
      </c>
      <c r="L52" s="703">
        <f>IF(D52="","",(K52-J52)*24)</f>
        <v>7.466666666732635</v>
      </c>
      <c r="M52" s="704">
        <f>IF(D52="","",(K52-J52)*24*60)</f>
        <v>448.0000000039581</v>
      </c>
      <c r="N52" s="705" t="s">
        <v>309</v>
      </c>
      <c r="O52" s="1570" t="str">
        <f>IF(D52="","",IF(N52="P","--","NO"))</f>
        <v>--</v>
      </c>
      <c r="P52" s="1571"/>
      <c r="Q52" s="1572"/>
      <c r="R52" s="769">
        <f>IF(F52=500,200,IF(F52=132,40,100))</f>
        <v>100</v>
      </c>
      <c r="S52" s="776">
        <f>IF(N52="P",H52*R52*ROUND(M52/60,2)*0.1,"--")</f>
        <v>9999.790200000003</v>
      </c>
      <c r="T52" s="777" t="str">
        <f>IF(AND(N52="F",O52="NO"),H52*R52,"--")</f>
        <v>--</v>
      </c>
      <c r="U52" s="778" t="str">
        <f>IF(N52="F",H52*R52*ROUND(M52/60,2),"--")</f>
        <v>--</v>
      </c>
      <c r="V52" s="713" t="str">
        <f>IF(N52="RF",H52*R52*ROUND(M52/60,2),"--")</f>
        <v>--</v>
      </c>
      <c r="W52" s="715"/>
      <c r="X52" s="715"/>
      <c r="Y52" s="715"/>
      <c r="Z52" s="715"/>
      <c r="AA52" s="716"/>
      <c r="AB52" s="717" t="str">
        <f>IF(D52="","","SI")</f>
        <v>SI</v>
      </c>
      <c r="AC52" s="779">
        <f>IF(D52="","",SUM(S52:V52)*IF(AB52="SI",1,2))</f>
        <v>9999.790200000003</v>
      </c>
      <c r="AD52" s="661"/>
    </row>
    <row r="53" spans="1:30" ht="16.5" customHeight="1">
      <c r="A53" s="631"/>
      <c r="B53" s="606"/>
      <c r="C53" s="561" t="s">
        <v>101</v>
      </c>
      <c r="D53" s="780"/>
      <c r="E53" s="781"/>
      <c r="F53" s="1559"/>
      <c r="G53" s="1560"/>
      <c r="H53" s="701">
        <f>IF(F53=220,$F$24,0)</f>
        <v>0</v>
      </c>
      <c r="I53" s="702"/>
      <c r="J53" s="782"/>
      <c r="K53" s="782"/>
      <c r="L53" s="703">
        <f>IF(D53="","",(K53-J53)*24)</f>
      </c>
      <c r="M53" s="704">
        <f>IF(D53="","",(K53-J53)*24*60)</f>
      </c>
      <c r="N53" s="705"/>
      <c r="O53" s="1570">
        <f>IF(D53="","",IF(N53="P","--","NO"))</f>
      </c>
      <c r="P53" s="1571"/>
      <c r="Q53" s="1572"/>
      <c r="R53" s="769">
        <f>IF(F53=500,200,IF(F53=132,40,0))</f>
        <v>0</v>
      </c>
      <c r="S53" s="776" t="str">
        <f>IF(N53="P",H53*R53*ROUND(M53/60,2)*0.1,"--")</f>
        <v>--</v>
      </c>
      <c r="T53" s="777" t="str">
        <f>IF(AND(N53="F",O53="NO"),H53*R53,"--")</f>
        <v>--</v>
      </c>
      <c r="U53" s="778" t="str">
        <f>IF(N53="F",H53*R53*ROUND(M53/60,2),"--")</f>
        <v>--</v>
      </c>
      <c r="V53" s="713" t="str">
        <f>IF(N53="RF",H53*R53*ROUND(M53/60,2),"--")</f>
        <v>--</v>
      </c>
      <c r="W53" s="715"/>
      <c r="X53" s="715"/>
      <c r="Y53" s="715"/>
      <c r="Z53" s="715"/>
      <c r="AA53" s="716"/>
      <c r="AB53" s="717">
        <f>IF(D53="","","SI")</f>
      </c>
      <c r="AC53" s="779">
        <f>IF(D53="","",SUM(S53:V53)*IF(AB53="SI",1,2))</f>
      </c>
      <c r="AD53" s="661"/>
    </row>
    <row r="54" spans="1:30" ht="16.5" customHeight="1">
      <c r="A54" s="631"/>
      <c r="B54" s="606"/>
      <c r="C54" s="561" t="s">
        <v>102</v>
      </c>
      <c r="D54" s="780"/>
      <c r="E54" s="781"/>
      <c r="F54" s="1559"/>
      <c r="G54" s="1560"/>
      <c r="H54" s="701">
        <f>IF(F54=220,$F$24,0)</f>
        <v>0</v>
      </c>
      <c r="I54" s="702"/>
      <c r="J54" s="782"/>
      <c r="K54" s="782"/>
      <c r="L54" s="703">
        <f>IF(D54="","",(K54-J54)*24)</f>
      </c>
      <c r="M54" s="704">
        <f>IF(D54="","",(K54-J54)*24*60)</f>
      </c>
      <c r="N54" s="705"/>
      <c r="O54" s="1570">
        <f>IF(D54="","",IF(N54="P","--","NO"))</f>
      </c>
      <c r="P54" s="1571"/>
      <c r="Q54" s="1572"/>
      <c r="R54" s="769">
        <f>IF(F54=500,200,IF(F54=132,40,0))</f>
        <v>0</v>
      </c>
      <c r="S54" s="776" t="str">
        <f>IF(N54="P",H54*R54*ROUND(M54/60,2)*0.1,"--")</f>
        <v>--</v>
      </c>
      <c r="T54" s="777" t="str">
        <f>IF(AND(N54="F",O54="NO"),H54*R54,"--")</f>
        <v>--</v>
      </c>
      <c r="U54" s="778" t="str">
        <f>IF(N54="F",H54*R54*ROUND(M54/60,2),"--")</f>
        <v>--</v>
      </c>
      <c r="V54" s="713" t="str">
        <f>IF(N54="RF",H54*R54*ROUND(M54/60,2),"--")</f>
        <v>--</v>
      </c>
      <c r="W54" s="715"/>
      <c r="X54" s="715"/>
      <c r="Y54" s="715"/>
      <c r="Z54" s="715"/>
      <c r="AA54" s="716"/>
      <c r="AB54" s="717">
        <f>IF(D54="","","SI")</f>
      </c>
      <c r="AC54" s="779">
        <f>IF(D54="","",SUM(S54:V54)*IF(AB54="SI",1,2))</f>
      </c>
      <c r="AD54" s="661"/>
    </row>
    <row r="55" spans="1:30" ht="16.5" customHeight="1" thickBot="1">
      <c r="A55" s="631"/>
      <c r="B55" s="606"/>
      <c r="C55" s="719"/>
      <c r="D55" s="720"/>
      <c r="E55" s="721"/>
      <c r="F55" s="1561"/>
      <c r="G55" s="1562"/>
      <c r="H55" s="724"/>
      <c r="I55" s="725"/>
      <c r="J55" s="726"/>
      <c r="K55" s="727"/>
      <c r="L55" s="728"/>
      <c r="M55" s="729"/>
      <c r="N55" s="730"/>
      <c r="O55" s="1573"/>
      <c r="P55" s="1574"/>
      <c r="Q55" s="1575"/>
      <c r="R55" s="769"/>
      <c r="S55" s="776"/>
      <c r="T55" s="777"/>
      <c r="U55" s="778"/>
      <c r="V55" s="713"/>
      <c r="W55" s="740"/>
      <c r="X55" s="740"/>
      <c r="Y55" s="740"/>
      <c r="Z55" s="740"/>
      <c r="AA55" s="741"/>
      <c r="AB55" s="742"/>
      <c r="AC55" s="779">
        <f>IF(D55="","",SUM(S55:V55)*IF(AB55="SI",1,2))</f>
      </c>
      <c r="AD55" s="661"/>
    </row>
    <row r="56" spans="1:30" ht="16.5" customHeight="1" thickBot="1" thickTop="1">
      <c r="A56" s="631"/>
      <c r="B56" s="606"/>
      <c r="C56" s="744"/>
      <c r="D56" s="651"/>
      <c r="E56" s="651"/>
      <c r="F56" s="745"/>
      <c r="G56" s="746"/>
      <c r="H56" s="751"/>
      <c r="I56" s="761"/>
      <c r="J56" s="762"/>
      <c r="K56" s="749"/>
      <c r="L56" s="750"/>
      <c r="M56" s="751"/>
      <c r="N56" s="783"/>
      <c r="O56" s="752"/>
      <c r="P56" s="784"/>
      <c r="Q56" s="785"/>
      <c r="R56" s="786"/>
      <c r="S56" s="786"/>
      <c r="T56" s="786"/>
      <c r="U56" s="759"/>
      <c r="V56" s="759"/>
      <c r="W56" s="759"/>
      <c r="X56" s="759"/>
      <c r="Y56" s="759"/>
      <c r="Z56" s="759"/>
      <c r="AA56" s="759"/>
      <c r="AB56" s="759"/>
      <c r="AC56" s="787">
        <f>SUM(AC51:AC55)</f>
        <v>9999.790200000003</v>
      </c>
      <c r="AD56" s="661"/>
    </row>
    <row r="57" spans="1:30" ht="16.5" customHeight="1" thickBot="1" thickTop="1">
      <c r="A57" s="631"/>
      <c r="B57" s="606"/>
      <c r="C57" s="744"/>
      <c r="D57" s="651"/>
      <c r="E57" s="651"/>
      <c r="F57" s="745"/>
      <c r="G57" s="746"/>
      <c r="H57" s="655"/>
      <c r="I57" s="628"/>
      <c r="J57" s="654"/>
      <c r="K57" s="628"/>
      <c r="L57" s="749"/>
      <c r="M57" s="750"/>
      <c r="N57" s="751"/>
      <c r="O57" s="752"/>
      <c r="P57" s="753"/>
      <c r="Q57" s="753"/>
      <c r="R57" s="754"/>
      <c r="S57" s="755"/>
      <c r="T57" s="756"/>
      <c r="U57" s="756"/>
      <c r="V57" s="757"/>
      <c r="W57" s="758"/>
      <c r="X57" s="758"/>
      <c r="Y57" s="758"/>
      <c r="Z57" s="758"/>
      <c r="AA57" s="758"/>
      <c r="AB57" s="759"/>
      <c r="AC57" s="763"/>
      <c r="AD57" s="661"/>
    </row>
    <row r="58" spans="1:30" ht="49.5" customHeight="1" thickBot="1" thickTop="1">
      <c r="A58" s="631"/>
      <c r="B58" s="606"/>
      <c r="C58" s="663" t="s">
        <v>26</v>
      </c>
      <c r="D58" s="788" t="s">
        <v>56</v>
      </c>
      <c r="E58" s="789" t="s">
        <v>57</v>
      </c>
      <c r="F58" s="1612" t="s">
        <v>58</v>
      </c>
      <c r="G58" s="1613"/>
      <c r="H58" s="668" t="s">
        <v>33</v>
      </c>
      <c r="I58" s="790"/>
      <c r="J58" s="789" t="s">
        <v>34</v>
      </c>
      <c r="K58" s="789" t="s">
        <v>35</v>
      </c>
      <c r="L58" s="788" t="s">
        <v>36</v>
      </c>
      <c r="M58" s="788" t="s">
        <v>37</v>
      </c>
      <c r="N58" s="670" t="s">
        <v>296</v>
      </c>
      <c r="O58" s="670" t="s">
        <v>38</v>
      </c>
      <c r="P58" s="1621" t="s">
        <v>40</v>
      </c>
      <c r="Q58" s="1622"/>
      <c r="R58" s="668" t="s">
        <v>32</v>
      </c>
      <c r="S58" s="791" t="s">
        <v>69</v>
      </c>
      <c r="T58" s="792" t="s">
        <v>79</v>
      </c>
      <c r="U58" s="793"/>
      <c r="V58" s="794" t="s">
        <v>45</v>
      </c>
      <c r="W58" s="795" t="s">
        <v>42</v>
      </c>
      <c r="Z58" s="758"/>
      <c r="AA58" s="758"/>
      <c r="AB58" s="680" t="s">
        <v>47</v>
      </c>
      <c r="AC58" s="796" t="s">
        <v>48</v>
      </c>
      <c r="AD58" s="661"/>
    </row>
    <row r="59" spans="1:30" ht="16.5" customHeight="1" thickTop="1">
      <c r="A59" s="631"/>
      <c r="B59" s="606"/>
      <c r="C59" s="797"/>
      <c r="D59" s="798"/>
      <c r="E59" s="798"/>
      <c r="F59" s="1614"/>
      <c r="G59" s="1615"/>
      <c r="H59" s="799"/>
      <c r="I59" s="800"/>
      <c r="J59" s="801"/>
      <c r="K59" s="801"/>
      <c r="L59" s="802"/>
      <c r="M59" s="802"/>
      <c r="N59" s="798"/>
      <c r="O59" s="803"/>
      <c r="P59" s="1614"/>
      <c r="Q59" s="1615"/>
      <c r="R59" s="804"/>
      <c r="S59" s="805"/>
      <c r="T59" s="806"/>
      <c r="U59" s="807"/>
      <c r="V59" s="808"/>
      <c r="W59" s="808"/>
      <c r="Z59" s="758"/>
      <c r="AA59" s="758"/>
      <c r="AB59" s="809"/>
      <c r="AC59" s="810"/>
      <c r="AD59" s="661"/>
    </row>
    <row r="60" spans="1:30" ht="16.5" customHeight="1">
      <c r="A60" s="631"/>
      <c r="B60" s="606"/>
      <c r="C60" s="561" t="s">
        <v>100</v>
      </c>
      <c r="D60" s="811"/>
      <c r="E60" s="811"/>
      <c r="F60" s="1619"/>
      <c r="G60" s="1620"/>
      <c r="H60" s="812">
        <f>F60*$F$23</f>
        <v>0</v>
      </c>
      <c r="I60" s="813"/>
      <c r="J60" s="814"/>
      <c r="K60" s="815"/>
      <c r="L60" s="816">
        <f>IF(D60="","",(K60-J60)*24)</f>
      </c>
      <c r="M60" s="817">
        <f>IF(D60="","",ROUND((K60-J60)*24*60,0))</f>
      </c>
      <c r="N60" s="818"/>
      <c r="O60" s="819">
        <f>IF(D60="","","--")</f>
      </c>
      <c r="P60" s="1623"/>
      <c r="Q60" s="1624"/>
      <c r="R60" s="820">
        <f>IF(OR(N60="P",N60="RP"),$N$24/10,$N$24)</f>
        <v>20</v>
      </c>
      <c r="S60" s="821" t="str">
        <f>IF(N60="P",H60*R60*ROUND(M60/60,2),"--")</f>
        <v>--</v>
      </c>
      <c r="T60" s="822" t="str">
        <f>IF(AND(N60="F",P60="NO"),H60*R60,"--")</f>
        <v>--</v>
      </c>
      <c r="U60" s="823" t="str">
        <f>IF(N60="F",H60*R60*ROUND(M60/60,2),"--")</f>
        <v>--</v>
      </c>
      <c r="V60" s="824" t="str">
        <f>IF(N60="RF",H60*R60*ROUND(M60/60,2),"--")</f>
        <v>--</v>
      </c>
      <c r="W60" s="824" t="str">
        <f>IF(O60="RP",J60*R60*P60/100*ROUND(N60/60,2),"--")</f>
        <v>--</v>
      </c>
      <c r="X60" s="825"/>
      <c r="Y60" s="825"/>
      <c r="Z60" s="826"/>
      <c r="AA60" s="826"/>
      <c r="AB60" s="827">
        <f>IF(D60="","","SI")</f>
      </c>
      <c r="AC60" s="828">
        <f>IF(D60="","",SUM(S60:W60)*IF(AB60="SI",1,2)*IF(AND(O60&lt;&gt;"--",N60="RF"),O60/100,1))</f>
      </c>
      <c r="AD60" s="661"/>
    </row>
    <row r="61" spans="1:30" ht="16.5" customHeight="1" thickBot="1">
      <c r="A61" s="631"/>
      <c r="B61" s="606"/>
      <c r="C61" s="561" t="s">
        <v>101</v>
      </c>
      <c r="D61" s="811"/>
      <c r="E61" s="811"/>
      <c r="F61" s="1619"/>
      <c r="G61" s="1620"/>
      <c r="H61" s="812"/>
      <c r="I61" s="829"/>
      <c r="J61" s="814"/>
      <c r="K61" s="815"/>
      <c r="L61" s="816"/>
      <c r="M61" s="817"/>
      <c r="N61" s="818"/>
      <c r="O61" s="819"/>
      <c r="P61" s="1623"/>
      <c r="Q61" s="1624"/>
      <c r="R61" s="820"/>
      <c r="S61" s="821"/>
      <c r="T61" s="822"/>
      <c r="U61" s="823"/>
      <c r="V61" s="824"/>
      <c r="W61" s="824"/>
      <c r="X61" s="830"/>
      <c r="Y61" s="830"/>
      <c r="Z61" s="831"/>
      <c r="AA61" s="831"/>
      <c r="AB61" s="827"/>
      <c r="AC61" s="828"/>
      <c r="AD61" s="661"/>
    </row>
    <row r="62" spans="1:30" ht="16.5" customHeight="1" thickBot="1" thickTop="1">
      <c r="A62" s="631"/>
      <c r="B62" s="606"/>
      <c r="C62" s="832"/>
      <c r="D62" s="833"/>
      <c r="E62" s="833"/>
      <c r="F62" s="1617"/>
      <c r="G62" s="1618"/>
      <c r="H62" s="834"/>
      <c r="I62" s="835"/>
      <c r="J62" s="836"/>
      <c r="K62" s="837"/>
      <c r="L62" s="838"/>
      <c r="M62" s="839"/>
      <c r="N62" s="840"/>
      <c r="O62" s="841"/>
      <c r="P62" s="1573"/>
      <c r="Q62" s="1575"/>
      <c r="R62" s="842"/>
      <c r="S62" s="843"/>
      <c r="T62" s="844"/>
      <c r="U62" s="845"/>
      <c r="V62" s="846"/>
      <c r="W62" s="846"/>
      <c r="X62" s="847"/>
      <c r="Y62" s="847"/>
      <c r="Z62" s="740"/>
      <c r="AA62" s="740"/>
      <c r="AB62" s="731"/>
      <c r="AC62" s="848"/>
      <c r="AD62" s="661"/>
    </row>
    <row r="63" spans="1:30" ht="16.5" customHeight="1" thickBot="1" thickTop="1">
      <c r="A63" s="631"/>
      <c r="B63" s="606"/>
      <c r="C63" s="744"/>
      <c r="D63" s="651"/>
      <c r="E63" s="651"/>
      <c r="F63" s="745"/>
      <c r="G63" s="746"/>
      <c r="H63" s="655"/>
      <c r="J63" s="761"/>
      <c r="K63" s="762"/>
      <c r="L63" s="749"/>
      <c r="M63" s="750"/>
      <c r="N63" s="751"/>
      <c r="O63" s="752"/>
      <c r="P63" s="753"/>
      <c r="Q63" s="753"/>
      <c r="R63" s="754"/>
      <c r="S63" s="755"/>
      <c r="T63" s="756"/>
      <c r="U63" s="756"/>
      <c r="V63" s="757"/>
      <c r="W63" s="758"/>
      <c r="X63" s="758"/>
      <c r="Y63" s="758"/>
      <c r="Z63" s="758"/>
      <c r="AA63" s="758"/>
      <c r="AB63" s="759"/>
      <c r="AC63" s="760">
        <f>SUM(AC59:AC62)</f>
        <v>0</v>
      </c>
      <c r="AD63" s="661"/>
    </row>
    <row r="64" spans="1:30" ht="16.5" customHeight="1" thickBot="1" thickTop="1">
      <c r="A64" s="631"/>
      <c r="B64" s="606"/>
      <c r="C64" s="744"/>
      <c r="D64" s="651"/>
      <c r="E64" s="651"/>
      <c r="F64" s="745"/>
      <c r="G64" s="746"/>
      <c r="H64" s="655"/>
      <c r="J64" s="761"/>
      <c r="K64" s="762"/>
      <c r="L64" s="749"/>
      <c r="M64" s="750"/>
      <c r="N64" s="751"/>
      <c r="O64" s="752"/>
      <c r="P64" s="753"/>
      <c r="Q64" s="753"/>
      <c r="R64" s="754"/>
      <c r="S64" s="755"/>
      <c r="T64" s="756"/>
      <c r="U64" s="756"/>
      <c r="V64" s="757"/>
      <c r="W64" s="758"/>
      <c r="X64" s="758"/>
      <c r="Y64" s="758"/>
      <c r="Z64" s="758"/>
      <c r="AA64" s="758"/>
      <c r="AB64" s="759"/>
      <c r="AC64" s="763"/>
      <c r="AD64" s="661"/>
    </row>
    <row r="65" spans="1:30" ht="16.5" customHeight="1" thickBot="1" thickTop="1">
      <c r="A65" s="631"/>
      <c r="B65" s="606"/>
      <c r="C65" s="744"/>
      <c r="D65" s="651"/>
      <c r="E65" s="651"/>
      <c r="F65" s="745"/>
      <c r="G65" s="746"/>
      <c r="H65" s="751"/>
      <c r="I65" s="761"/>
      <c r="J65" s="649" t="s">
        <v>108</v>
      </c>
      <c r="K65" s="650">
        <f>AC40+AC48++AC56+AC63</f>
        <v>9999.790200000003</v>
      </c>
      <c r="L65" s="750"/>
      <c r="M65" s="751"/>
      <c r="N65" s="849"/>
      <c r="O65" s="753"/>
      <c r="P65" s="784"/>
      <c r="Q65" s="785"/>
      <c r="R65" s="786"/>
      <c r="S65" s="786"/>
      <c r="T65" s="786"/>
      <c r="U65" s="759"/>
      <c r="V65" s="759"/>
      <c r="W65" s="759"/>
      <c r="X65" s="759"/>
      <c r="Y65" s="759"/>
      <c r="Z65" s="759"/>
      <c r="AA65" s="759"/>
      <c r="AB65" s="759"/>
      <c r="AC65" s="850"/>
      <c r="AD65" s="661"/>
    </row>
    <row r="66" spans="1:30" ht="13.5" customHeight="1" thickTop="1">
      <c r="A66" s="631"/>
      <c r="B66" s="632"/>
      <c r="C66" s="636"/>
      <c r="D66" s="851"/>
      <c r="E66" s="852"/>
      <c r="F66" s="853"/>
      <c r="G66" s="854"/>
      <c r="H66" s="854"/>
      <c r="I66" s="852"/>
      <c r="J66" s="855"/>
      <c r="K66" s="855"/>
      <c r="L66" s="852"/>
      <c r="M66" s="852"/>
      <c r="N66" s="852"/>
      <c r="O66" s="856"/>
      <c r="P66" s="852"/>
      <c r="Q66" s="852"/>
      <c r="R66" s="857"/>
      <c r="S66" s="858"/>
      <c r="T66" s="858"/>
      <c r="U66" s="859"/>
      <c r="AC66" s="859"/>
      <c r="AD66" s="860"/>
    </row>
    <row r="67" spans="1:30" ht="16.5" customHeight="1">
      <c r="A67" s="631"/>
      <c r="B67" s="632"/>
      <c r="C67" s="861" t="s">
        <v>109</v>
      </c>
      <c r="D67" s="862" t="s">
        <v>300</v>
      </c>
      <c r="E67" s="852"/>
      <c r="F67" s="853"/>
      <c r="G67" s="854"/>
      <c r="H67" s="854"/>
      <c r="I67" s="852"/>
      <c r="J67" s="855"/>
      <c r="K67" s="855"/>
      <c r="L67" s="852"/>
      <c r="M67" s="852"/>
      <c r="N67" s="852"/>
      <c r="O67" s="856"/>
      <c r="P67" s="852"/>
      <c r="Q67" s="852"/>
      <c r="R67" s="857"/>
      <c r="S67" s="858"/>
      <c r="T67" s="858"/>
      <c r="U67" s="859"/>
      <c r="AC67" s="859"/>
      <c r="AD67" s="860"/>
    </row>
    <row r="68" spans="1:30" ht="16.5" customHeight="1">
      <c r="A68" s="631"/>
      <c r="B68" s="632"/>
      <c r="C68" s="861"/>
      <c r="D68" s="862"/>
      <c r="E68" s="852"/>
      <c r="F68" s="853"/>
      <c r="G68" s="854"/>
      <c r="H68" s="854"/>
      <c r="I68" s="852"/>
      <c r="J68" s="855"/>
      <c r="K68" s="855"/>
      <c r="L68" s="852"/>
      <c r="M68" s="852"/>
      <c r="N68" s="852"/>
      <c r="O68" s="856"/>
      <c r="P68" s="852"/>
      <c r="Q68" s="852"/>
      <c r="R68" s="857"/>
      <c r="S68" s="858"/>
      <c r="T68" s="858"/>
      <c r="U68" s="859"/>
      <c r="AC68" s="859"/>
      <c r="AD68" s="860"/>
    </row>
    <row r="69" spans="1:30" ht="16.5" customHeight="1">
      <c r="A69" s="631"/>
      <c r="B69" s="632"/>
      <c r="C69" s="861"/>
      <c r="D69" s="1178" t="s">
        <v>5</v>
      </c>
      <c r="E69" s="1070" t="s">
        <v>110</v>
      </c>
      <c r="F69" s="1070" t="s">
        <v>111</v>
      </c>
      <c r="G69" s="1179" t="s">
        <v>301</v>
      </c>
      <c r="H69" s="1071"/>
      <c r="I69" s="1070"/>
      <c r="J69" s="914"/>
      <c r="K69" s="1180" t="s">
        <v>302</v>
      </c>
      <c r="L69" s="914"/>
      <c r="M69" s="914"/>
      <c r="N69" s="952"/>
      <c r="O69" s="1180" t="s">
        <v>303</v>
      </c>
      <c r="P69" s="1181"/>
      <c r="Q69" s="1182"/>
      <c r="R69" s="1183"/>
      <c r="S69" s="954"/>
      <c r="T69" s="914"/>
      <c r="U69" s="914"/>
      <c r="V69" s="914"/>
      <c r="W69" s="914"/>
      <c r="X69" s="954"/>
      <c r="Y69" s="954"/>
      <c r="Z69" s="954"/>
      <c r="AA69" s="954"/>
      <c r="AB69" s="954"/>
      <c r="AC69" s="1184" t="s">
        <v>304</v>
      </c>
      <c r="AD69" s="860"/>
    </row>
    <row r="70" spans="1:30" ht="16.5" customHeight="1">
      <c r="A70" s="631"/>
      <c r="B70" s="632"/>
      <c r="C70" s="861"/>
      <c r="D70" s="1070" t="s">
        <v>452</v>
      </c>
      <c r="E70" s="1185">
        <v>188.07</v>
      </c>
      <c r="F70" s="1186">
        <v>500</v>
      </c>
      <c r="G70" s="1187">
        <f>E70*$F$22*$N$23/100</f>
        <v>369346.761144</v>
      </c>
      <c r="H70" s="1187"/>
      <c r="I70" s="1187"/>
      <c r="J70" s="942"/>
      <c r="K70" s="1188">
        <v>36393</v>
      </c>
      <c r="L70" s="942"/>
      <c r="M70" s="562" t="s">
        <v>502</v>
      </c>
      <c r="N70" s="952"/>
      <c r="O70" s="952"/>
      <c r="P70" s="952"/>
      <c r="Q70" s="952"/>
      <c r="R70" s="1183"/>
      <c r="S70" s="954"/>
      <c r="T70" s="914"/>
      <c r="U70" s="914"/>
      <c r="V70" s="914"/>
      <c r="W70" s="914"/>
      <c r="X70" s="954"/>
      <c r="Y70" s="954"/>
      <c r="Z70" s="954"/>
      <c r="AA70" s="954"/>
      <c r="AB70" s="1189"/>
      <c r="AC70" s="967">
        <f>K70+G70</f>
        <v>405739.761144</v>
      </c>
      <c r="AD70" s="860"/>
    </row>
    <row r="71" spans="1:30" ht="16.5" customHeight="1">
      <c r="A71" s="631"/>
      <c r="B71" s="632"/>
      <c r="C71" s="861"/>
      <c r="D71" s="851"/>
      <c r="E71" s="852"/>
      <c r="F71" s="853"/>
      <c r="G71" s="854"/>
      <c r="H71" s="854"/>
      <c r="I71" s="852"/>
      <c r="J71" s="855"/>
      <c r="K71" s="855"/>
      <c r="L71" s="852"/>
      <c r="M71" s="852"/>
      <c r="N71" s="852"/>
      <c r="O71" s="856"/>
      <c r="P71" s="852"/>
      <c r="Q71" s="852"/>
      <c r="R71" s="852"/>
      <c r="S71" s="857"/>
      <c r="T71" s="858"/>
      <c r="AD71" s="860"/>
    </row>
    <row r="72" spans="1:30" ht="16.5" customHeight="1">
      <c r="A72" s="631"/>
      <c r="B72" s="632"/>
      <c r="C72" s="861"/>
      <c r="D72" s="645" t="s">
        <v>453</v>
      </c>
      <c r="E72" s="654" t="s">
        <v>119</v>
      </c>
      <c r="F72" s="654" t="s">
        <v>111</v>
      </c>
      <c r="G72" s="871" t="s">
        <v>305</v>
      </c>
      <c r="I72" s="872"/>
      <c r="J72" s="654"/>
      <c r="K72" s="855"/>
      <c r="L72" s="852"/>
      <c r="M72" s="852"/>
      <c r="N72" s="852"/>
      <c r="O72" s="856"/>
      <c r="P72" s="852"/>
      <c r="Q72" s="852"/>
      <c r="R72" s="852"/>
      <c r="S72" s="857"/>
      <c r="T72" s="858"/>
      <c r="AD72" s="860"/>
    </row>
    <row r="73" spans="1:30" ht="16.5" customHeight="1">
      <c r="A73" s="631"/>
      <c r="B73" s="632"/>
      <c r="C73" s="861"/>
      <c r="D73" s="654" t="s">
        <v>374</v>
      </c>
      <c r="E73" s="864">
        <v>300</v>
      </c>
      <c r="F73" s="864" t="s">
        <v>373</v>
      </c>
      <c r="G73" s="865">
        <f>E73*F23*N23</f>
        <v>161784</v>
      </c>
      <c r="H73" s="621"/>
      <c r="I73" s="621"/>
      <c r="J73" s="874"/>
      <c r="K73" s="855"/>
      <c r="L73" s="852"/>
      <c r="M73" s="852"/>
      <c r="N73" s="852"/>
      <c r="O73" s="856"/>
      <c r="P73" s="852"/>
      <c r="Q73" s="852"/>
      <c r="R73" s="852"/>
      <c r="S73" s="857"/>
      <c r="T73" s="858"/>
      <c r="AC73" s="967">
        <f>G73</f>
        <v>161784</v>
      </c>
      <c r="AD73" s="860"/>
    </row>
    <row r="74" spans="2:30" s="631" customFormat="1" ht="16.5" customHeight="1">
      <c r="B74" s="632"/>
      <c r="C74" s="636"/>
      <c r="D74" s="863"/>
      <c r="E74" s="864"/>
      <c r="F74" s="864"/>
      <c r="G74" s="865"/>
      <c r="H74" s="863"/>
      <c r="I74" s="866"/>
      <c r="J74" s="621"/>
      <c r="K74" s="592"/>
      <c r="L74" s="865"/>
      <c r="M74" s="621"/>
      <c r="N74" s="867"/>
      <c r="O74" s="868"/>
      <c r="P74" s="592"/>
      <c r="Q74" s="869"/>
      <c r="R74" s="869"/>
      <c r="S74" s="633"/>
      <c r="T74" s="592"/>
      <c r="U74" s="592"/>
      <c r="V74" s="592"/>
      <c r="W74" s="592"/>
      <c r="X74" s="633"/>
      <c r="Y74" s="633"/>
      <c r="Z74" s="633"/>
      <c r="AA74" s="633"/>
      <c r="AB74" s="633"/>
      <c r="AC74" s="870"/>
      <c r="AD74" s="860"/>
    </row>
    <row r="75" spans="1:30" ht="16.5" customHeight="1">
      <c r="A75" s="631"/>
      <c r="B75" s="632"/>
      <c r="C75" s="636"/>
      <c r="D75" s="645" t="s">
        <v>120</v>
      </c>
      <c r="E75" s="866" t="s">
        <v>121</v>
      </c>
      <c r="F75" s="866"/>
      <c r="G75" s="654" t="s">
        <v>111</v>
      </c>
      <c r="I75" s="872"/>
      <c r="J75" s="871" t="s">
        <v>306</v>
      </c>
      <c r="L75" s="874"/>
      <c r="M75" s="621"/>
      <c r="N75" s="867"/>
      <c r="O75" s="875"/>
      <c r="P75" s="875"/>
      <c r="Q75" s="875"/>
      <c r="R75" s="875"/>
      <c r="S75" s="875"/>
      <c r="AC75" s="876"/>
      <c r="AD75" s="860"/>
    </row>
    <row r="76" spans="1:30" ht="16.5" customHeight="1">
      <c r="A76" s="631"/>
      <c r="B76" s="632"/>
      <c r="C76" s="636"/>
      <c r="D76" s="654" t="s">
        <v>375</v>
      </c>
      <c r="E76" s="1563" t="s">
        <v>376</v>
      </c>
      <c r="F76" s="1563"/>
      <c r="G76" s="864">
        <v>220</v>
      </c>
      <c r="H76" s="621"/>
      <c r="I76" s="621"/>
      <c r="J76" s="865">
        <f>1*$F$24*$N$23</f>
        <v>96383.52</v>
      </c>
      <c r="L76" s="874"/>
      <c r="M76" s="621"/>
      <c r="N76" s="867"/>
      <c r="O76" s="875"/>
      <c r="P76" s="875"/>
      <c r="Q76" s="875"/>
      <c r="R76" s="875"/>
      <c r="S76" s="875"/>
      <c r="AC76" s="877">
        <f>J76</f>
        <v>96383.52</v>
      </c>
      <c r="AD76" s="860"/>
    </row>
    <row r="77" spans="1:30" ht="6" customHeight="1" thickBot="1">
      <c r="A77" s="631"/>
      <c r="B77" s="632"/>
      <c r="C77" s="636"/>
      <c r="D77" s="654"/>
      <c r="E77" s="864"/>
      <c r="F77" s="864"/>
      <c r="G77" s="864"/>
      <c r="H77" s="621"/>
      <c r="I77" s="621"/>
      <c r="J77" s="865"/>
      <c r="L77" s="874"/>
      <c r="M77" s="621"/>
      <c r="N77" s="867"/>
      <c r="O77" s="875"/>
      <c r="P77" s="875"/>
      <c r="Q77" s="875"/>
      <c r="R77" s="875"/>
      <c r="S77" s="875"/>
      <c r="AC77" s="876"/>
      <c r="AD77" s="860"/>
    </row>
    <row r="78" spans="1:30" ht="18" customHeight="1" thickBot="1" thickTop="1">
      <c r="A78" s="631"/>
      <c r="B78" s="632"/>
      <c r="C78" s="636"/>
      <c r="D78" s="855"/>
      <c r="E78" s="640"/>
      <c r="F78" s="654"/>
      <c r="G78" s="654"/>
      <c r="H78" s="655"/>
      <c r="J78" s="654"/>
      <c r="L78" s="878"/>
      <c r="M78" s="873"/>
      <c r="N78" s="873"/>
      <c r="O78" s="869"/>
      <c r="P78" s="869"/>
      <c r="Q78" s="869"/>
      <c r="R78" s="869"/>
      <c r="S78" s="869"/>
      <c r="AB78" s="879" t="s">
        <v>123</v>
      </c>
      <c r="AC78" s="880">
        <f>SUM(AC70:AC76)</f>
        <v>663907.281144</v>
      </c>
      <c r="AD78" s="860"/>
    </row>
    <row r="79" spans="2:30" ht="16.5" customHeight="1" thickBot="1" thickTop="1">
      <c r="B79" s="632"/>
      <c r="E79" s="654"/>
      <c r="F79" s="882"/>
      <c r="G79" s="653"/>
      <c r="H79" s="855"/>
      <c r="I79" s="855"/>
      <c r="J79" s="855"/>
      <c r="K79" s="654"/>
      <c r="L79" s="654"/>
      <c r="M79" s="855"/>
      <c r="N79" s="654"/>
      <c r="O79" s="855"/>
      <c r="P79" s="855"/>
      <c r="Q79" s="855"/>
      <c r="R79" s="855"/>
      <c r="S79" s="855"/>
      <c r="T79" s="855"/>
      <c r="U79" s="855"/>
      <c r="AC79" s="855"/>
      <c r="AD79" s="860"/>
    </row>
    <row r="80" spans="2:30" ht="16.5" customHeight="1" thickBot="1" thickTop="1">
      <c r="B80" s="632"/>
      <c r="C80" s="861"/>
      <c r="D80" s="883"/>
      <c r="E80" s="654"/>
      <c r="F80" s="882"/>
      <c r="G80" s="653"/>
      <c r="H80" s="855"/>
      <c r="I80" s="855"/>
      <c r="J80" s="855"/>
      <c r="K80" s="654"/>
      <c r="L80" s="654"/>
      <c r="M80" s="855"/>
      <c r="N80" s="654"/>
      <c r="O80" s="855"/>
      <c r="P80" s="855"/>
      <c r="Q80" s="855"/>
      <c r="R80" s="855"/>
      <c r="S80" s="855"/>
      <c r="T80" s="855"/>
      <c r="U80" s="855"/>
      <c r="AB80" s="879" t="s">
        <v>377</v>
      </c>
      <c r="AC80" s="880">
        <v>370283.44123680005</v>
      </c>
      <c r="AD80" s="860"/>
    </row>
    <row r="81" spans="2:30" ht="16.5" customHeight="1" thickTop="1">
      <c r="B81" s="632"/>
      <c r="C81" s="861" t="s">
        <v>114</v>
      </c>
      <c r="D81" s="883" t="s">
        <v>115</v>
      </c>
      <c r="E81" s="654"/>
      <c r="F81" s="882"/>
      <c r="G81" s="653"/>
      <c r="H81" s="855"/>
      <c r="I81" s="855"/>
      <c r="J81" s="855"/>
      <c r="K81" s="654"/>
      <c r="L81" s="654"/>
      <c r="M81" s="855"/>
      <c r="N81" s="654"/>
      <c r="O81" s="855"/>
      <c r="P81" s="855"/>
      <c r="Q81" s="855"/>
      <c r="R81" s="855"/>
      <c r="S81" s="855"/>
      <c r="T81" s="855"/>
      <c r="U81" s="855"/>
      <c r="AC81" s="855"/>
      <c r="AD81" s="860"/>
    </row>
    <row r="82" spans="2:30" s="631" customFormat="1" ht="16.5" customHeight="1">
      <c r="B82" s="632"/>
      <c r="C82" s="636"/>
      <c r="D82" s="645" t="s">
        <v>116</v>
      </c>
      <c r="E82" s="884">
        <f>10*K65*K29/AC78</f>
        <v>2230.8878556184477</v>
      </c>
      <c r="G82" s="653"/>
      <c r="L82" s="654"/>
      <c r="N82" s="654"/>
      <c r="O82" s="655"/>
      <c r="V82" s="592"/>
      <c r="W82" s="592"/>
      <c r="AD82" s="860"/>
    </row>
    <row r="83" spans="2:30" s="631" customFormat="1" ht="16.5" customHeight="1">
      <c r="B83" s="632"/>
      <c r="C83" s="636"/>
      <c r="E83" s="885"/>
      <c r="F83" s="646"/>
      <c r="G83" s="653"/>
      <c r="J83" s="653"/>
      <c r="K83" s="660"/>
      <c r="L83" s="654"/>
      <c r="M83" s="654"/>
      <c r="N83" s="654"/>
      <c r="O83" s="655"/>
      <c r="P83" s="654"/>
      <c r="Q83" s="654"/>
      <c r="R83" s="659"/>
      <c r="S83" s="659"/>
      <c r="T83" s="659"/>
      <c r="U83" s="886"/>
      <c r="V83" s="592"/>
      <c r="W83" s="592"/>
      <c r="AD83" s="860"/>
    </row>
    <row r="84" spans="2:30" ht="16.5" customHeight="1">
      <c r="B84" s="632"/>
      <c r="C84" s="636"/>
      <c r="D84" s="887" t="s">
        <v>490</v>
      </c>
      <c r="E84" s="888"/>
      <c r="F84" s="646"/>
      <c r="G84" s="653"/>
      <c r="H84" s="855"/>
      <c r="I84" s="855"/>
      <c r="O84" s="655"/>
      <c r="P84" s="889" t="s">
        <v>378</v>
      </c>
      <c r="R84" s="872"/>
      <c r="S84" s="872"/>
      <c r="T84" s="872"/>
      <c r="U84" s="873"/>
      <c r="AC84" s="873"/>
      <c r="AD84" s="860"/>
    </row>
    <row r="85" spans="2:30" ht="16.5" customHeight="1" thickBot="1">
      <c r="B85" s="632"/>
      <c r="C85" s="636"/>
      <c r="D85" s="887"/>
      <c r="E85" s="888"/>
      <c r="F85" s="646"/>
      <c r="G85" s="653"/>
      <c r="H85" s="855"/>
      <c r="I85" s="855"/>
      <c r="N85" s="654"/>
      <c r="O85" s="655"/>
      <c r="Q85" s="654"/>
      <c r="R85" s="872"/>
      <c r="S85" s="872"/>
      <c r="T85" s="872"/>
      <c r="U85" s="873"/>
      <c r="AC85" s="873"/>
      <c r="AD85" s="860"/>
    </row>
    <row r="86" spans="2:30" s="890" customFormat="1" ht="24" thickBot="1" thickTop="1">
      <c r="B86" s="891"/>
      <c r="C86" s="892"/>
      <c r="D86" s="893"/>
      <c r="E86" s="894"/>
      <c r="F86" s="895"/>
      <c r="G86" s="896"/>
      <c r="I86" s="592"/>
      <c r="J86" s="897" t="s">
        <v>118</v>
      </c>
      <c r="K86" s="898">
        <f>IF(E82&gt;3*K29,K29*3,E82)</f>
        <v>2230.8878556184477</v>
      </c>
      <c r="L86" s="899"/>
      <c r="M86" s="1616"/>
      <c r="N86" s="1616"/>
      <c r="O86" s="1616"/>
      <c r="P86" s="900"/>
      <c r="Q86" s="900"/>
      <c r="R86" s="901"/>
      <c r="S86" s="901"/>
      <c r="T86" s="901"/>
      <c r="U86" s="902"/>
      <c r="V86" s="592"/>
      <c r="W86" s="592"/>
      <c r="AC86" s="902"/>
      <c r="AD86" s="903"/>
    </row>
    <row r="87" spans="2:30" ht="16.5" customHeight="1" thickBot="1" thickTop="1">
      <c r="B87" s="904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6"/>
      <c r="W87" s="906"/>
      <c r="X87" s="906"/>
      <c r="Y87" s="906"/>
      <c r="Z87" s="906"/>
      <c r="AA87" s="906"/>
      <c r="AB87" s="906"/>
      <c r="AC87" s="905"/>
      <c r="AD87" s="907"/>
    </row>
    <row r="88" spans="2:23" ht="16.5" customHeight="1" thickTop="1">
      <c r="B88" s="628"/>
      <c r="C88" s="908"/>
      <c r="W88" s="628"/>
    </row>
  </sheetData>
  <sheetProtection password="CC12"/>
  <mergeCells count="25">
    <mergeCell ref="F55:G55"/>
    <mergeCell ref="O55:Q55"/>
    <mergeCell ref="F52:G52"/>
    <mergeCell ref="O52:Q52"/>
    <mergeCell ref="F53:G53"/>
    <mergeCell ref="O53:Q53"/>
    <mergeCell ref="F54:G54"/>
    <mergeCell ref="O54:Q54"/>
    <mergeCell ref="P62:Q62"/>
    <mergeCell ref="F60:G60"/>
    <mergeCell ref="F61:G61"/>
    <mergeCell ref="P58:Q58"/>
    <mergeCell ref="P59:Q59"/>
    <mergeCell ref="P60:Q60"/>
    <mergeCell ref="P61:Q61"/>
    <mergeCell ref="K24:M24"/>
    <mergeCell ref="F58:G58"/>
    <mergeCell ref="F59:G59"/>
    <mergeCell ref="M86:O86"/>
    <mergeCell ref="F62:G62"/>
    <mergeCell ref="E76:F76"/>
    <mergeCell ref="F50:G50"/>
    <mergeCell ref="O50:Q50"/>
    <mergeCell ref="F51:G51"/>
    <mergeCell ref="O51:Q51"/>
  </mergeCells>
  <printOptions horizontalCentered="1"/>
  <pageMargins left="0.24" right="0.26" top="0.65" bottom="0.6" header="0.35" footer="0.39"/>
  <pageSetup fitToHeight="1" fitToWidth="1" orientation="landscape" paperSize="9" scale="34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1">
      <selection activeCell="B2" sqref="B2"/>
    </sheetView>
  </sheetViews>
  <sheetFormatPr defaultColWidth="11.421875" defaultRowHeight="12.75"/>
  <cols>
    <col min="1" max="1" width="18.00390625" style="913" customWidth="1"/>
    <col min="2" max="2" width="10.7109375" style="913" customWidth="1"/>
    <col min="3" max="3" width="10.421875" style="913" customWidth="1"/>
    <col min="4" max="4" width="52.8515625" style="913" customWidth="1"/>
    <col min="5" max="5" width="18.00390625" style="913" bestFit="1" customWidth="1"/>
    <col min="6" max="6" width="15.57421875" style="913" customWidth="1"/>
    <col min="7" max="7" width="7.7109375" style="913" hidden="1" customWidth="1"/>
    <col min="8" max="9" width="8.7109375" style="913" customWidth="1"/>
    <col min="10" max="10" width="9.7109375" style="913" bestFit="1" customWidth="1"/>
    <col min="11" max="20" width="8.7109375" style="913" customWidth="1"/>
    <col min="21" max="21" width="10.7109375" style="913" customWidth="1"/>
    <col min="22" max="16384" width="11.421875" style="913" customWidth="1"/>
  </cols>
  <sheetData>
    <row r="1" spans="21:22" ht="45" customHeight="1">
      <c r="U1" s="1480"/>
      <c r="V1" s="1481"/>
    </row>
    <row r="2" spans="2:22" s="1227" customFormat="1" ht="26.25">
      <c r="B2" s="1482" t="str">
        <f>+'TOT-0412'!B2</f>
        <v>ANEXO V al Memorándum  D.T.E.E.  N°     461       / 2014</v>
      </c>
      <c r="C2" s="1482"/>
      <c r="D2" s="1482"/>
      <c r="E2" s="1482"/>
      <c r="F2" s="1482"/>
      <c r="G2" s="1482"/>
      <c r="H2" s="1482"/>
      <c r="I2" s="1482"/>
      <c r="J2" s="1482"/>
      <c r="K2" s="1482"/>
      <c r="L2" s="1482"/>
      <c r="M2" s="1482"/>
      <c r="N2" s="1482"/>
      <c r="O2" s="1482"/>
      <c r="P2" s="1482"/>
      <c r="Q2" s="1482"/>
      <c r="R2" s="1482"/>
      <c r="S2" s="1482"/>
      <c r="T2" s="1482"/>
      <c r="U2" s="1482"/>
      <c r="V2" s="1483"/>
    </row>
    <row r="3" spans="1:22" s="921" customFormat="1" ht="11.25">
      <c r="A3" s="920" t="s">
        <v>2</v>
      </c>
      <c r="B3" s="1230"/>
      <c r="U3" s="1484"/>
      <c r="V3" s="1484"/>
    </row>
    <row r="4" spans="1:22" s="921" customFormat="1" ht="11.25">
      <c r="A4" s="920" t="s">
        <v>3</v>
      </c>
      <c r="B4" s="1230"/>
      <c r="U4" s="1230"/>
      <c r="V4" s="1484"/>
    </row>
    <row r="5" spans="21:22" ht="9.75" customHeight="1">
      <c r="U5" s="1485"/>
      <c r="V5" s="1481"/>
    </row>
    <row r="6" spans="2:178" s="1486" customFormat="1" ht="23.25">
      <c r="B6" s="1487" t="s">
        <v>503</v>
      </c>
      <c r="C6" s="1487"/>
      <c r="D6" s="1488"/>
      <c r="E6" s="1487"/>
      <c r="F6" s="1487"/>
      <c r="G6" s="1487"/>
      <c r="H6" s="1487"/>
      <c r="I6" s="1487"/>
      <c r="J6" s="1487"/>
      <c r="K6" s="1487"/>
      <c r="L6" s="1487"/>
      <c r="M6" s="1487"/>
      <c r="N6" s="1487"/>
      <c r="O6" s="1487"/>
      <c r="P6" s="1487"/>
      <c r="Q6" s="1487"/>
      <c r="R6" s="1487"/>
      <c r="S6" s="1487"/>
      <c r="T6" s="1487"/>
      <c r="U6" s="1487"/>
      <c r="V6" s="1489"/>
      <c r="W6" s="1487"/>
      <c r="X6" s="1487"/>
      <c r="Y6" s="1487"/>
      <c r="Z6" s="1487"/>
      <c r="AA6" s="1487"/>
      <c r="AB6" s="1487"/>
      <c r="AC6" s="1487"/>
      <c r="AD6" s="1487"/>
      <c r="AE6" s="1487"/>
      <c r="AF6" s="1487"/>
      <c r="AG6" s="1487"/>
      <c r="AH6" s="1487"/>
      <c r="AI6" s="1487"/>
      <c r="AJ6" s="1487"/>
      <c r="AK6" s="1487"/>
      <c r="AL6" s="1487"/>
      <c r="AM6" s="1487"/>
      <c r="AN6" s="1487"/>
      <c r="AO6" s="1487"/>
      <c r="AP6" s="1487"/>
      <c r="AQ6" s="1487"/>
      <c r="AR6" s="1487"/>
      <c r="AS6" s="1487"/>
      <c r="AT6" s="1487"/>
      <c r="AU6" s="1487"/>
      <c r="AV6" s="1487"/>
      <c r="AW6" s="1487"/>
      <c r="AX6" s="1487"/>
      <c r="AY6" s="1487"/>
      <c r="AZ6" s="1487"/>
      <c r="BA6" s="1487"/>
      <c r="BB6" s="1487"/>
      <c r="BC6" s="1487"/>
      <c r="BD6" s="1487"/>
      <c r="BE6" s="1487"/>
      <c r="BF6" s="1487"/>
      <c r="BG6" s="1487"/>
      <c r="BH6" s="1487"/>
      <c r="BI6" s="1487"/>
      <c r="BJ6" s="1487"/>
      <c r="BK6" s="1487"/>
      <c r="BL6" s="1487"/>
      <c r="BM6" s="1487"/>
      <c r="BN6" s="1487"/>
      <c r="BO6" s="1487"/>
      <c r="BP6" s="1487"/>
      <c r="BQ6" s="1487"/>
      <c r="BR6" s="1487"/>
      <c r="BS6" s="1487"/>
      <c r="BT6" s="1487"/>
      <c r="BU6" s="1487"/>
      <c r="BV6" s="1487"/>
      <c r="BW6" s="1487"/>
      <c r="BX6" s="1487"/>
      <c r="BY6" s="1487"/>
      <c r="BZ6" s="1487"/>
      <c r="CA6" s="1487"/>
      <c r="CB6" s="1487"/>
      <c r="CC6" s="1487"/>
      <c r="CD6" s="1487"/>
      <c r="CE6" s="1487"/>
      <c r="CF6" s="1487"/>
      <c r="CG6" s="1487"/>
      <c r="CH6" s="1487"/>
      <c r="CI6" s="1487"/>
      <c r="CJ6" s="1487"/>
      <c r="CK6" s="1487"/>
      <c r="CL6" s="1487"/>
      <c r="CM6" s="1487"/>
      <c r="CN6" s="1487"/>
      <c r="CO6" s="1487"/>
      <c r="CP6" s="1487"/>
      <c r="CQ6" s="1487"/>
      <c r="CR6" s="1487"/>
      <c r="CS6" s="1487"/>
      <c r="CT6" s="1487"/>
      <c r="CU6" s="1487"/>
      <c r="CV6" s="1487"/>
      <c r="CW6" s="1487"/>
      <c r="CX6" s="1487"/>
      <c r="CY6" s="1487"/>
      <c r="CZ6" s="1487"/>
      <c r="DA6" s="1487"/>
      <c r="DB6" s="1487"/>
      <c r="DC6" s="1487"/>
      <c r="DD6" s="1487"/>
      <c r="DE6" s="1487"/>
      <c r="DF6" s="1487"/>
      <c r="DG6" s="1487"/>
      <c r="DH6" s="1487"/>
      <c r="DI6" s="1487"/>
      <c r="DJ6" s="1487"/>
      <c r="DK6" s="1487"/>
      <c r="DL6" s="1487"/>
      <c r="DM6" s="1487"/>
      <c r="DN6" s="1487"/>
      <c r="DO6" s="1487"/>
      <c r="DP6" s="1487"/>
      <c r="DQ6" s="1487"/>
      <c r="DR6" s="1487"/>
      <c r="DS6" s="1487"/>
      <c r="DT6" s="1487"/>
      <c r="DU6" s="1487"/>
      <c r="DV6" s="1487"/>
      <c r="DW6" s="1487"/>
      <c r="DX6" s="1487"/>
      <c r="DY6" s="1487"/>
      <c r="DZ6" s="1487"/>
      <c r="EA6" s="1487"/>
      <c r="EB6" s="1487"/>
      <c r="EC6" s="1487"/>
      <c r="ED6" s="1487"/>
      <c r="EE6" s="1487"/>
      <c r="EF6" s="1487"/>
      <c r="EG6" s="1487"/>
      <c r="EH6" s="1487"/>
      <c r="EI6" s="1487"/>
      <c r="EJ6" s="1487"/>
      <c r="EK6" s="1487"/>
      <c r="EL6" s="1487"/>
      <c r="EM6" s="1487"/>
      <c r="EN6" s="1487"/>
      <c r="EO6" s="1487"/>
      <c r="EP6" s="1487"/>
      <c r="EQ6" s="1487"/>
      <c r="ER6" s="1487"/>
      <c r="ES6" s="1487"/>
      <c r="ET6" s="1487"/>
      <c r="EU6" s="1487"/>
      <c r="EV6" s="1487"/>
      <c r="EW6" s="1487"/>
      <c r="EX6" s="1487"/>
      <c r="EY6" s="1487"/>
      <c r="EZ6" s="1487"/>
      <c r="FA6" s="1487"/>
      <c r="FB6" s="1487"/>
      <c r="FC6" s="1487"/>
      <c r="FD6" s="1487"/>
      <c r="FE6" s="1487"/>
      <c r="FF6" s="1487"/>
      <c r="FG6" s="1487"/>
      <c r="FH6" s="1487"/>
      <c r="FI6" s="1487"/>
      <c r="FJ6" s="1487"/>
      <c r="FK6" s="1487"/>
      <c r="FL6" s="1487"/>
      <c r="FM6" s="1487"/>
      <c r="FN6" s="1487"/>
      <c r="FO6" s="1487"/>
      <c r="FP6" s="1487"/>
      <c r="FQ6" s="1487"/>
      <c r="FR6" s="1487"/>
      <c r="FS6" s="1487"/>
      <c r="FT6" s="1487"/>
      <c r="FU6" s="1487"/>
      <c r="FV6" s="1487"/>
    </row>
    <row r="7" spans="2:178" s="952" customFormat="1" ht="9.75" customHeight="1"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405"/>
      <c r="V7" s="1405"/>
      <c r="W7" s="1190"/>
      <c r="X7" s="1190"/>
      <c r="Y7" s="1190"/>
      <c r="Z7" s="1190"/>
      <c r="AA7" s="1190"/>
      <c r="AB7" s="1190"/>
      <c r="AC7" s="1190"/>
      <c r="AD7" s="1190"/>
      <c r="AE7" s="1190"/>
      <c r="AF7" s="1190"/>
      <c r="AG7" s="1190"/>
      <c r="AH7" s="1190"/>
      <c r="AI7" s="1190"/>
      <c r="AJ7" s="1190"/>
      <c r="AK7" s="1190"/>
      <c r="AL7" s="1190"/>
      <c r="AM7" s="1190"/>
      <c r="AN7" s="1190"/>
      <c r="AO7" s="1190"/>
      <c r="AP7" s="1190"/>
      <c r="AQ7" s="1190"/>
      <c r="AR7" s="1190"/>
      <c r="AS7" s="1190"/>
      <c r="AT7" s="1190"/>
      <c r="AU7" s="1190"/>
      <c r="AV7" s="1190"/>
      <c r="AW7" s="1190"/>
      <c r="AX7" s="1190"/>
      <c r="AY7" s="1190"/>
      <c r="AZ7" s="1190"/>
      <c r="BA7" s="1190"/>
      <c r="BB7" s="1190"/>
      <c r="BC7" s="1190"/>
      <c r="BD7" s="1190"/>
      <c r="BE7" s="1190"/>
      <c r="BF7" s="1190"/>
      <c r="BG7" s="1190"/>
      <c r="BH7" s="1190"/>
      <c r="BI7" s="1190"/>
      <c r="BJ7" s="1190"/>
      <c r="BK7" s="1190"/>
      <c r="BL7" s="1190"/>
      <c r="BM7" s="1190"/>
      <c r="BN7" s="1190"/>
      <c r="BO7" s="1190"/>
      <c r="BP7" s="1190"/>
      <c r="BQ7" s="1190"/>
      <c r="BR7" s="1190"/>
      <c r="BS7" s="1190"/>
      <c r="BT7" s="1190"/>
      <c r="BU7" s="1190"/>
      <c r="BV7" s="1190"/>
      <c r="BW7" s="1190"/>
      <c r="BX7" s="1190"/>
      <c r="BY7" s="1190"/>
      <c r="BZ7" s="1190"/>
      <c r="CA7" s="1190"/>
      <c r="CB7" s="1190"/>
      <c r="CC7" s="1190"/>
      <c r="CD7" s="1190"/>
      <c r="CE7" s="1190"/>
      <c r="CF7" s="1190"/>
      <c r="CG7" s="1190"/>
      <c r="CH7" s="1190"/>
      <c r="CI7" s="1190"/>
      <c r="CJ7" s="1190"/>
      <c r="CK7" s="1190"/>
      <c r="CL7" s="1190"/>
      <c r="CM7" s="1190"/>
      <c r="CN7" s="1190"/>
      <c r="CO7" s="1190"/>
      <c r="CP7" s="1190"/>
      <c r="CQ7" s="1190"/>
      <c r="CR7" s="1190"/>
      <c r="CS7" s="1190"/>
      <c r="CT7" s="1190"/>
      <c r="CU7" s="1190"/>
      <c r="CV7" s="1190"/>
      <c r="CW7" s="1190"/>
      <c r="CX7" s="1190"/>
      <c r="CY7" s="1190"/>
      <c r="CZ7" s="1190"/>
      <c r="DA7" s="1190"/>
      <c r="DB7" s="1190"/>
      <c r="DC7" s="1190"/>
      <c r="DD7" s="1190"/>
      <c r="DE7" s="1190"/>
      <c r="DF7" s="1190"/>
      <c r="DG7" s="1190"/>
      <c r="DH7" s="1190"/>
      <c r="DI7" s="1190"/>
      <c r="DJ7" s="1190"/>
      <c r="DK7" s="1190"/>
      <c r="DL7" s="1190"/>
      <c r="DM7" s="1190"/>
      <c r="DN7" s="1190"/>
      <c r="DO7" s="1190"/>
      <c r="DP7" s="1190"/>
      <c r="DQ7" s="1190"/>
      <c r="DR7" s="1190"/>
      <c r="DS7" s="1190"/>
      <c r="DT7" s="1190"/>
      <c r="DU7" s="1190"/>
      <c r="DV7" s="1190"/>
      <c r="DW7" s="1190"/>
      <c r="DX7" s="1190"/>
      <c r="DY7" s="1190"/>
      <c r="DZ7" s="1190"/>
      <c r="EA7" s="1190"/>
      <c r="EB7" s="1190"/>
      <c r="EC7" s="1190"/>
      <c r="ED7" s="1190"/>
      <c r="EE7" s="1190"/>
      <c r="EF7" s="1190"/>
      <c r="EG7" s="1190"/>
      <c r="EH7" s="1190"/>
      <c r="EI7" s="1190"/>
      <c r="EJ7" s="1190"/>
      <c r="EK7" s="1190"/>
      <c r="EL7" s="1190"/>
      <c r="EM7" s="1190"/>
      <c r="EN7" s="1190"/>
      <c r="EO7" s="1190"/>
      <c r="EP7" s="1190"/>
      <c r="EQ7" s="1190"/>
      <c r="ER7" s="1190"/>
      <c r="ES7" s="1190"/>
      <c r="ET7" s="1190"/>
      <c r="EU7" s="1190"/>
      <c r="EV7" s="1190"/>
      <c r="EW7" s="1190"/>
      <c r="EX7" s="1190"/>
      <c r="EY7" s="1190"/>
      <c r="EZ7" s="1190"/>
      <c r="FA7" s="1190"/>
      <c r="FB7" s="1190"/>
      <c r="FC7" s="1190"/>
      <c r="FD7" s="1190"/>
      <c r="FE7" s="1190"/>
      <c r="FF7" s="1190"/>
      <c r="FG7" s="1190"/>
      <c r="FH7" s="1190"/>
      <c r="FI7" s="1190"/>
      <c r="FJ7" s="1190"/>
      <c r="FK7" s="1190"/>
      <c r="FL7" s="1190"/>
      <c r="FM7" s="1190"/>
      <c r="FN7" s="1190"/>
      <c r="FO7" s="1190"/>
      <c r="FP7" s="1190"/>
      <c r="FQ7" s="1190"/>
      <c r="FR7" s="1190"/>
      <c r="FS7" s="1190"/>
      <c r="FT7" s="1190"/>
      <c r="FU7" s="1190"/>
      <c r="FV7" s="1190"/>
    </row>
    <row r="8" spans="2:178" s="1490" customFormat="1" ht="23.25">
      <c r="B8" s="1487" t="s">
        <v>1</v>
      </c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8"/>
      <c r="V8" s="1491"/>
      <c r="W8" s="1488"/>
      <c r="X8" s="1488"/>
      <c r="Y8" s="1488"/>
      <c r="Z8" s="1488"/>
      <c r="AA8" s="1488"/>
      <c r="AB8" s="1488"/>
      <c r="AC8" s="1488"/>
      <c r="AD8" s="1488"/>
      <c r="AE8" s="1488"/>
      <c r="AF8" s="1488"/>
      <c r="AG8" s="1488"/>
      <c r="AH8" s="1488"/>
      <c r="AI8" s="1488"/>
      <c r="AJ8" s="1488"/>
      <c r="AK8" s="1488"/>
      <c r="AL8" s="1488"/>
      <c r="AM8" s="1488"/>
      <c r="AN8" s="1488"/>
      <c r="AO8" s="1488"/>
      <c r="AP8" s="1488"/>
      <c r="AQ8" s="1488"/>
      <c r="AR8" s="1488"/>
      <c r="AS8" s="1488"/>
      <c r="AT8" s="1488"/>
      <c r="AU8" s="1488"/>
      <c r="AV8" s="1488"/>
      <c r="AW8" s="1488"/>
      <c r="AX8" s="1488"/>
      <c r="AY8" s="1488"/>
      <c r="AZ8" s="1488"/>
      <c r="BA8" s="1488"/>
      <c r="BB8" s="1488"/>
      <c r="BC8" s="1488"/>
      <c r="BD8" s="1488"/>
      <c r="BE8" s="1488"/>
      <c r="BF8" s="1488"/>
      <c r="BG8" s="1488"/>
      <c r="BH8" s="1488"/>
      <c r="BI8" s="1488"/>
      <c r="BJ8" s="1488"/>
      <c r="BK8" s="1488"/>
      <c r="BL8" s="1488"/>
      <c r="BM8" s="1488"/>
      <c r="BN8" s="1488"/>
      <c r="BO8" s="1488"/>
      <c r="BP8" s="1488"/>
      <c r="BQ8" s="1488"/>
      <c r="BR8" s="1488"/>
      <c r="BS8" s="1488"/>
      <c r="BT8" s="1488"/>
      <c r="BU8" s="1488"/>
      <c r="BV8" s="1488"/>
      <c r="BW8" s="1488"/>
      <c r="BX8" s="1488"/>
      <c r="BY8" s="1488"/>
      <c r="BZ8" s="1488"/>
      <c r="CA8" s="1488"/>
      <c r="CB8" s="1488"/>
      <c r="CC8" s="1488"/>
      <c r="CD8" s="1488"/>
      <c r="CE8" s="1488"/>
      <c r="CF8" s="1488"/>
      <c r="CG8" s="1488"/>
      <c r="CH8" s="1488"/>
      <c r="CI8" s="1488"/>
      <c r="CJ8" s="1488"/>
      <c r="CK8" s="1488"/>
      <c r="CL8" s="1488"/>
      <c r="CM8" s="1488"/>
      <c r="CN8" s="1488"/>
      <c r="CO8" s="1488"/>
      <c r="CP8" s="1488"/>
      <c r="CQ8" s="1488"/>
      <c r="CR8" s="1488"/>
      <c r="CS8" s="1488"/>
      <c r="CT8" s="1488"/>
      <c r="CU8" s="1488"/>
      <c r="CV8" s="1488"/>
      <c r="CW8" s="1488"/>
      <c r="CX8" s="1488"/>
      <c r="CY8" s="1488"/>
      <c r="CZ8" s="1488"/>
      <c r="DA8" s="1488"/>
      <c r="DB8" s="1488"/>
      <c r="DC8" s="1488"/>
      <c r="DD8" s="1488"/>
      <c r="DE8" s="1488"/>
      <c r="DF8" s="1488"/>
      <c r="DG8" s="1488"/>
      <c r="DH8" s="1488"/>
      <c r="DI8" s="1488"/>
      <c r="DJ8" s="1488"/>
      <c r="DK8" s="1488"/>
      <c r="DL8" s="1488"/>
      <c r="DM8" s="1488"/>
      <c r="DN8" s="1488"/>
      <c r="DO8" s="1488"/>
      <c r="DP8" s="1488"/>
      <c r="DQ8" s="1488"/>
      <c r="DR8" s="1488"/>
      <c r="DS8" s="1488"/>
      <c r="DT8" s="1488"/>
      <c r="DU8" s="1488"/>
      <c r="DV8" s="1488"/>
      <c r="DW8" s="1488"/>
      <c r="DX8" s="1488"/>
      <c r="DY8" s="1488"/>
      <c r="DZ8" s="1488"/>
      <c r="EA8" s="1488"/>
      <c r="EB8" s="1488"/>
      <c r="EC8" s="1488"/>
      <c r="ED8" s="1488"/>
      <c r="EE8" s="1488"/>
      <c r="EF8" s="1488"/>
      <c r="EG8" s="1488"/>
      <c r="EH8" s="1488"/>
      <c r="EI8" s="1488"/>
      <c r="EJ8" s="1488"/>
      <c r="EK8" s="1488"/>
      <c r="EL8" s="1488"/>
      <c r="EM8" s="1488"/>
      <c r="EN8" s="1488"/>
      <c r="EO8" s="1488"/>
      <c r="EP8" s="1488"/>
      <c r="EQ8" s="1488"/>
      <c r="ER8" s="1488"/>
      <c r="ES8" s="1488"/>
      <c r="ET8" s="1488"/>
      <c r="EU8" s="1488"/>
      <c r="EV8" s="1488"/>
      <c r="EW8" s="1488"/>
      <c r="EX8" s="1488"/>
      <c r="EY8" s="1488"/>
      <c r="EZ8" s="1488"/>
      <c r="FA8" s="1488"/>
      <c r="FB8" s="1488"/>
      <c r="FC8" s="1488"/>
      <c r="FD8" s="1488"/>
      <c r="FE8" s="1488"/>
      <c r="FF8" s="1488"/>
      <c r="FG8" s="1488"/>
      <c r="FH8" s="1488"/>
      <c r="FI8" s="1488"/>
      <c r="FJ8" s="1488"/>
      <c r="FK8" s="1488"/>
      <c r="FL8" s="1488"/>
      <c r="FM8" s="1488"/>
      <c r="FN8" s="1488"/>
      <c r="FO8" s="1488"/>
      <c r="FP8" s="1488"/>
      <c r="FQ8" s="1488"/>
      <c r="FR8" s="1488"/>
      <c r="FS8" s="1488"/>
      <c r="FT8" s="1488"/>
      <c r="FU8" s="1488"/>
      <c r="FV8" s="1488"/>
    </row>
    <row r="9" spans="2:178" s="952" customFormat="1" ht="9.75" customHeight="1">
      <c r="B9" s="1190"/>
      <c r="C9" s="1190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0"/>
      <c r="O9" s="1190"/>
      <c r="P9" s="1190"/>
      <c r="Q9" s="1190"/>
      <c r="R9" s="1190"/>
      <c r="S9" s="1190"/>
      <c r="T9" s="1190"/>
      <c r="U9" s="1405"/>
      <c r="V9" s="1405"/>
      <c r="W9" s="1190"/>
      <c r="X9" s="1190"/>
      <c r="Y9" s="1190"/>
      <c r="Z9" s="1190"/>
      <c r="AA9" s="1190"/>
      <c r="AB9" s="1190"/>
      <c r="AC9" s="1190"/>
      <c r="AD9" s="1190"/>
      <c r="AE9" s="1190"/>
      <c r="AF9" s="1190"/>
      <c r="AG9" s="1190"/>
      <c r="AH9" s="1190"/>
      <c r="AI9" s="1190"/>
      <c r="AJ9" s="1190"/>
      <c r="AK9" s="1190"/>
      <c r="AL9" s="1190"/>
      <c r="AM9" s="1190"/>
      <c r="AN9" s="1190"/>
      <c r="AO9" s="1190"/>
      <c r="AP9" s="1190"/>
      <c r="AQ9" s="1190"/>
      <c r="AR9" s="1190"/>
      <c r="AS9" s="1190"/>
      <c r="AT9" s="1190"/>
      <c r="AU9" s="1190"/>
      <c r="AV9" s="1190"/>
      <c r="AW9" s="1190"/>
      <c r="AX9" s="1190"/>
      <c r="AY9" s="1190"/>
      <c r="AZ9" s="1190"/>
      <c r="BA9" s="1190"/>
      <c r="BB9" s="1190"/>
      <c r="BC9" s="1190"/>
      <c r="BD9" s="1190"/>
      <c r="BE9" s="1190"/>
      <c r="BF9" s="1190"/>
      <c r="BG9" s="1190"/>
      <c r="BH9" s="1190"/>
      <c r="BI9" s="1190"/>
      <c r="BJ9" s="1190"/>
      <c r="BK9" s="1190"/>
      <c r="BL9" s="1190"/>
      <c r="BM9" s="1190"/>
      <c r="BN9" s="1190"/>
      <c r="BO9" s="1190"/>
      <c r="BP9" s="1190"/>
      <c r="BQ9" s="1190"/>
      <c r="BR9" s="1190"/>
      <c r="BS9" s="1190"/>
      <c r="BT9" s="1190"/>
      <c r="BU9" s="1190"/>
      <c r="BV9" s="1190"/>
      <c r="BW9" s="1190"/>
      <c r="BX9" s="1190"/>
      <c r="BY9" s="1190"/>
      <c r="BZ9" s="1190"/>
      <c r="CA9" s="1190"/>
      <c r="CB9" s="1190"/>
      <c r="CC9" s="1190"/>
      <c r="CD9" s="1190"/>
      <c r="CE9" s="1190"/>
      <c r="CF9" s="1190"/>
      <c r="CG9" s="1190"/>
      <c r="CH9" s="1190"/>
      <c r="CI9" s="1190"/>
      <c r="CJ9" s="1190"/>
      <c r="CK9" s="1190"/>
      <c r="CL9" s="1190"/>
      <c r="CM9" s="1190"/>
      <c r="CN9" s="1190"/>
      <c r="CO9" s="1190"/>
      <c r="CP9" s="1190"/>
      <c r="CQ9" s="1190"/>
      <c r="CR9" s="1190"/>
      <c r="CS9" s="1190"/>
      <c r="CT9" s="1190"/>
      <c r="CU9" s="1190"/>
      <c r="CV9" s="1190"/>
      <c r="CW9" s="1190"/>
      <c r="CX9" s="1190"/>
      <c r="CY9" s="1190"/>
      <c r="CZ9" s="1190"/>
      <c r="DA9" s="1190"/>
      <c r="DB9" s="1190"/>
      <c r="DC9" s="1190"/>
      <c r="DD9" s="1190"/>
      <c r="DE9" s="1190"/>
      <c r="DF9" s="1190"/>
      <c r="DG9" s="1190"/>
      <c r="DH9" s="1190"/>
      <c r="DI9" s="1190"/>
      <c r="DJ9" s="1190"/>
      <c r="DK9" s="1190"/>
      <c r="DL9" s="1190"/>
      <c r="DM9" s="1190"/>
      <c r="DN9" s="1190"/>
      <c r="DO9" s="1190"/>
      <c r="DP9" s="1190"/>
      <c r="DQ9" s="1190"/>
      <c r="DR9" s="1190"/>
      <c r="DS9" s="1190"/>
      <c r="DT9" s="1190"/>
      <c r="DU9" s="1190"/>
      <c r="DV9" s="1190"/>
      <c r="DW9" s="1190"/>
      <c r="DX9" s="1190"/>
      <c r="DY9" s="1190"/>
      <c r="DZ9" s="1190"/>
      <c r="EA9" s="1190"/>
      <c r="EB9" s="1190"/>
      <c r="EC9" s="1190"/>
      <c r="ED9" s="1190"/>
      <c r="EE9" s="1190"/>
      <c r="EF9" s="1190"/>
      <c r="EG9" s="1190"/>
      <c r="EH9" s="1190"/>
      <c r="EI9" s="1190"/>
      <c r="EJ9" s="1190"/>
      <c r="EK9" s="1190"/>
      <c r="EL9" s="1190"/>
      <c r="EM9" s="1190"/>
      <c r="EN9" s="1190"/>
      <c r="EO9" s="1190"/>
      <c r="EP9" s="1190"/>
      <c r="EQ9" s="1190"/>
      <c r="ER9" s="1190"/>
      <c r="ES9" s="1190"/>
      <c r="ET9" s="1190"/>
      <c r="EU9" s="1190"/>
      <c r="EV9" s="1190"/>
      <c r="EW9" s="1190"/>
      <c r="EX9" s="1190"/>
      <c r="EY9" s="1190"/>
      <c r="EZ9" s="1190"/>
      <c r="FA9" s="1190"/>
      <c r="FB9" s="1190"/>
      <c r="FC9" s="1190"/>
      <c r="FD9" s="1190"/>
      <c r="FE9" s="1190"/>
      <c r="FF9" s="1190"/>
      <c r="FG9" s="1190"/>
      <c r="FH9" s="1190"/>
      <c r="FI9" s="1190"/>
      <c r="FJ9" s="1190"/>
      <c r="FK9" s="1190"/>
      <c r="FL9" s="1190"/>
      <c r="FM9" s="1190"/>
      <c r="FN9" s="1190"/>
      <c r="FO9" s="1190"/>
      <c r="FP9" s="1190"/>
      <c r="FQ9" s="1190"/>
      <c r="FR9" s="1190"/>
      <c r="FS9" s="1190"/>
      <c r="FT9" s="1190"/>
      <c r="FU9" s="1190"/>
      <c r="FV9" s="1190"/>
    </row>
    <row r="10" spans="2:178" s="1490" customFormat="1" ht="23.25">
      <c r="B10" s="1487" t="s">
        <v>504</v>
      </c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91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88"/>
      <c r="AG10" s="1488"/>
      <c r="AH10" s="1488"/>
      <c r="AI10" s="1488"/>
      <c r="AJ10" s="1488"/>
      <c r="AK10" s="1488"/>
      <c r="AL10" s="1488"/>
      <c r="AM10" s="1488"/>
      <c r="AN10" s="1488"/>
      <c r="AO10" s="1488"/>
      <c r="AP10" s="1488"/>
      <c r="AQ10" s="1488"/>
      <c r="AR10" s="1488"/>
      <c r="AS10" s="1488"/>
      <c r="AT10" s="1488"/>
      <c r="AU10" s="1488"/>
      <c r="AV10" s="1488"/>
      <c r="AW10" s="1488"/>
      <c r="AX10" s="1488"/>
      <c r="AY10" s="1488"/>
      <c r="AZ10" s="1488"/>
      <c r="BA10" s="1488"/>
      <c r="BB10" s="1488"/>
      <c r="BC10" s="1488"/>
      <c r="BD10" s="1488"/>
      <c r="BE10" s="1488"/>
      <c r="BF10" s="1488"/>
      <c r="BG10" s="1488"/>
      <c r="BH10" s="1488"/>
      <c r="BI10" s="1488"/>
      <c r="BJ10" s="1488"/>
      <c r="BK10" s="1488"/>
      <c r="BL10" s="1488"/>
      <c r="BM10" s="1488"/>
      <c r="BN10" s="1488"/>
      <c r="BO10" s="1488"/>
      <c r="BP10" s="1488"/>
      <c r="BQ10" s="1488"/>
      <c r="BR10" s="1488"/>
      <c r="BS10" s="1488"/>
      <c r="BT10" s="1488"/>
      <c r="BU10" s="1488"/>
      <c r="BV10" s="1488"/>
      <c r="BW10" s="1488"/>
      <c r="BX10" s="1488"/>
      <c r="BY10" s="1488"/>
      <c r="BZ10" s="1488"/>
      <c r="CA10" s="1488"/>
      <c r="CB10" s="1488"/>
      <c r="CC10" s="1488"/>
      <c r="CD10" s="1488"/>
      <c r="CE10" s="1488"/>
      <c r="CF10" s="1488"/>
      <c r="CG10" s="1488"/>
      <c r="CH10" s="1488"/>
      <c r="CI10" s="1488"/>
      <c r="CJ10" s="1488"/>
      <c r="CK10" s="1488"/>
      <c r="CL10" s="1488"/>
      <c r="CM10" s="1488"/>
      <c r="CN10" s="1488"/>
      <c r="CO10" s="1488"/>
      <c r="CP10" s="1488"/>
      <c r="CQ10" s="1488"/>
      <c r="CR10" s="1488"/>
      <c r="CS10" s="1488"/>
      <c r="CT10" s="1488"/>
      <c r="CU10" s="1488"/>
      <c r="CV10" s="1488"/>
      <c r="CW10" s="1488"/>
      <c r="CX10" s="1488"/>
      <c r="CY10" s="1488"/>
      <c r="CZ10" s="1488"/>
      <c r="DA10" s="1488"/>
      <c r="DB10" s="1488"/>
      <c r="DC10" s="1488"/>
      <c r="DD10" s="1488"/>
      <c r="DE10" s="1488"/>
      <c r="DF10" s="1488"/>
      <c r="DG10" s="1488"/>
      <c r="DH10" s="1488"/>
      <c r="DI10" s="1488"/>
      <c r="DJ10" s="1488"/>
      <c r="DK10" s="1488"/>
      <c r="DL10" s="1488"/>
      <c r="DM10" s="1488"/>
      <c r="DN10" s="1488"/>
      <c r="DO10" s="1488"/>
      <c r="DP10" s="1488"/>
      <c r="DQ10" s="1488"/>
      <c r="DR10" s="1488"/>
      <c r="DS10" s="1488"/>
      <c r="DT10" s="1488"/>
      <c r="DU10" s="1488"/>
      <c r="DV10" s="1488"/>
      <c r="DW10" s="1488"/>
      <c r="DX10" s="1488"/>
      <c r="DY10" s="1488"/>
      <c r="DZ10" s="1488"/>
      <c r="EA10" s="1488"/>
      <c r="EB10" s="1488"/>
      <c r="EC10" s="1488"/>
      <c r="ED10" s="1488"/>
      <c r="EE10" s="1488"/>
      <c r="EF10" s="1488"/>
      <c r="EG10" s="1488"/>
      <c r="EH10" s="1488"/>
      <c r="EI10" s="1488"/>
      <c r="EJ10" s="1488"/>
      <c r="EK10" s="1488"/>
      <c r="EL10" s="1488"/>
      <c r="EM10" s="1488"/>
      <c r="EN10" s="1488"/>
      <c r="EO10" s="1488"/>
      <c r="EP10" s="1488"/>
      <c r="EQ10" s="1488"/>
      <c r="ER10" s="1488"/>
      <c r="ES10" s="1488"/>
      <c r="ET10" s="1488"/>
      <c r="EU10" s="1488"/>
      <c r="EV10" s="1488"/>
      <c r="EW10" s="1488"/>
      <c r="EX10" s="1488"/>
      <c r="EY10" s="1488"/>
      <c r="EZ10" s="1488"/>
      <c r="FA10" s="1488"/>
      <c r="FB10" s="1488"/>
      <c r="FC10" s="1488"/>
      <c r="FD10" s="1488"/>
      <c r="FE10" s="1488"/>
      <c r="FF10" s="1488"/>
      <c r="FG10" s="1488"/>
      <c r="FH10" s="1488"/>
      <c r="FI10" s="1488"/>
      <c r="FJ10" s="1488"/>
      <c r="FK10" s="1488"/>
      <c r="FL10" s="1488"/>
      <c r="FM10" s="1488"/>
      <c r="FN10" s="1488"/>
      <c r="FO10" s="1488"/>
      <c r="FP10" s="1488"/>
      <c r="FQ10" s="1488"/>
      <c r="FR10" s="1488"/>
      <c r="FS10" s="1488"/>
      <c r="FT10" s="1488"/>
      <c r="FU10" s="1488"/>
      <c r="FV10" s="1488"/>
    </row>
    <row r="11" spans="2:178" s="952" customFormat="1" ht="9.75" customHeight="1" thickBot="1"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405"/>
      <c r="V11" s="1405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0"/>
      <c r="AG11" s="1190"/>
      <c r="AH11" s="1190"/>
      <c r="AI11" s="1190"/>
      <c r="AJ11" s="1190"/>
      <c r="AK11" s="1190"/>
      <c r="AL11" s="1190"/>
      <c r="AM11" s="1190"/>
      <c r="AN11" s="1190"/>
      <c r="AO11" s="1190"/>
      <c r="AP11" s="1190"/>
      <c r="AQ11" s="1190"/>
      <c r="AR11" s="1190"/>
      <c r="AS11" s="1190"/>
      <c r="AT11" s="1190"/>
      <c r="AU11" s="1190"/>
      <c r="AV11" s="1190"/>
      <c r="AW11" s="1190"/>
      <c r="AX11" s="1190"/>
      <c r="AY11" s="1190"/>
      <c r="AZ11" s="1190"/>
      <c r="BA11" s="1190"/>
      <c r="BB11" s="1190"/>
      <c r="BC11" s="1190"/>
      <c r="BD11" s="1190"/>
      <c r="BE11" s="1190"/>
      <c r="BF11" s="1190"/>
      <c r="BG11" s="1190"/>
      <c r="BH11" s="1190"/>
      <c r="BI11" s="1190"/>
      <c r="BJ11" s="1190"/>
      <c r="BK11" s="1190"/>
      <c r="BL11" s="1190"/>
      <c r="BM11" s="1190"/>
      <c r="BN11" s="1190"/>
      <c r="BO11" s="1190"/>
      <c r="BP11" s="1190"/>
      <c r="BQ11" s="1190"/>
      <c r="BR11" s="1190"/>
      <c r="BS11" s="1190"/>
      <c r="BT11" s="1190"/>
      <c r="BU11" s="1190"/>
      <c r="BV11" s="1190"/>
      <c r="BW11" s="1190"/>
      <c r="BX11" s="1190"/>
      <c r="BY11" s="1190"/>
      <c r="BZ11" s="1190"/>
      <c r="CA11" s="1190"/>
      <c r="CB11" s="1190"/>
      <c r="CC11" s="1190"/>
      <c r="CD11" s="1190"/>
      <c r="CE11" s="1190"/>
      <c r="CF11" s="1190"/>
      <c r="CG11" s="1190"/>
      <c r="CH11" s="1190"/>
      <c r="CI11" s="1190"/>
      <c r="CJ11" s="1190"/>
      <c r="CK11" s="1190"/>
      <c r="CL11" s="1190"/>
      <c r="CM11" s="1190"/>
      <c r="CN11" s="1190"/>
      <c r="CO11" s="1190"/>
      <c r="CP11" s="1190"/>
      <c r="CQ11" s="1190"/>
      <c r="CR11" s="1190"/>
      <c r="CS11" s="1190"/>
      <c r="CT11" s="1190"/>
      <c r="CU11" s="1190"/>
      <c r="CV11" s="1190"/>
      <c r="CW11" s="1190"/>
      <c r="CX11" s="1190"/>
      <c r="CY11" s="1190"/>
      <c r="CZ11" s="1190"/>
      <c r="DA11" s="1190"/>
      <c r="DB11" s="1190"/>
      <c r="DC11" s="1190"/>
      <c r="DD11" s="1190"/>
      <c r="DE11" s="1190"/>
      <c r="DF11" s="1190"/>
      <c r="DG11" s="1190"/>
      <c r="DH11" s="1190"/>
      <c r="DI11" s="1190"/>
      <c r="DJ11" s="1190"/>
      <c r="DK11" s="1190"/>
      <c r="DL11" s="1190"/>
      <c r="DM11" s="1190"/>
      <c r="DN11" s="1190"/>
      <c r="DO11" s="1190"/>
      <c r="DP11" s="1190"/>
      <c r="DQ11" s="1190"/>
      <c r="DR11" s="1190"/>
      <c r="DS11" s="1190"/>
      <c r="DT11" s="1190"/>
      <c r="DU11" s="1190"/>
      <c r="DV11" s="1190"/>
      <c r="DW11" s="1190"/>
      <c r="DX11" s="1190"/>
      <c r="DY11" s="1190"/>
      <c r="DZ11" s="1190"/>
      <c r="EA11" s="1190"/>
      <c r="EB11" s="1190"/>
      <c r="EC11" s="1190"/>
      <c r="ED11" s="1190"/>
      <c r="EE11" s="1190"/>
      <c r="EF11" s="1190"/>
      <c r="EG11" s="1190"/>
      <c r="EH11" s="1190"/>
      <c r="EI11" s="1190"/>
      <c r="EJ11" s="1190"/>
      <c r="EK11" s="1190"/>
      <c r="EL11" s="1190"/>
      <c r="EM11" s="1190"/>
      <c r="EN11" s="1190"/>
      <c r="EO11" s="1190"/>
      <c r="EP11" s="1190"/>
      <c r="EQ11" s="1190"/>
      <c r="ER11" s="1190"/>
      <c r="ES11" s="1190"/>
      <c r="ET11" s="1190"/>
      <c r="EU11" s="1190"/>
      <c r="EV11" s="1190"/>
      <c r="EW11" s="1190"/>
      <c r="EX11" s="1190"/>
      <c r="EY11" s="1190"/>
      <c r="EZ11" s="1190"/>
      <c r="FA11" s="1190"/>
      <c r="FB11" s="1190"/>
      <c r="FC11" s="1190"/>
      <c r="FD11" s="1190"/>
      <c r="FE11" s="1190"/>
      <c r="FF11" s="1190"/>
      <c r="FG11" s="1190"/>
      <c r="FH11" s="1190"/>
      <c r="FI11" s="1190"/>
      <c r="FJ11" s="1190"/>
      <c r="FK11" s="1190"/>
      <c r="FL11" s="1190"/>
      <c r="FM11" s="1190"/>
      <c r="FN11" s="1190"/>
      <c r="FO11" s="1190"/>
      <c r="FP11" s="1190"/>
      <c r="FQ11" s="1190"/>
      <c r="FR11" s="1190"/>
      <c r="FS11" s="1190"/>
      <c r="FT11" s="1190"/>
      <c r="FU11" s="1190"/>
      <c r="FV11" s="1190"/>
    </row>
    <row r="12" spans="2:177" s="952" customFormat="1" ht="9.75" customHeight="1" thickTop="1">
      <c r="B12" s="1492"/>
      <c r="C12" s="1493"/>
      <c r="D12" s="1493"/>
      <c r="E12" s="1493"/>
      <c r="F12" s="1493"/>
      <c r="G12" s="1493"/>
      <c r="H12" s="1493"/>
      <c r="I12" s="1493"/>
      <c r="J12" s="1493"/>
      <c r="K12" s="1493"/>
      <c r="L12" s="1493"/>
      <c r="M12" s="1493"/>
      <c r="N12" s="1493"/>
      <c r="O12" s="1493"/>
      <c r="P12" s="1493"/>
      <c r="Q12" s="1493"/>
      <c r="R12" s="1493"/>
      <c r="S12" s="1493"/>
      <c r="T12" s="1493"/>
      <c r="U12" s="1494"/>
      <c r="V12" s="1190"/>
      <c r="W12" s="1190"/>
      <c r="X12" s="1190"/>
      <c r="Y12" s="1190"/>
      <c r="Z12" s="1190"/>
      <c r="AA12" s="1190"/>
      <c r="AB12" s="1190"/>
      <c r="AC12" s="1190"/>
      <c r="AD12" s="1190"/>
      <c r="AE12" s="1190"/>
      <c r="AF12" s="1190"/>
      <c r="AG12" s="1190"/>
      <c r="AH12" s="1190"/>
      <c r="AI12" s="1190"/>
      <c r="AJ12" s="1190"/>
      <c r="AK12" s="1190"/>
      <c r="AL12" s="1190"/>
      <c r="AM12" s="1190"/>
      <c r="AN12" s="1190"/>
      <c r="AO12" s="1190"/>
      <c r="AP12" s="1190"/>
      <c r="AQ12" s="1190"/>
      <c r="AR12" s="1190"/>
      <c r="AS12" s="1190"/>
      <c r="AT12" s="1190"/>
      <c r="AU12" s="1190"/>
      <c r="AV12" s="1190"/>
      <c r="AW12" s="1190"/>
      <c r="AX12" s="1190"/>
      <c r="AY12" s="1190"/>
      <c r="AZ12" s="1190"/>
      <c r="BA12" s="1190"/>
      <c r="BB12" s="1190"/>
      <c r="BC12" s="1190"/>
      <c r="BD12" s="1190"/>
      <c r="BE12" s="1190"/>
      <c r="BF12" s="1190"/>
      <c r="BG12" s="1190"/>
      <c r="BH12" s="1190"/>
      <c r="BI12" s="1190"/>
      <c r="BJ12" s="1190"/>
      <c r="BK12" s="1190"/>
      <c r="BL12" s="1190"/>
      <c r="BM12" s="1190"/>
      <c r="BN12" s="1190"/>
      <c r="BO12" s="1190"/>
      <c r="BP12" s="1190"/>
      <c r="BQ12" s="1190"/>
      <c r="BR12" s="1190"/>
      <c r="BS12" s="1190"/>
      <c r="BT12" s="1190"/>
      <c r="BU12" s="1190"/>
      <c r="BV12" s="1190"/>
      <c r="BW12" s="1190"/>
      <c r="BX12" s="1190"/>
      <c r="BY12" s="1190"/>
      <c r="BZ12" s="1190"/>
      <c r="CA12" s="1190"/>
      <c r="CB12" s="1190"/>
      <c r="CC12" s="1190"/>
      <c r="CD12" s="1190"/>
      <c r="CE12" s="1190"/>
      <c r="CF12" s="1190"/>
      <c r="CG12" s="1190"/>
      <c r="CH12" s="1190"/>
      <c r="CI12" s="1190"/>
      <c r="CJ12" s="1190"/>
      <c r="CK12" s="1190"/>
      <c r="CL12" s="1190"/>
      <c r="CM12" s="1190"/>
      <c r="CN12" s="1190"/>
      <c r="CO12" s="1190"/>
      <c r="CP12" s="1190"/>
      <c r="CQ12" s="1190"/>
      <c r="CR12" s="1190"/>
      <c r="CS12" s="1190"/>
      <c r="CT12" s="1190"/>
      <c r="CU12" s="1190"/>
      <c r="CV12" s="1190"/>
      <c r="CW12" s="1190"/>
      <c r="CX12" s="1190"/>
      <c r="CY12" s="1190"/>
      <c r="CZ12" s="1190"/>
      <c r="DA12" s="1190"/>
      <c r="DB12" s="1190"/>
      <c r="DC12" s="1190"/>
      <c r="DD12" s="1190"/>
      <c r="DE12" s="1190"/>
      <c r="DF12" s="1190"/>
      <c r="DG12" s="1190"/>
      <c r="DH12" s="1190"/>
      <c r="DI12" s="1190"/>
      <c r="DJ12" s="1190"/>
      <c r="DK12" s="1190"/>
      <c r="DL12" s="1190"/>
      <c r="DM12" s="1190"/>
      <c r="DN12" s="1190"/>
      <c r="DO12" s="1190"/>
      <c r="DP12" s="1190"/>
      <c r="DQ12" s="1190"/>
      <c r="DR12" s="1190"/>
      <c r="DS12" s="1190"/>
      <c r="DT12" s="1190"/>
      <c r="DU12" s="1190"/>
      <c r="DV12" s="1190"/>
      <c r="DW12" s="1190"/>
      <c r="DX12" s="1190"/>
      <c r="DY12" s="1190"/>
      <c r="DZ12" s="1190"/>
      <c r="EA12" s="1190"/>
      <c r="EB12" s="1190"/>
      <c r="EC12" s="1190"/>
      <c r="ED12" s="1190"/>
      <c r="EE12" s="1190"/>
      <c r="EF12" s="1190"/>
      <c r="EG12" s="1190"/>
      <c r="EH12" s="1190"/>
      <c r="EI12" s="1190"/>
      <c r="EJ12" s="1190"/>
      <c r="EK12" s="1190"/>
      <c r="EL12" s="1190"/>
      <c r="EM12" s="1190"/>
      <c r="EN12" s="1190"/>
      <c r="EO12" s="1190"/>
      <c r="EP12" s="1190"/>
      <c r="EQ12" s="1190"/>
      <c r="ER12" s="1190"/>
      <c r="ES12" s="1190"/>
      <c r="ET12" s="1190"/>
      <c r="EU12" s="1190"/>
      <c r="EV12" s="1190"/>
      <c r="EW12" s="1190"/>
      <c r="EX12" s="1190"/>
      <c r="EY12" s="1190"/>
      <c r="EZ12" s="1190"/>
      <c r="FA12" s="1190"/>
      <c r="FB12" s="1190"/>
      <c r="FC12" s="1190"/>
      <c r="FD12" s="1190"/>
      <c r="FE12" s="1190"/>
      <c r="FF12" s="1190"/>
      <c r="FG12" s="1190"/>
      <c r="FH12" s="1190"/>
      <c r="FI12" s="1190"/>
      <c r="FJ12" s="1190"/>
      <c r="FK12" s="1190"/>
      <c r="FL12" s="1190"/>
      <c r="FM12" s="1190"/>
      <c r="FN12" s="1190"/>
      <c r="FO12" s="1190"/>
      <c r="FP12" s="1190"/>
      <c r="FQ12" s="1190"/>
      <c r="FR12" s="1190"/>
      <c r="FS12" s="1190"/>
      <c r="FT12" s="1190"/>
      <c r="FU12" s="1190"/>
    </row>
    <row r="13" spans="2:177" s="952" customFormat="1" ht="19.5">
      <c r="B13" s="938" t="s">
        <v>511</v>
      </c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6"/>
      <c r="V13" s="1190"/>
      <c r="W13" s="1190"/>
      <c r="X13" s="1190"/>
      <c r="Y13" s="1190"/>
      <c r="Z13" s="1190"/>
      <c r="AA13" s="1190"/>
      <c r="AB13" s="1190"/>
      <c r="AC13" s="1190"/>
      <c r="AD13" s="1190"/>
      <c r="AE13" s="1190"/>
      <c r="AF13" s="1190"/>
      <c r="AG13" s="1190"/>
      <c r="AH13" s="1190"/>
      <c r="AI13" s="1190"/>
      <c r="AJ13" s="1190"/>
      <c r="AK13" s="1190"/>
      <c r="AL13" s="1190"/>
      <c r="AM13" s="1190"/>
      <c r="AN13" s="1190"/>
      <c r="AO13" s="1190"/>
      <c r="AP13" s="1190"/>
      <c r="AQ13" s="1190"/>
      <c r="AR13" s="1190"/>
      <c r="AS13" s="1190"/>
      <c r="AT13" s="1190"/>
      <c r="AU13" s="1190"/>
      <c r="AV13" s="1190"/>
      <c r="AW13" s="1190"/>
      <c r="AX13" s="1190"/>
      <c r="AY13" s="1190"/>
      <c r="AZ13" s="1190"/>
      <c r="BA13" s="1190"/>
      <c r="BB13" s="1190"/>
      <c r="BC13" s="1190"/>
      <c r="BD13" s="1190"/>
      <c r="BE13" s="1190"/>
      <c r="BF13" s="1190"/>
      <c r="BG13" s="1190"/>
      <c r="BH13" s="1190"/>
      <c r="BI13" s="1190"/>
      <c r="BJ13" s="1190"/>
      <c r="BK13" s="1190"/>
      <c r="BL13" s="1190"/>
      <c r="BM13" s="1190"/>
      <c r="BN13" s="1190"/>
      <c r="BO13" s="1190"/>
      <c r="BP13" s="1190"/>
      <c r="BQ13" s="1190"/>
      <c r="BR13" s="1190"/>
      <c r="BS13" s="1190"/>
      <c r="BT13" s="1190"/>
      <c r="BU13" s="1190"/>
      <c r="BV13" s="1190"/>
      <c r="BW13" s="1190"/>
      <c r="BX13" s="1190"/>
      <c r="BY13" s="1190"/>
      <c r="BZ13" s="1190"/>
      <c r="CA13" s="1190"/>
      <c r="CB13" s="1190"/>
      <c r="CC13" s="1190"/>
      <c r="CD13" s="1190"/>
      <c r="CE13" s="1190"/>
      <c r="CF13" s="1190"/>
      <c r="CG13" s="1190"/>
      <c r="CH13" s="1190"/>
      <c r="CI13" s="1190"/>
      <c r="CJ13" s="1190"/>
      <c r="CK13" s="1190"/>
      <c r="CL13" s="1190"/>
      <c r="CM13" s="1190"/>
      <c r="CN13" s="1190"/>
      <c r="CO13" s="1190"/>
      <c r="CP13" s="1190"/>
      <c r="CQ13" s="1190"/>
      <c r="CR13" s="1190"/>
      <c r="CS13" s="1190"/>
      <c r="CT13" s="1190"/>
      <c r="CU13" s="1190"/>
      <c r="CV13" s="1190"/>
      <c r="CW13" s="1190"/>
      <c r="CX13" s="1190"/>
      <c r="CY13" s="1190"/>
      <c r="CZ13" s="1190"/>
      <c r="DA13" s="1190"/>
      <c r="DB13" s="1190"/>
      <c r="DC13" s="1190"/>
      <c r="DD13" s="1190"/>
      <c r="DE13" s="1190"/>
      <c r="DF13" s="1190"/>
      <c r="DG13" s="1190"/>
      <c r="DH13" s="1190"/>
      <c r="DI13" s="1190"/>
      <c r="DJ13" s="1190"/>
      <c r="DK13" s="1190"/>
      <c r="DL13" s="1190"/>
      <c r="DM13" s="1190"/>
      <c r="DN13" s="1190"/>
      <c r="DO13" s="1190"/>
      <c r="DP13" s="1190"/>
      <c r="DQ13" s="1190"/>
      <c r="DR13" s="1190"/>
      <c r="DS13" s="1190"/>
      <c r="DT13" s="1190"/>
      <c r="DU13" s="1190"/>
      <c r="DV13" s="1190"/>
      <c r="DW13" s="1190"/>
      <c r="DX13" s="1190"/>
      <c r="DY13" s="1190"/>
      <c r="DZ13" s="1190"/>
      <c r="EA13" s="1190"/>
      <c r="EB13" s="1190"/>
      <c r="EC13" s="1190"/>
      <c r="ED13" s="1190"/>
      <c r="EE13" s="1190"/>
      <c r="EF13" s="1190"/>
      <c r="EG13" s="1190"/>
      <c r="EH13" s="1190"/>
      <c r="EI13" s="1190"/>
      <c r="EJ13" s="1190"/>
      <c r="EK13" s="1190"/>
      <c r="EL13" s="1190"/>
      <c r="EM13" s="1190"/>
      <c r="EN13" s="1190"/>
      <c r="EO13" s="1190"/>
      <c r="EP13" s="1190"/>
      <c r="EQ13" s="1190"/>
      <c r="ER13" s="1190"/>
      <c r="ES13" s="1190"/>
      <c r="ET13" s="1190"/>
      <c r="EU13" s="1190"/>
      <c r="EV13" s="1190"/>
      <c r="EW13" s="1190"/>
      <c r="EX13" s="1190"/>
      <c r="EY13" s="1190"/>
      <c r="EZ13" s="1190"/>
      <c r="FA13" s="1190"/>
      <c r="FB13" s="1190"/>
      <c r="FC13" s="1190"/>
      <c r="FD13" s="1190"/>
      <c r="FE13" s="1190"/>
      <c r="FF13" s="1190"/>
      <c r="FG13" s="1190"/>
      <c r="FH13" s="1190"/>
      <c r="FI13" s="1190"/>
      <c r="FJ13" s="1190"/>
      <c r="FK13" s="1190"/>
      <c r="FL13" s="1190"/>
      <c r="FM13" s="1190"/>
      <c r="FN13" s="1190"/>
      <c r="FO13" s="1190"/>
      <c r="FP13" s="1190"/>
      <c r="FQ13" s="1190"/>
      <c r="FR13" s="1190"/>
      <c r="FS13" s="1190"/>
      <c r="FT13" s="1190"/>
      <c r="FU13" s="1190"/>
    </row>
    <row r="14" spans="2:21" s="952" customFormat="1" ht="9.75" customHeight="1" thickBot="1">
      <c r="B14" s="953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1497"/>
    </row>
    <row r="15" spans="2:21" s="1498" customFormat="1" ht="33.75" customHeight="1" thickBot="1" thickTop="1">
      <c r="B15" s="1499"/>
      <c r="C15" s="976"/>
      <c r="D15" s="976" t="s">
        <v>5</v>
      </c>
      <c r="E15" s="1094" t="s">
        <v>29</v>
      </c>
      <c r="F15" s="1094" t="s">
        <v>30</v>
      </c>
      <c r="G15" s="1500" t="s">
        <v>505</v>
      </c>
      <c r="H15" s="1500">
        <v>41000</v>
      </c>
      <c r="I15" s="1500">
        <v>41030</v>
      </c>
      <c r="J15" s="1500">
        <v>41061</v>
      </c>
      <c r="K15" s="1500">
        <v>41091</v>
      </c>
      <c r="L15" s="1500">
        <v>41122</v>
      </c>
      <c r="M15" s="1500">
        <v>41153</v>
      </c>
      <c r="N15" s="1500">
        <v>41183</v>
      </c>
      <c r="O15" s="1500">
        <v>41214</v>
      </c>
      <c r="P15" s="1500">
        <v>41244</v>
      </c>
      <c r="Q15" s="1500">
        <v>41275</v>
      </c>
      <c r="R15" s="1500">
        <v>41306</v>
      </c>
      <c r="S15" s="1500">
        <v>41334</v>
      </c>
      <c r="T15" s="1500">
        <v>41365</v>
      </c>
      <c r="U15" s="1501"/>
    </row>
    <row r="16" spans="2:21" s="1502" customFormat="1" ht="9.75" customHeight="1" thickTop="1">
      <c r="B16" s="1503"/>
      <c r="C16" s="1504"/>
      <c r="D16" s="1505"/>
      <c r="E16" s="1505"/>
      <c r="F16" s="1505"/>
      <c r="G16" s="1505"/>
      <c r="H16" s="1506"/>
      <c r="I16" s="1506"/>
      <c r="J16" s="1506"/>
      <c r="K16" s="1506"/>
      <c r="L16" s="1506"/>
      <c r="M16" s="1506"/>
      <c r="N16" s="1506"/>
      <c r="O16" s="1506"/>
      <c r="P16" s="1506"/>
      <c r="Q16" s="1506"/>
      <c r="R16" s="1506"/>
      <c r="S16" s="1506"/>
      <c r="T16" s="1507"/>
      <c r="U16" s="1508"/>
    </row>
    <row r="17" spans="2:21" s="1502" customFormat="1" ht="19.5" customHeight="1">
      <c r="B17" s="1503"/>
      <c r="C17" s="1509">
        <f>IF('[2]BASE'!C17=0,"",'[2]BASE'!C17)</f>
        <v>1</v>
      </c>
      <c r="D17" s="1509" t="str">
        <f>IF('[2]BASE'!D17=0,"",'[2]BASE'!D17)</f>
        <v>ABASTO - OLAVARRIA 1</v>
      </c>
      <c r="E17" s="1509">
        <f>IF('[2]BASE'!E17=0,"",'[2]BASE'!E17)</f>
        <v>500</v>
      </c>
      <c r="F17" s="1509">
        <f>IF('[2]BASE'!F17=0,"",'[2]BASE'!F17)</f>
        <v>291</v>
      </c>
      <c r="G17" s="1509" t="str">
        <f>IF('[3]BASE'!G17=0,"",'[3]BASE'!G17)</f>
        <v>B</v>
      </c>
      <c r="H17" s="1510">
        <f>IF('[2]BASE'!HT17=0,"",'[2]BASE'!HT17)</f>
      </c>
      <c r="I17" s="1510">
        <f>IF('[2]BASE'!HU17=0,"",'[2]BASE'!HU17)</f>
      </c>
      <c r="J17" s="1510">
        <f>IF('[2]BASE'!HV17=0,"",'[2]BASE'!HV17)</f>
      </c>
      <c r="K17" s="1510">
        <f>IF('[2]BASE'!HW17=0,"",'[2]BASE'!HW17)</f>
      </c>
      <c r="L17" s="1510">
        <f>IF('[2]BASE'!HX17=0,"",'[2]BASE'!HX17)</f>
      </c>
      <c r="M17" s="1510">
        <f>IF('[2]BASE'!HY17=0,"",'[2]BASE'!HY17)</f>
      </c>
      <c r="N17" s="1510">
        <f>IF('[2]BASE'!HZ17=0,"",'[2]BASE'!HZ17)</f>
      </c>
      <c r="O17" s="1510">
        <f>IF('[2]BASE'!IA17=0,"",'[2]BASE'!IA17)</f>
      </c>
      <c r="P17" s="1510">
        <f>IF('[2]BASE'!IB17=0,"",'[2]BASE'!IB17)</f>
      </c>
      <c r="Q17" s="1510">
        <f>IF('[2]BASE'!IC17=0,"",'[2]BASE'!IC17)</f>
      </c>
      <c r="R17" s="1510">
        <f>IF('[2]BASE'!ID17=0,"",'[2]BASE'!ID17)</f>
      </c>
      <c r="S17" s="1510">
        <f>IF('[2]BASE'!IE17=0,"",'[2]BASE'!IE17)</f>
      </c>
      <c r="T17" s="1511"/>
      <c r="U17" s="1508"/>
    </row>
    <row r="18" spans="2:21" s="1502" customFormat="1" ht="19.5" customHeight="1">
      <c r="B18" s="1503"/>
      <c r="C18" s="1509">
        <f>IF('[2]BASE'!C18=0,"",'[2]BASE'!C18)</f>
        <v>2</v>
      </c>
      <c r="D18" s="1509" t="str">
        <f>IF('[2]BASE'!D18=0,"",'[2]BASE'!D18)</f>
        <v>ABASTO - OLAVARRIA 2</v>
      </c>
      <c r="E18" s="1509">
        <f>IF('[2]BASE'!E18=0,"",'[2]BASE'!E18)</f>
        <v>500</v>
      </c>
      <c r="F18" s="1509">
        <f>IF('[2]BASE'!F18=0,"",'[2]BASE'!F18)</f>
        <v>301.9</v>
      </c>
      <c r="G18" s="1509" t="e">
        <f>IF('[3]BASE'!G18=0,"",'[3]BASE'!G18)</f>
        <v>#REF!</v>
      </c>
      <c r="H18" s="1510">
        <f>IF('[2]BASE'!HT18=0,"",'[2]BASE'!HT18)</f>
      </c>
      <c r="I18" s="1510">
        <f>IF('[2]BASE'!HU18=0,"",'[2]BASE'!HU18)</f>
      </c>
      <c r="J18" s="1510">
        <f>IF('[2]BASE'!HV18=0,"",'[2]BASE'!HV18)</f>
      </c>
      <c r="K18" s="1510">
        <f>IF('[2]BASE'!HW18=0,"",'[2]BASE'!HW18)</f>
      </c>
      <c r="L18" s="1510">
        <f>IF('[2]BASE'!HX18=0,"",'[2]BASE'!HX18)</f>
      </c>
      <c r="M18" s="1510">
        <f>IF('[2]BASE'!HY18=0,"",'[2]BASE'!HY18)</f>
      </c>
      <c r="N18" s="1510">
        <f>IF('[2]BASE'!HZ18=0,"",'[2]BASE'!HZ18)</f>
      </c>
      <c r="O18" s="1510">
        <f>IF('[2]BASE'!IA18=0,"",'[2]BASE'!IA18)</f>
      </c>
      <c r="P18" s="1510">
        <f>IF('[2]BASE'!IB18=0,"",'[2]BASE'!IB18)</f>
      </c>
      <c r="Q18" s="1510">
        <f>IF('[2]BASE'!IC18=0,"",'[2]BASE'!IC18)</f>
      </c>
      <c r="R18" s="1510">
        <f>IF('[2]BASE'!ID18=0,"",'[2]BASE'!ID18)</f>
      </c>
      <c r="S18" s="1510">
        <f>IF('[2]BASE'!IE18=0,"",'[2]BASE'!IE18)</f>
      </c>
      <c r="T18" s="1511"/>
      <c r="U18" s="1508"/>
    </row>
    <row r="19" spans="2:21" s="1502" customFormat="1" ht="19.5" customHeight="1">
      <c r="B19" s="1503"/>
      <c r="C19" s="1509">
        <f>IF('[2]BASE'!C19=0,"",'[2]BASE'!C19)</f>
        <v>3</v>
      </c>
      <c r="D19" s="1509" t="str">
        <f>IF('[2]BASE'!D19=0,"",'[2]BASE'!D19)</f>
        <v>AGUA DEL CAJON - CHOCON OESTE</v>
      </c>
      <c r="E19" s="1509">
        <f>IF('[2]BASE'!E19=0,"",'[2]BASE'!E19)</f>
        <v>500</v>
      </c>
      <c r="F19" s="1509">
        <f>IF('[2]BASE'!F19=0,"",'[2]BASE'!F19)</f>
        <v>52</v>
      </c>
      <c r="G19" s="1509" t="e">
        <f>IF('[3]BASE'!G19=0,"",'[3]BASE'!G19)</f>
        <v>#REF!</v>
      </c>
      <c r="H19" s="1510">
        <f>IF('[2]BASE'!HT19=0,"",'[2]BASE'!HT19)</f>
      </c>
      <c r="I19" s="1510">
        <f>IF('[2]BASE'!HU19=0,"",'[2]BASE'!HU19)</f>
      </c>
      <c r="J19" s="1510">
        <f>IF('[2]BASE'!HV19=0,"",'[2]BASE'!HV19)</f>
      </c>
      <c r="K19" s="1510">
        <f>IF('[2]BASE'!HW19=0,"",'[2]BASE'!HW19)</f>
      </c>
      <c r="L19" s="1510">
        <f>IF('[2]BASE'!HX19=0,"",'[2]BASE'!HX19)</f>
      </c>
      <c r="M19" s="1510">
        <f>IF('[2]BASE'!HY19=0,"",'[2]BASE'!HY19)</f>
      </c>
      <c r="N19" s="1510">
        <f>IF('[2]BASE'!HZ19=0,"",'[2]BASE'!HZ19)</f>
      </c>
      <c r="O19" s="1510">
        <f>IF('[2]BASE'!IA19=0,"",'[2]BASE'!IA19)</f>
      </c>
      <c r="P19" s="1510">
        <f>IF('[2]BASE'!IB19=0,"",'[2]BASE'!IB19)</f>
      </c>
      <c r="Q19" s="1510">
        <f>IF('[2]BASE'!IC19=0,"",'[2]BASE'!IC19)</f>
      </c>
      <c r="R19" s="1510">
        <f>IF('[2]BASE'!ID19=0,"",'[2]BASE'!ID19)</f>
      </c>
      <c r="S19" s="1510">
        <f>IF('[2]BASE'!IE19=0,"",'[2]BASE'!IE19)</f>
      </c>
      <c r="T19" s="1511"/>
      <c r="U19" s="1508"/>
    </row>
    <row r="20" spans="2:21" s="1502" customFormat="1" ht="19.5" customHeight="1">
      <c r="B20" s="1503"/>
      <c r="C20" s="1509">
        <f>IF('[2]BASE'!C20=0,"",'[2]BASE'!C20)</f>
        <v>4</v>
      </c>
      <c r="D20" s="1509" t="str">
        <f>IF('[2]BASE'!D20=0,"",'[2]BASE'!D20)</f>
        <v>ALICURA - E.T. P.del A. 1 (5LG1)</v>
      </c>
      <c r="E20" s="1509">
        <f>IF('[2]BASE'!E20=0,"",'[2]BASE'!E20)</f>
        <v>500</v>
      </c>
      <c r="F20" s="1509">
        <f>IF('[2]BASE'!F20=0,"",'[2]BASE'!F20)</f>
        <v>76</v>
      </c>
      <c r="G20" s="1509" t="str">
        <f>IF('[3]BASE'!G20=0,"",'[3]BASE'!G20)</f>
        <v>C</v>
      </c>
      <c r="H20" s="1510">
        <f>IF('[2]BASE'!HT20=0,"",'[2]BASE'!HT20)</f>
      </c>
      <c r="I20" s="1510">
        <f>IF('[2]BASE'!HU20=0,"",'[2]BASE'!HU20)</f>
      </c>
      <c r="J20" s="1510">
        <f>IF('[2]BASE'!HV20=0,"",'[2]BASE'!HV20)</f>
      </c>
      <c r="K20" s="1510">
        <f>IF('[2]BASE'!HW20=0,"",'[2]BASE'!HW20)</f>
      </c>
      <c r="L20" s="1510">
        <f>IF('[2]BASE'!HX20=0,"",'[2]BASE'!HX20)</f>
      </c>
      <c r="M20" s="1510">
        <f>IF('[2]BASE'!HY20=0,"",'[2]BASE'!HY20)</f>
      </c>
      <c r="N20" s="1510">
        <f>IF('[2]BASE'!HZ20=0,"",'[2]BASE'!HZ20)</f>
      </c>
      <c r="O20" s="1510">
        <f>IF('[2]BASE'!IA20=0,"",'[2]BASE'!IA20)</f>
      </c>
      <c r="P20" s="1510">
        <f>IF('[2]BASE'!IB20=0,"",'[2]BASE'!IB20)</f>
      </c>
      <c r="Q20" s="1510">
        <f>IF('[2]BASE'!IC20=0,"",'[2]BASE'!IC20)</f>
      </c>
      <c r="R20" s="1510">
        <f>IF('[2]BASE'!ID20=0,"",'[2]BASE'!ID20)</f>
      </c>
      <c r="S20" s="1510">
        <f>IF('[2]BASE'!IE20=0,"",'[2]BASE'!IE20)</f>
      </c>
      <c r="T20" s="1511"/>
      <c r="U20" s="1508"/>
    </row>
    <row r="21" spans="2:21" s="1502" customFormat="1" ht="19.5" customHeight="1">
      <c r="B21" s="1503"/>
      <c r="C21" s="1509">
        <f>IF('[2]BASE'!C21=0,"",'[2]BASE'!C21)</f>
        <v>5</v>
      </c>
      <c r="D21" s="1509" t="str">
        <f>IF('[2]BASE'!D21=0,"",'[2]BASE'!D21)</f>
        <v>ALICURA - E.T. P.del A. 2 (5LG2)</v>
      </c>
      <c r="E21" s="1509">
        <f>IF('[2]BASE'!E21=0,"",'[2]BASE'!E21)</f>
        <v>500</v>
      </c>
      <c r="F21" s="1509">
        <f>IF('[2]BASE'!F21=0,"",'[2]BASE'!F21)</f>
        <v>76</v>
      </c>
      <c r="G21" s="1509" t="str">
        <f>IF('[3]BASE'!G21=0,"",'[3]BASE'!G21)</f>
        <v>C</v>
      </c>
      <c r="H21" s="1510">
        <f>IF('[2]BASE'!HT21=0,"",'[2]BASE'!HT21)</f>
      </c>
      <c r="I21" s="1510">
        <f>IF('[2]BASE'!HU21=0,"",'[2]BASE'!HU21)</f>
      </c>
      <c r="J21" s="1510">
        <f>IF('[2]BASE'!HV21=0,"",'[2]BASE'!HV21)</f>
      </c>
      <c r="K21" s="1510">
        <f>IF('[2]BASE'!HW21=0,"",'[2]BASE'!HW21)</f>
      </c>
      <c r="L21" s="1510">
        <f>IF('[2]BASE'!HX21=0,"",'[2]BASE'!HX21)</f>
      </c>
      <c r="M21" s="1510">
        <f>IF('[2]BASE'!HY21=0,"",'[2]BASE'!HY21)</f>
      </c>
      <c r="N21" s="1510">
        <f>IF('[2]BASE'!HZ21=0,"",'[2]BASE'!HZ21)</f>
      </c>
      <c r="O21" s="1510">
        <f>IF('[2]BASE'!IA21=0,"",'[2]BASE'!IA21)</f>
      </c>
      <c r="P21" s="1510">
        <f>IF('[2]BASE'!IB21=0,"",'[2]BASE'!IB21)</f>
      </c>
      <c r="Q21" s="1510">
        <f>IF('[2]BASE'!IC21=0,"",'[2]BASE'!IC21)</f>
      </c>
      <c r="R21" s="1510">
        <f>IF('[2]BASE'!ID21=0,"",'[2]BASE'!ID21)</f>
      </c>
      <c r="S21" s="1510">
        <f>IF('[2]BASE'!IE21=0,"",'[2]BASE'!IE21)</f>
      </c>
      <c r="T21" s="1511"/>
      <c r="U21" s="1508"/>
    </row>
    <row r="22" spans="2:21" s="1502" customFormat="1" ht="19.5" customHeight="1">
      <c r="B22" s="1503"/>
      <c r="C22" s="1509">
        <f>IF('[2]BASE'!C22=0,"",'[2]BASE'!C22)</f>
        <v>6</v>
      </c>
      <c r="D22" s="1509" t="str">
        <f>IF('[2]BASE'!D22=0,"",'[2]BASE'!D22)</f>
        <v>ALMAFUERTE - EMBALSE </v>
      </c>
      <c r="E22" s="1509">
        <f>IF('[2]BASE'!E22=0,"",'[2]BASE'!E22)</f>
        <v>500</v>
      </c>
      <c r="F22" s="1509">
        <f>IF('[2]BASE'!F22=0,"",'[2]BASE'!F22)</f>
        <v>12</v>
      </c>
      <c r="G22" s="1509" t="str">
        <f>IF('[3]BASE'!G22=0,"",'[3]BASE'!G22)</f>
        <v>A</v>
      </c>
      <c r="H22" s="1510">
        <f>IF('[2]BASE'!HT22=0,"",'[2]BASE'!HT22)</f>
      </c>
      <c r="I22" s="1510">
        <f>IF('[2]BASE'!HU22=0,"",'[2]BASE'!HU22)</f>
      </c>
      <c r="J22" s="1510">
        <f>IF('[2]BASE'!HV22=0,"",'[2]BASE'!HV22)</f>
      </c>
      <c r="K22" s="1510">
        <f>IF('[2]BASE'!HW22=0,"",'[2]BASE'!HW22)</f>
      </c>
      <c r="L22" s="1510">
        <f>IF('[2]BASE'!HX22=0,"",'[2]BASE'!HX22)</f>
      </c>
      <c r="M22" s="1510">
        <f>IF('[2]BASE'!HY22=0,"",'[2]BASE'!HY22)</f>
      </c>
      <c r="N22" s="1510">
        <f>IF('[2]BASE'!HZ22=0,"",'[2]BASE'!HZ22)</f>
      </c>
      <c r="O22" s="1510">
        <f>IF('[2]BASE'!IA22=0,"",'[2]BASE'!IA22)</f>
      </c>
      <c r="P22" s="1510">
        <f>IF('[2]BASE'!IB22=0,"",'[2]BASE'!IB22)</f>
      </c>
      <c r="Q22" s="1510">
        <f>IF('[2]BASE'!IC22=0,"",'[2]BASE'!IC22)</f>
      </c>
      <c r="R22" s="1510">
        <f>IF('[2]BASE'!ID22=0,"",'[2]BASE'!ID22)</f>
      </c>
      <c r="S22" s="1510">
        <f>IF('[2]BASE'!IE22=0,"",'[2]BASE'!IE22)</f>
      </c>
      <c r="T22" s="1511"/>
      <c r="U22" s="1508"/>
    </row>
    <row r="23" spans="2:21" s="1502" customFormat="1" ht="19.5" customHeight="1">
      <c r="B23" s="1503"/>
      <c r="C23" s="1509">
        <f>IF('[2]BASE'!C23=0,"",'[2]BASE'!C23)</f>
        <v>7</v>
      </c>
      <c r="D23" s="1509" t="str">
        <f>IF('[2]BASE'!D23=0,"",'[2]BASE'!D23)</f>
        <v> ALMAFUERTE - ROSARIO OESTE</v>
      </c>
      <c r="E23" s="1509">
        <f>IF('[2]BASE'!E23=0,"",'[2]BASE'!E23)</f>
        <v>500</v>
      </c>
      <c r="F23" s="1509">
        <f>IF('[2]BASE'!F23=0,"",'[2]BASE'!F23)</f>
        <v>345</v>
      </c>
      <c r="G23" s="1509" t="str">
        <f>IF('[3]BASE'!G23=0,"",'[3]BASE'!G23)</f>
        <v>B</v>
      </c>
      <c r="H23" s="1510">
        <f>IF('[2]BASE'!HT23=0,"",'[2]BASE'!HT23)</f>
        <v>1</v>
      </c>
      <c r="I23" s="1510">
        <f>IF('[2]BASE'!HU23=0,"",'[2]BASE'!HU23)</f>
        <v>1</v>
      </c>
      <c r="J23" s="1510">
        <f>IF('[2]BASE'!HV23=0,"",'[2]BASE'!HV23)</f>
      </c>
      <c r="K23" s="1510">
        <f>IF('[2]BASE'!HW23=0,"",'[2]BASE'!HW23)</f>
      </c>
      <c r="L23" s="1510">
        <f>IF('[2]BASE'!HX23=0,"",'[2]BASE'!HX23)</f>
        <v>1</v>
      </c>
      <c r="M23" s="1510">
        <f>IF('[2]BASE'!HY23=0,"",'[2]BASE'!HY23)</f>
      </c>
      <c r="N23" s="1510">
        <f>IF('[2]BASE'!HZ23=0,"",'[2]BASE'!HZ23)</f>
      </c>
      <c r="O23" s="1510">
        <f>IF('[2]BASE'!IA23=0,"",'[2]BASE'!IA23)</f>
      </c>
      <c r="P23" s="1510">
        <f>IF('[2]BASE'!IB23=0,"",'[2]BASE'!IB23)</f>
        <v>1</v>
      </c>
      <c r="Q23" s="1510">
        <f>IF('[2]BASE'!IC23=0,"",'[2]BASE'!IC23)</f>
      </c>
      <c r="R23" s="1510">
        <f>IF('[2]BASE'!ID23=0,"",'[2]BASE'!ID23)</f>
      </c>
      <c r="S23" s="1510">
        <f>IF('[2]BASE'!IE23=0,"",'[2]BASE'!IE23)</f>
        <v>1</v>
      </c>
      <c r="T23" s="1511"/>
      <c r="U23" s="1508"/>
    </row>
    <row r="24" spans="2:21" s="1502" customFormat="1" ht="19.5" customHeight="1">
      <c r="B24" s="1503"/>
      <c r="C24" s="1509">
        <f>IF('[2]BASE'!C24=0,"",'[2]BASE'!C24)</f>
        <v>8</v>
      </c>
      <c r="D24" s="1509" t="str">
        <f>IF('[2]BASE'!D24=0,"",'[2]BASE'!D24)</f>
        <v>BAHIA BLANCA - CHOELE CHOEL 1</v>
      </c>
      <c r="E24" s="1509">
        <f>IF('[2]BASE'!E24=0,"",'[2]BASE'!E24)</f>
        <v>500</v>
      </c>
      <c r="F24" s="1509">
        <f>IF('[2]BASE'!F24=0,"",'[2]BASE'!F24)</f>
        <v>346</v>
      </c>
      <c r="G24" s="1509" t="str">
        <f>IF('[3]BASE'!G24=0,"",'[3]BASE'!G24)</f>
        <v>B</v>
      </c>
      <c r="H24" s="1510">
        <f>IF('[2]BASE'!HT24=0,"",'[2]BASE'!HT24)</f>
      </c>
      <c r="I24" s="1510">
        <f>IF('[2]BASE'!HU24=0,"",'[2]BASE'!HU24)</f>
      </c>
      <c r="J24" s="1510">
        <f>IF('[2]BASE'!HV24=0,"",'[2]BASE'!HV24)</f>
      </c>
      <c r="K24" s="1510">
        <f>IF('[2]BASE'!HW24=0,"",'[2]BASE'!HW24)</f>
      </c>
      <c r="L24" s="1510">
        <f>IF('[2]BASE'!HX24=0,"",'[2]BASE'!HX24)</f>
      </c>
      <c r="M24" s="1510">
        <f>IF('[2]BASE'!HY24=0,"",'[2]BASE'!HY24)</f>
      </c>
      <c r="N24" s="1510">
        <f>IF('[2]BASE'!HZ24=0,"",'[2]BASE'!HZ24)</f>
      </c>
      <c r="O24" s="1510">
        <f>IF('[2]BASE'!IA24=0,"",'[2]BASE'!IA24)</f>
      </c>
      <c r="P24" s="1510">
        <f>IF('[2]BASE'!IB24=0,"",'[2]BASE'!IB24)</f>
      </c>
      <c r="Q24" s="1510">
        <f>IF('[2]BASE'!IC24=0,"",'[2]BASE'!IC24)</f>
      </c>
      <c r="R24" s="1510">
        <f>IF('[2]BASE'!ID24=0,"",'[2]BASE'!ID24)</f>
      </c>
      <c r="S24" s="1510">
        <f>IF('[2]BASE'!IE24=0,"",'[2]BASE'!IE24)</f>
      </c>
      <c r="T24" s="1511"/>
      <c r="U24" s="1508"/>
    </row>
    <row r="25" spans="2:21" s="1502" customFormat="1" ht="19.5" customHeight="1">
      <c r="B25" s="1503"/>
      <c r="C25" s="1509">
        <f>IF('[2]BASE'!C25=0,"",'[2]BASE'!C25)</f>
        <v>9</v>
      </c>
      <c r="D25" s="1509" t="str">
        <f>IF('[2]BASE'!D25=0,"",'[2]BASE'!D25)</f>
        <v>BAHIA BLANCA - CHOELE CHOEL 2</v>
      </c>
      <c r="E25" s="1509">
        <f>IF('[2]BASE'!E25=0,"",'[2]BASE'!E25)</f>
        <v>500</v>
      </c>
      <c r="F25" s="1509">
        <f>IF('[2]BASE'!F25=0,"",'[2]BASE'!F25)</f>
        <v>348.4</v>
      </c>
      <c r="G25" s="1509" t="e">
        <f>IF('[3]BASE'!G25=0,"",'[3]BASE'!G25)</f>
        <v>#REF!</v>
      </c>
      <c r="H25" s="1510">
        <f>IF('[2]BASE'!HT25=0,"",'[2]BASE'!HT25)</f>
      </c>
      <c r="I25" s="1510">
        <f>IF('[2]BASE'!HU25=0,"",'[2]BASE'!HU25)</f>
      </c>
      <c r="J25" s="1510">
        <f>IF('[2]BASE'!HV25=0,"",'[2]BASE'!HV25)</f>
      </c>
      <c r="K25" s="1510">
        <f>IF('[2]BASE'!HW25=0,"",'[2]BASE'!HW25)</f>
      </c>
      <c r="L25" s="1510">
        <f>IF('[2]BASE'!HX25=0,"",'[2]BASE'!HX25)</f>
      </c>
      <c r="M25" s="1510">
        <f>IF('[2]BASE'!HY25=0,"",'[2]BASE'!HY25)</f>
      </c>
      <c r="N25" s="1510">
        <f>IF('[2]BASE'!HZ25=0,"",'[2]BASE'!HZ25)</f>
      </c>
      <c r="O25" s="1510">
        <f>IF('[2]BASE'!IA25=0,"",'[2]BASE'!IA25)</f>
      </c>
      <c r="P25" s="1510">
        <f>IF('[2]BASE'!IB25=0,"",'[2]BASE'!IB25)</f>
      </c>
      <c r="Q25" s="1510">
        <f>IF('[2]BASE'!IC25=0,"",'[2]BASE'!IC25)</f>
      </c>
      <c r="R25" s="1510">
        <f>IF('[2]BASE'!ID25=0,"",'[2]BASE'!ID25)</f>
      </c>
      <c r="S25" s="1510">
        <f>IF('[2]BASE'!IE25=0,"",'[2]BASE'!IE25)</f>
        <v>1</v>
      </c>
      <c r="T25" s="1511"/>
      <c r="U25" s="1508"/>
    </row>
    <row r="26" spans="2:21" s="1502" customFormat="1" ht="19.5" customHeight="1">
      <c r="B26" s="1503"/>
      <c r="C26" s="1509">
        <f>IF('[2]BASE'!C26=0,"",'[2]BASE'!C26)</f>
        <v>10</v>
      </c>
      <c r="D26" s="1509" t="str">
        <f>IF('[2]BASE'!D26=0,"",'[2]BASE'!D26)</f>
        <v>CERR. de la CTA - P.BAND. (A3)</v>
      </c>
      <c r="E26" s="1509">
        <f>IF('[2]BASE'!E26=0,"",'[2]BASE'!E26)</f>
        <v>500</v>
      </c>
      <c r="F26" s="1509">
        <f>IF('[2]BASE'!F26=0,"",'[2]BASE'!F26)</f>
        <v>27</v>
      </c>
      <c r="G26" s="1509" t="str">
        <f>IF('[3]BASE'!G26=0,"",'[3]BASE'!G26)</f>
        <v>C</v>
      </c>
      <c r="H26" s="1510">
        <f>IF('[2]BASE'!HT26=0,"",'[2]BASE'!HT26)</f>
      </c>
      <c r="I26" s="1510">
        <f>IF('[2]BASE'!HU26=0,"",'[2]BASE'!HU26)</f>
      </c>
      <c r="J26" s="1510">
        <f>IF('[2]BASE'!HV26=0,"",'[2]BASE'!HV26)</f>
      </c>
      <c r="K26" s="1510">
        <f>IF('[2]BASE'!HW26=0,"",'[2]BASE'!HW26)</f>
      </c>
      <c r="L26" s="1510">
        <f>IF('[2]BASE'!HX26=0,"",'[2]BASE'!HX26)</f>
      </c>
      <c r="M26" s="1510">
        <f>IF('[2]BASE'!HY26=0,"",'[2]BASE'!HY26)</f>
      </c>
      <c r="N26" s="1510">
        <f>IF('[2]BASE'!HZ26=0,"",'[2]BASE'!HZ26)</f>
      </c>
      <c r="O26" s="1510">
        <f>IF('[2]BASE'!IA26=0,"",'[2]BASE'!IA26)</f>
        <v>1</v>
      </c>
      <c r="P26" s="1510">
        <f>IF('[2]BASE'!IB26=0,"",'[2]BASE'!IB26)</f>
      </c>
      <c r="Q26" s="1510">
        <f>IF('[2]BASE'!IC26=0,"",'[2]BASE'!IC26)</f>
      </c>
      <c r="R26" s="1510">
        <f>IF('[2]BASE'!ID26=0,"",'[2]BASE'!ID26)</f>
      </c>
      <c r="S26" s="1510">
        <f>IF('[2]BASE'!IE26=0,"",'[2]BASE'!IE26)</f>
      </c>
      <c r="T26" s="1511"/>
      <c r="U26" s="1508"/>
    </row>
    <row r="27" spans="2:21" s="1502" customFormat="1" ht="19.5" customHeight="1">
      <c r="B27" s="1503"/>
      <c r="C27" s="1509">
        <f>IF('[2]BASE'!C27=0,"",'[2]BASE'!C27)</f>
        <v>11</v>
      </c>
      <c r="D27" s="1509" t="str">
        <f>IF('[2]BASE'!D27=0,"",'[2]BASE'!D27)</f>
        <v>COLONIA ELIA - CAMPANA</v>
      </c>
      <c r="E27" s="1509">
        <f>IF('[2]BASE'!E27=0,"",'[2]BASE'!E27)</f>
        <v>500</v>
      </c>
      <c r="F27" s="1509">
        <f>IF('[2]BASE'!F27=0,"",'[2]BASE'!F27)</f>
        <v>194</v>
      </c>
      <c r="G27" s="1509" t="str">
        <f>IF('[3]BASE'!G27=0,"",'[3]BASE'!G27)</f>
        <v>C</v>
      </c>
      <c r="H27" s="1510">
        <f>IF('[2]BASE'!HT27=0,"",'[2]BASE'!HT27)</f>
      </c>
      <c r="I27" s="1510">
        <f>IF('[2]BASE'!HU27=0,"",'[2]BASE'!HU27)</f>
      </c>
      <c r="J27" s="1510">
        <f>IF('[2]BASE'!HV27=0,"",'[2]BASE'!HV27)</f>
      </c>
      <c r="K27" s="1510">
        <f>IF('[2]BASE'!HW27=0,"",'[2]BASE'!HW27)</f>
      </c>
      <c r="L27" s="1510">
        <f>IF('[2]BASE'!HX27=0,"",'[2]BASE'!HX27)</f>
      </c>
      <c r="M27" s="1510">
        <f>IF('[2]BASE'!HY27=0,"",'[2]BASE'!HY27)</f>
      </c>
      <c r="N27" s="1510">
        <f>IF('[2]BASE'!HZ27=0,"",'[2]BASE'!HZ27)</f>
      </c>
      <c r="O27" s="1510">
        <f>IF('[2]BASE'!IA27=0,"",'[2]BASE'!IA27)</f>
      </c>
      <c r="P27" s="1510">
        <f>IF('[2]BASE'!IB27=0,"",'[2]BASE'!IB27)</f>
      </c>
      <c r="Q27" s="1510">
        <f>IF('[2]BASE'!IC27=0,"",'[2]BASE'!IC27)</f>
        <v>1</v>
      </c>
      <c r="R27" s="1510">
        <f>IF('[2]BASE'!ID27=0,"",'[2]BASE'!ID27)</f>
      </c>
      <c r="S27" s="1510">
        <f>IF('[2]BASE'!IE27=0,"",'[2]BASE'!IE27)</f>
      </c>
      <c r="T27" s="1511"/>
      <c r="U27" s="1508"/>
    </row>
    <row r="28" spans="2:21" s="1502" customFormat="1" ht="19.5" customHeight="1">
      <c r="B28" s="1503"/>
      <c r="C28" s="1509">
        <f>IF('[2]BASE'!C28=0,"",'[2]BASE'!C28)</f>
        <v>12</v>
      </c>
      <c r="D28" s="1509" t="str">
        <f>IF('[2]BASE'!D28=0,"",'[2]BASE'!D28)</f>
        <v>CHO. W. - CHOELE CHOEL (5WH1)</v>
      </c>
      <c r="E28" s="1509">
        <f>IF('[2]BASE'!E28=0,"",'[2]BASE'!E28)</f>
        <v>500</v>
      </c>
      <c r="F28" s="1509">
        <f>IF('[2]BASE'!F28=0,"",'[2]BASE'!F28)</f>
        <v>269</v>
      </c>
      <c r="G28" s="1509" t="str">
        <f>IF('[3]BASE'!G28=0,"",'[3]BASE'!G28)</f>
        <v>B</v>
      </c>
      <c r="H28" s="1510">
        <f>IF('[2]BASE'!HT28=0,"",'[2]BASE'!HT28)</f>
      </c>
      <c r="I28" s="1510">
        <f>IF('[2]BASE'!HU28=0,"",'[2]BASE'!HU28)</f>
      </c>
      <c r="J28" s="1510">
        <f>IF('[2]BASE'!HV28=0,"",'[2]BASE'!HV28)</f>
      </c>
      <c r="K28" s="1510">
        <f>IF('[2]BASE'!HW28=0,"",'[2]BASE'!HW28)</f>
      </c>
      <c r="L28" s="1510">
        <f>IF('[2]BASE'!HX28=0,"",'[2]BASE'!HX28)</f>
      </c>
      <c r="M28" s="1510">
        <f>IF('[2]BASE'!HY28=0,"",'[2]BASE'!HY28)</f>
      </c>
      <c r="N28" s="1510">
        <f>IF('[2]BASE'!HZ28=0,"",'[2]BASE'!HZ28)</f>
      </c>
      <c r="O28" s="1510">
        <f>IF('[2]BASE'!IA28=0,"",'[2]BASE'!IA28)</f>
      </c>
      <c r="P28" s="1510">
        <f>IF('[2]BASE'!IB28=0,"",'[2]BASE'!IB28)</f>
      </c>
      <c r="Q28" s="1510">
        <f>IF('[2]BASE'!IC28=0,"",'[2]BASE'!IC28)</f>
      </c>
      <c r="R28" s="1510">
        <f>IF('[2]BASE'!ID28=0,"",'[2]BASE'!ID28)</f>
      </c>
      <c r="S28" s="1510">
        <f>IF('[2]BASE'!IE28=0,"",'[2]BASE'!IE28)</f>
      </c>
      <c r="T28" s="1511"/>
      <c r="U28" s="1508"/>
    </row>
    <row r="29" spans="2:21" s="1502" customFormat="1" ht="19.5" customHeight="1">
      <c r="B29" s="1503"/>
      <c r="C29" s="1509">
        <f>IF('[2]BASE'!C29=0,"",'[2]BASE'!C29)</f>
        <v>13</v>
      </c>
      <c r="D29" s="1509" t="str">
        <f>IF('[2]BASE'!D29=0,"",'[2]BASE'!D29)</f>
        <v>CHO.W. - CHO. 1 (5WC1)</v>
      </c>
      <c r="E29" s="1509">
        <f>IF('[2]BASE'!E29=0,"",'[2]BASE'!E29)</f>
        <v>500</v>
      </c>
      <c r="F29" s="1509">
        <f>IF('[2]BASE'!F29=0,"",'[2]BASE'!F29)</f>
        <v>4.5</v>
      </c>
      <c r="G29" s="1509" t="str">
        <f>IF('[3]BASE'!G29=0,"",'[3]BASE'!G29)</f>
        <v>C</v>
      </c>
      <c r="H29" s="1510">
        <f>IF('[2]BASE'!HT29=0,"",'[2]BASE'!HT29)</f>
      </c>
      <c r="I29" s="1510">
        <f>IF('[2]BASE'!HU29=0,"",'[2]BASE'!HU29)</f>
      </c>
      <c r="J29" s="1510">
        <f>IF('[2]BASE'!HV29=0,"",'[2]BASE'!HV29)</f>
      </c>
      <c r="K29" s="1510">
        <f>IF('[2]BASE'!HW29=0,"",'[2]BASE'!HW29)</f>
      </c>
      <c r="L29" s="1510">
        <f>IF('[2]BASE'!HX29=0,"",'[2]BASE'!HX29)</f>
      </c>
      <c r="M29" s="1510">
        <f>IF('[2]BASE'!HY29=0,"",'[2]BASE'!HY29)</f>
      </c>
      <c r="N29" s="1510">
        <f>IF('[2]BASE'!HZ29=0,"",'[2]BASE'!HZ29)</f>
      </c>
      <c r="O29" s="1510">
        <f>IF('[2]BASE'!IA29=0,"",'[2]BASE'!IA29)</f>
      </c>
      <c r="P29" s="1510">
        <f>IF('[2]BASE'!IB29=0,"",'[2]BASE'!IB29)</f>
      </c>
      <c r="Q29" s="1510">
        <f>IF('[2]BASE'!IC29=0,"",'[2]BASE'!IC29)</f>
      </c>
      <c r="R29" s="1510">
        <f>IF('[2]BASE'!ID29=0,"",'[2]BASE'!ID29)</f>
      </c>
      <c r="S29" s="1510">
        <f>IF('[2]BASE'!IE29=0,"",'[2]BASE'!IE29)</f>
      </c>
      <c r="T29" s="1511"/>
      <c r="U29" s="1508"/>
    </row>
    <row r="30" spans="2:21" s="1502" customFormat="1" ht="19.5" customHeight="1">
      <c r="B30" s="1503"/>
      <c r="C30" s="1509">
        <f>IF('[2]BASE'!C30=0,"",'[2]BASE'!C30)</f>
        <v>14</v>
      </c>
      <c r="D30" s="1509" t="str">
        <f>IF('[2]BASE'!D30=0,"",'[2]BASE'!D30)</f>
        <v>CHO.W. - CHO. 2 (5WC2)</v>
      </c>
      <c r="E30" s="1509">
        <f>IF('[2]BASE'!E30=0,"",'[2]BASE'!E30)</f>
        <v>500</v>
      </c>
      <c r="F30" s="1509">
        <f>IF('[2]BASE'!F30=0,"",'[2]BASE'!F30)</f>
        <v>4.5</v>
      </c>
      <c r="G30" s="1509" t="str">
        <f>IF('[3]BASE'!G30=0,"",'[3]BASE'!G30)</f>
        <v>C</v>
      </c>
      <c r="H30" s="1510">
        <f>IF('[2]BASE'!HT30=0,"",'[2]BASE'!HT30)</f>
      </c>
      <c r="I30" s="1510">
        <f>IF('[2]BASE'!HU30=0,"",'[2]BASE'!HU30)</f>
      </c>
      <c r="J30" s="1510">
        <f>IF('[2]BASE'!HV30=0,"",'[2]BASE'!HV30)</f>
      </c>
      <c r="K30" s="1510">
        <f>IF('[2]BASE'!HW30=0,"",'[2]BASE'!HW30)</f>
      </c>
      <c r="L30" s="1510">
        <f>IF('[2]BASE'!HX30=0,"",'[2]BASE'!HX30)</f>
      </c>
      <c r="M30" s="1510">
        <f>IF('[2]BASE'!HY30=0,"",'[2]BASE'!HY30)</f>
      </c>
      <c r="N30" s="1510">
        <f>IF('[2]BASE'!HZ30=0,"",'[2]BASE'!HZ30)</f>
      </c>
      <c r="O30" s="1510">
        <f>IF('[2]BASE'!IA30=0,"",'[2]BASE'!IA30)</f>
      </c>
      <c r="P30" s="1510">
        <f>IF('[2]BASE'!IB30=0,"",'[2]BASE'!IB30)</f>
      </c>
      <c r="Q30" s="1510">
        <f>IF('[2]BASE'!IC30=0,"",'[2]BASE'!IC30)</f>
      </c>
      <c r="R30" s="1510">
        <f>IF('[2]BASE'!ID30=0,"",'[2]BASE'!ID30)</f>
      </c>
      <c r="S30" s="1510">
        <f>IF('[2]BASE'!IE30=0,"",'[2]BASE'!IE30)</f>
      </c>
      <c r="T30" s="1511"/>
      <c r="U30" s="1508"/>
    </row>
    <row r="31" spans="2:21" s="1502" customFormat="1" ht="19.5" customHeight="1">
      <c r="B31" s="1503"/>
      <c r="C31" s="1509">
        <f>IF('[2]BASE'!C31=0,"",'[2]BASE'!C31)</f>
        <v>15</v>
      </c>
      <c r="D31" s="1509" t="str">
        <f>IF('[2]BASE'!D31=0,"",'[2]BASE'!D31)</f>
        <v>CHOCON - C.H. CHOCON 1</v>
      </c>
      <c r="E31" s="1509">
        <f>IF('[2]BASE'!E31=0,"",'[2]BASE'!E31)</f>
        <v>500</v>
      </c>
      <c r="F31" s="1509">
        <f>IF('[2]BASE'!F31=0,"",'[2]BASE'!F31)</f>
        <v>3</v>
      </c>
      <c r="G31" s="1509" t="str">
        <f>IF('[3]BASE'!G31=0,"",'[3]BASE'!G31)</f>
        <v>C</v>
      </c>
      <c r="H31" s="1510">
        <f>IF('[2]BASE'!HT31=0,"",'[2]BASE'!HT31)</f>
      </c>
      <c r="I31" s="1510">
        <f>IF('[2]BASE'!HU31=0,"",'[2]BASE'!HU31)</f>
      </c>
      <c r="J31" s="1510">
        <f>IF('[2]BASE'!HV31=0,"",'[2]BASE'!HV31)</f>
      </c>
      <c r="K31" s="1510">
        <f>IF('[2]BASE'!HW31=0,"",'[2]BASE'!HW31)</f>
      </c>
      <c r="L31" s="1510">
        <f>IF('[2]BASE'!HX31=0,"",'[2]BASE'!HX31)</f>
      </c>
      <c r="M31" s="1510">
        <f>IF('[2]BASE'!HY31=0,"",'[2]BASE'!HY31)</f>
      </c>
      <c r="N31" s="1510">
        <f>IF('[2]BASE'!HZ31=0,"",'[2]BASE'!HZ31)</f>
      </c>
      <c r="O31" s="1510">
        <f>IF('[2]BASE'!IA31=0,"",'[2]BASE'!IA31)</f>
      </c>
      <c r="P31" s="1510">
        <f>IF('[2]BASE'!IB31=0,"",'[2]BASE'!IB31)</f>
      </c>
      <c r="Q31" s="1510">
        <f>IF('[2]BASE'!IC31=0,"",'[2]BASE'!IC31)</f>
      </c>
      <c r="R31" s="1510">
        <f>IF('[2]BASE'!ID31=0,"",'[2]BASE'!ID31)</f>
      </c>
      <c r="S31" s="1510">
        <f>IF('[2]BASE'!IE31=0,"",'[2]BASE'!IE31)</f>
      </c>
      <c r="T31" s="1511"/>
      <c r="U31" s="1508"/>
    </row>
    <row r="32" spans="2:21" s="1502" customFormat="1" ht="19.5" customHeight="1">
      <c r="B32" s="1503"/>
      <c r="C32" s="1509">
        <f>IF('[2]BASE'!C32=0,"",'[2]BASE'!C32)</f>
        <v>16</v>
      </c>
      <c r="D32" s="1509" t="str">
        <f>IF('[2]BASE'!D32=0,"",'[2]BASE'!D32)</f>
        <v>CHOCON - C.H. CHOCON 2</v>
      </c>
      <c r="E32" s="1509">
        <f>IF('[2]BASE'!E32=0,"",'[2]BASE'!E32)</f>
        <v>500</v>
      </c>
      <c r="F32" s="1509">
        <f>IF('[2]BASE'!F32=0,"",'[2]BASE'!F32)</f>
        <v>3</v>
      </c>
      <c r="G32" s="1509" t="str">
        <f>IF('[3]BASE'!G32=0,"",'[3]BASE'!G32)</f>
        <v>C</v>
      </c>
      <c r="H32" s="1510">
        <f>IF('[2]BASE'!HT32=0,"",'[2]BASE'!HT32)</f>
      </c>
      <c r="I32" s="1510">
        <f>IF('[2]BASE'!HU32=0,"",'[2]BASE'!HU32)</f>
      </c>
      <c r="J32" s="1510">
        <f>IF('[2]BASE'!HV32=0,"",'[2]BASE'!HV32)</f>
      </c>
      <c r="K32" s="1510">
        <f>IF('[2]BASE'!HW32=0,"",'[2]BASE'!HW32)</f>
      </c>
      <c r="L32" s="1510">
        <f>IF('[2]BASE'!HX32=0,"",'[2]BASE'!HX32)</f>
      </c>
      <c r="M32" s="1510">
        <f>IF('[2]BASE'!HY32=0,"",'[2]BASE'!HY32)</f>
      </c>
      <c r="N32" s="1510">
        <f>IF('[2]BASE'!HZ32=0,"",'[2]BASE'!HZ32)</f>
      </c>
      <c r="O32" s="1510">
        <f>IF('[2]BASE'!IA32=0,"",'[2]BASE'!IA32)</f>
      </c>
      <c r="P32" s="1510">
        <f>IF('[2]BASE'!IB32=0,"",'[2]BASE'!IB32)</f>
      </c>
      <c r="Q32" s="1510">
        <f>IF('[2]BASE'!IC32=0,"",'[2]BASE'!IC32)</f>
      </c>
      <c r="R32" s="1510">
        <f>IF('[2]BASE'!ID32=0,"",'[2]BASE'!ID32)</f>
      </c>
      <c r="S32" s="1510">
        <f>IF('[2]BASE'!IE32=0,"",'[2]BASE'!IE32)</f>
      </c>
      <c r="T32" s="1511"/>
      <c r="U32" s="1508"/>
    </row>
    <row r="33" spans="2:21" s="1502" customFormat="1" ht="19.5" customHeight="1">
      <c r="B33" s="1503"/>
      <c r="C33" s="1509">
        <f>IF('[2]BASE'!C33=0,"",'[2]BASE'!C33)</f>
        <v>17</v>
      </c>
      <c r="D33" s="1509" t="str">
        <f>IF('[2]BASE'!D33=0,"",'[2]BASE'!D33)</f>
        <v>CHOCON - C.H. CHOCON 3</v>
      </c>
      <c r="E33" s="1509">
        <f>IF('[2]BASE'!E33=0,"",'[2]BASE'!E33)</f>
        <v>500</v>
      </c>
      <c r="F33" s="1509">
        <f>IF('[2]BASE'!F33=0,"",'[2]BASE'!F33)</f>
        <v>3</v>
      </c>
      <c r="G33" s="1509" t="str">
        <f>IF('[3]BASE'!G33=0,"",'[3]BASE'!G33)</f>
        <v>C</v>
      </c>
      <c r="H33" s="1510">
        <f>IF('[2]BASE'!HT33=0,"",'[2]BASE'!HT33)</f>
      </c>
      <c r="I33" s="1510">
        <f>IF('[2]BASE'!HU33=0,"",'[2]BASE'!HU33)</f>
      </c>
      <c r="J33" s="1510">
        <f>IF('[2]BASE'!HV33=0,"",'[2]BASE'!HV33)</f>
      </c>
      <c r="K33" s="1510">
        <f>IF('[2]BASE'!HW33=0,"",'[2]BASE'!HW33)</f>
      </c>
      <c r="L33" s="1510">
        <f>IF('[2]BASE'!HX33=0,"",'[2]BASE'!HX33)</f>
      </c>
      <c r="M33" s="1510">
        <f>IF('[2]BASE'!HY33=0,"",'[2]BASE'!HY33)</f>
      </c>
      <c r="N33" s="1510">
        <f>IF('[2]BASE'!HZ33=0,"",'[2]BASE'!HZ33)</f>
      </c>
      <c r="O33" s="1510">
        <f>IF('[2]BASE'!IA33=0,"",'[2]BASE'!IA33)</f>
      </c>
      <c r="P33" s="1510">
        <f>IF('[2]BASE'!IB33=0,"",'[2]BASE'!IB33)</f>
      </c>
      <c r="Q33" s="1510">
        <f>IF('[2]BASE'!IC33=0,"",'[2]BASE'!IC33)</f>
      </c>
      <c r="R33" s="1510">
        <f>IF('[2]BASE'!ID33=0,"",'[2]BASE'!ID33)</f>
      </c>
      <c r="S33" s="1510">
        <f>IF('[2]BASE'!IE33=0,"",'[2]BASE'!IE33)</f>
      </c>
      <c r="T33" s="1511"/>
      <c r="U33" s="1508"/>
    </row>
    <row r="34" spans="2:21" s="1502" customFormat="1" ht="19.5" customHeight="1">
      <c r="B34" s="1503"/>
      <c r="C34" s="1509">
        <f>IF('[2]BASE'!C34=0,"",'[2]BASE'!C34)</f>
        <v>18</v>
      </c>
      <c r="D34" s="1509" t="str">
        <f>IF('[2]BASE'!D34=0,"",'[2]BASE'!D34)</f>
        <v>CHOCON - PUELCHES 1</v>
      </c>
      <c r="E34" s="1509">
        <f>IF('[2]BASE'!E34=0,"",'[2]BASE'!E34)</f>
        <v>500</v>
      </c>
      <c r="F34" s="1509">
        <f>IF('[2]BASE'!F34=0,"",'[2]BASE'!F34)</f>
        <v>304</v>
      </c>
      <c r="G34" s="1509" t="str">
        <f>IF('[3]BASE'!G34=0,"",'[3]BASE'!G34)</f>
        <v>A</v>
      </c>
      <c r="H34" s="1510">
        <f>IF('[2]BASE'!HT34=0,"",'[2]BASE'!HT34)</f>
      </c>
      <c r="I34" s="1510">
        <f>IF('[2]BASE'!HU34=0,"",'[2]BASE'!HU34)</f>
      </c>
      <c r="J34" s="1510">
        <f>IF('[2]BASE'!HV34=0,"",'[2]BASE'!HV34)</f>
      </c>
      <c r="K34" s="1510">
        <f>IF('[2]BASE'!HW34=0,"",'[2]BASE'!HW34)</f>
      </c>
      <c r="L34" s="1510">
        <f>IF('[2]BASE'!HX34=0,"",'[2]BASE'!HX34)</f>
      </c>
      <c r="M34" s="1510">
        <f>IF('[2]BASE'!HY34=0,"",'[2]BASE'!HY34)</f>
      </c>
      <c r="N34" s="1510">
        <f>IF('[2]BASE'!HZ34=0,"",'[2]BASE'!HZ34)</f>
      </c>
      <c r="O34" s="1510">
        <f>IF('[2]BASE'!IA34=0,"",'[2]BASE'!IA34)</f>
      </c>
      <c r="P34" s="1510">
        <f>IF('[2]BASE'!IB34=0,"",'[2]BASE'!IB34)</f>
      </c>
      <c r="Q34" s="1510">
        <f>IF('[2]BASE'!IC34=0,"",'[2]BASE'!IC34)</f>
      </c>
      <c r="R34" s="1510">
        <f>IF('[2]BASE'!ID34=0,"",'[2]BASE'!ID34)</f>
      </c>
      <c r="S34" s="1510">
        <f>IF('[2]BASE'!IE34=0,"",'[2]BASE'!IE34)</f>
      </c>
      <c r="T34" s="1511"/>
      <c r="U34" s="1508"/>
    </row>
    <row r="35" spans="2:21" s="1502" customFormat="1" ht="19.5" customHeight="1">
      <c r="B35" s="1503"/>
      <c r="C35" s="1509">
        <f>IF('[2]BASE'!C35=0,"",'[2]BASE'!C35)</f>
        <v>19</v>
      </c>
      <c r="D35" s="1509" t="str">
        <f>IF('[2]BASE'!D35=0,"",'[2]BASE'!D35)</f>
        <v>CHOCON - PUELCHES 2</v>
      </c>
      <c r="E35" s="1509">
        <f>IF('[2]BASE'!E35=0,"",'[2]BASE'!E35)</f>
        <v>500</v>
      </c>
      <c r="F35" s="1509">
        <f>IF('[2]BASE'!F35=0,"",'[2]BASE'!F35)</f>
        <v>304</v>
      </c>
      <c r="G35" s="1509" t="str">
        <f>IF('[3]BASE'!G35=0,"",'[3]BASE'!G35)</f>
        <v>A</v>
      </c>
      <c r="H35" s="1510">
        <f>IF('[2]BASE'!HT35=0,"",'[2]BASE'!HT35)</f>
      </c>
      <c r="I35" s="1510">
        <f>IF('[2]BASE'!HU35=0,"",'[2]BASE'!HU35)</f>
      </c>
      <c r="J35" s="1510">
        <f>IF('[2]BASE'!HV35=0,"",'[2]BASE'!HV35)</f>
      </c>
      <c r="K35" s="1510">
        <f>IF('[2]BASE'!HW35=0,"",'[2]BASE'!HW35)</f>
      </c>
      <c r="L35" s="1510">
        <f>IF('[2]BASE'!HX35=0,"",'[2]BASE'!HX35)</f>
      </c>
      <c r="M35" s="1510">
        <f>IF('[2]BASE'!HY35=0,"",'[2]BASE'!HY35)</f>
      </c>
      <c r="N35" s="1510">
        <f>IF('[2]BASE'!HZ35=0,"",'[2]BASE'!HZ35)</f>
      </c>
      <c r="O35" s="1510">
        <f>IF('[2]BASE'!IA35=0,"",'[2]BASE'!IA35)</f>
      </c>
      <c r="P35" s="1510">
        <f>IF('[2]BASE'!IB35=0,"",'[2]BASE'!IB35)</f>
      </c>
      <c r="Q35" s="1510">
        <f>IF('[2]BASE'!IC35=0,"",'[2]BASE'!IC35)</f>
      </c>
      <c r="R35" s="1510">
        <f>IF('[2]BASE'!ID35=0,"",'[2]BASE'!ID35)</f>
      </c>
      <c r="S35" s="1510">
        <f>IF('[2]BASE'!IE35=0,"",'[2]BASE'!IE35)</f>
      </c>
      <c r="T35" s="1511"/>
      <c r="U35" s="1508"/>
    </row>
    <row r="36" spans="2:21" s="1502" customFormat="1" ht="19.5" customHeight="1">
      <c r="B36" s="1503"/>
      <c r="C36" s="1509">
        <f>IF('[2]BASE'!C36=0,"",'[2]BASE'!C36)</f>
        <v>20</v>
      </c>
      <c r="D36" s="1509" t="str">
        <f>IF('[2]BASE'!D36=0,"",'[2]BASE'!D36)</f>
        <v>E.T.P.del AGUILA - CENTRAL P.del A. 1</v>
      </c>
      <c r="E36" s="1509">
        <f>IF('[2]BASE'!E36=0,"",'[2]BASE'!E36)</f>
        <v>500</v>
      </c>
      <c r="F36" s="1509">
        <f>IF('[2]BASE'!F36=0,"",'[2]BASE'!F36)</f>
        <v>5.6</v>
      </c>
      <c r="G36" s="1509" t="str">
        <f>IF('[3]BASE'!G36=0,"",'[3]BASE'!G36)</f>
        <v>C</v>
      </c>
      <c r="H36" s="1510">
        <f>IF('[2]BASE'!HT36=0,"",'[2]BASE'!HT36)</f>
      </c>
      <c r="I36" s="1510">
        <f>IF('[2]BASE'!HU36=0,"",'[2]BASE'!HU36)</f>
      </c>
      <c r="J36" s="1510">
        <f>IF('[2]BASE'!HV36=0,"",'[2]BASE'!HV36)</f>
      </c>
      <c r="K36" s="1510">
        <f>IF('[2]BASE'!HW36=0,"",'[2]BASE'!HW36)</f>
      </c>
      <c r="L36" s="1510">
        <f>IF('[2]BASE'!HX36=0,"",'[2]BASE'!HX36)</f>
      </c>
      <c r="M36" s="1510">
        <f>IF('[2]BASE'!HY36=0,"",'[2]BASE'!HY36)</f>
      </c>
      <c r="N36" s="1510">
        <f>IF('[2]BASE'!HZ36=0,"",'[2]BASE'!HZ36)</f>
      </c>
      <c r="O36" s="1510">
        <f>IF('[2]BASE'!IA36=0,"",'[2]BASE'!IA36)</f>
      </c>
      <c r="P36" s="1510">
        <f>IF('[2]BASE'!IB36=0,"",'[2]BASE'!IB36)</f>
      </c>
      <c r="Q36" s="1510">
        <f>IF('[2]BASE'!IC36=0,"",'[2]BASE'!IC36)</f>
      </c>
      <c r="R36" s="1510">
        <f>IF('[2]BASE'!ID36=0,"",'[2]BASE'!ID36)</f>
      </c>
      <c r="S36" s="1510">
        <f>IF('[2]BASE'!IE36=0,"",'[2]BASE'!IE36)</f>
      </c>
      <c r="T36" s="1511"/>
      <c r="U36" s="1508"/>
    </row>
    <row r="37" spans="2:21" s="1502" customFormat="1" ht="19.5" customHeight="1">
      <c r="B37" s="1503"/>
      <c r="C37" s="1509">
        <f>IF('[2]BASE'!C37=0,"",'[2]BASE'!C37)</f>
        <v>21</v>
      </c>
      <c r="D37" s="1509" t="str">
        <f>IF('[2]BASE'!D37=0,"",'[2]BASE'!D37)</f>
        <v>E.T.P.del AGUILA - CENTRAL P.del A. 2</v>
      </c>
      <c r="E37" s="1509">
        <f>IF('[2]BASE'!E37=0,"",'[2]BASE'!E37)</f>
        <v>500</v>
      </c>
      <c r="F37" s="1509">
        <f>IF('[2]BASE'!F37=0,"",'[2]BASE'!F37)</f>
        <v>5.6</v>
      </c>
      <c r="G37" s="1509" t="str">
        <f>IF('[3]BASE'!G37=0,"",'[3]BASE'!G37)</f>
        <v>C</v>
      </c>
      <c r="H37" s="1510">
        <f>IF('[2]BASE'!HT37=0,"",'[2]BASE'!HT37)</f>
      </c>
      <c r="I37" s="1510">
        <f>IF('[2]BASE'!HU37=0,"",'[2]BASE'!HU37)</f>
      </c>
      <c r="J37" s="1510">
        <f>IF('[2]BASE'!HV37=0,"",'[2]BASE'!HV37)</f>
      </c>
      <c r="K37" s="1510">
        <f>IF('[2]BASE'!HW37=0,"",'[2]BASE'!HW37)</f>
      </c>
      <c r="L37" s="1510">
        <f>IF('[2]BASE'!HX37=0,"",'[2]BASE'!HX37)</f>
      </c>
      <c r="M37" s="1510">
        <f>IF('[2]BASE'!HY37=0,"",'[2]BASE'!HY37)</f>
      </c>
      <c r="N37" s="1510">
        <f>IF('[2]BASE'!HZ37=0,"",'[2]BASE'!HZ37)</f>
      </c>
      <c r="O37" s="1510">
        <f>IF('[2]BASE'!IA37=0,"",'[2]BASE'!IA37)</f>
      </c>
      <c r="P37" s="1510">
        <f>IF('[2]BASE'!IB37=0,"",'[2]BASE'!IB37)</f>
      </c>
      <c r="Q37" s="1510">
        <f>IF('[2]BASE'!IC37=0,"",'[2]BASE'!IC37)</f>
      </c>
      <c r="R37" s="1510">
        <f>IF('[2]BASE'!ID37=0,"",'[2]BASE'!ID37)</f>
      </c>
      <c r="S37" s="1510">
        <f>IF('[2]BASE'!IE37=0,"",'[2]BASE'!IE37)</f>
      </c>
      <c r="T37" s="1511"/>
      <c r="U37" s="1508"/>
    </row>
    <row r="38" spans="2:21" s="1502" customFormat="1" ht="19.5" customHeight="1">
      <c r="B38" s="1503"/>
      <c r="C38" s="1509">
        <f>IF('[2]BASE'!C38=0,"",'[2]BASE'!C38)</f>
        <v>22</v>
      </c>
      <c r="D38" s="1509" t="str">
        <f>IF('[2]BASE'!D38=0,"",'[2]BASE'!D38)</f>
        <v>EL BRACHO - RECREO(5)</v>
      </c>
      <c r="E38" s="1509">
        <f>IF('[2]BASE'!E38=0,"",'[2]BASE'!E38)</f>
        <v>500</v>
      </c>
      <c r="F38" s="1509">
        <f>IF('[2]BASE'!F38=0,"",'[2]BASE'!F38)</f>
        <v>255</v>
      </c>
      <c r="G38" s="1509" t="str">
        <f>IF('[3]BASE'!G38=0,"",'[3]BASE'!G38)</f>
        <v>C</v>
      </c>
      <c r="H38" s="1510">
        <f>IF('[2]BASE'!HT38=0,"",'[2]BASE'!HT38)</f>
      </c>
      <c r="I38" s="1510">
        <f>IF('[2]BASE'!HU38=0,"",'[2]BASE'!HU38)</f>
      </c>
      <c r="J38" s="1510">
        <f>IF('[2]BASE'!HV38=0,"",'[2]BASE'!HV38)</f>
      </c>
      <c r="K38" s="1510">
        <f>IF('[2]BASE'!HW38=0,"",'[2]BASE'!HW38)</f>
      </c>
      <c r="L38" s="1510">
        <f>IF('[2]BASE'!HX38=0,"",'[2]BASE'!HX38)</f>
      </c>
      <c r="M38" s="1510">
        <f>IF('[2]BASE'!HY38=0,"",'[2]BASE'!HY38)</f>
      </c>
      <c r="N38" s="1510">
        <f>IF('[2]BASE'!HZ38=0,"",'[2]BASE'!HZ38)</f>
      </c>
      <c r="O38" s="1510">
        <f>IF('[2]BASE'!IA38=0,"",'[2]BASE'!IA38)</f>
      </c>
      <c r="P38" s="1510">
        <f>IF('[2]BASE'!IB38=0,"",'[2]BASE'!IB38)</f>
      </c>
      <c r="Q38" s="1510">
        <f>IF('[2]BASE'!IC38=0,"",'[2]BASE'!IC38)</f>
        <v>1</v>
      </c>
      <c r="R38" s="1510">
        <f>IF('[2]BASE'!ID38=0,"",'[2]BASE'!ID38)</f>
      </c>
      <c r="S38" s="1510">
        <f>IF('[2]BASE'!IE38=0,"",'[2]BASE'!IE38)</f>
      </c>
      <c r="T38" s="1511"/>
      <c r="U38" s="1508"/>
    </row>
    <row r="39" spans="2:21" s="1502" customFormat="1" ht="19.5" customHeight="1">
      <c r="B39" s="1503"/>
      <c r="C39" s="1509">
        <f>IF('[2]BASE'!C39=0,"",'[2]BASE'!C39)</f>
        <v>23</v>
      </c>
      <c r="D39" s="1509" t="str">
        <f>IF('[2]BASE'!D39=0,"",'[2]BASE'!D39)</f>
        <v>EZEIZA - ABASTO 1</v>
      </c>
      <c r="E39" s="1509">
        <f>IF('[2]BASE'!E39=0,"",'[2]BASE'!E39)</f>
        <v>500</v>
      </c>
      <c r="F39" s="1509">
        <f>IF('[2]BASE'!F39=0,"",'[2]BASE'!F39)</f>
        <v>58</v>
      </c>
      <c r="G39" s="1509" t="str">
        <f>IF('[3]BASE'!G39=0,"",'[3]BASE'!G39)</f>
        <v>C</v>
      </c>
      <c r="H39" s="1510">
        <f>IF('[2]BASE'!HT39=0,"",'[2]BASE'!HT39)</f>
      </c>
      <c r="I39" s="1510">
        <f>IF('[2]BASE'!HU39=0,"",'[2]BASE'!HU39)</f>
      </c>
      <c r="J39" s="1510">
        <f>IF('[2]BASE'!HV39=0,"",'[2]BASE'!HV39)</f>
        <v>1</v>
      </c>
      <c r="K39" s="1510">
        <f>IF('[2]BASE'!HW39=0,"",'[2]BASE'!HW39)</f>
      </c>
      <c r="L39" s="1510">
        <f>IF('[2]BASE'!HX39=0,"",'[2]BASE'!HX39)</f>
      </c>
      <c r="M39" s="1510">
        <f>IF('[2]BASE'!HY39=0,"",'[2]BASE'!HY39)</f>
      </c>
      <c r="N39" s="1510">
        <f>IF('[2]BASE'!HZ39=0,"",'[2]BASE'!HZ39)</f>
      </c>
      <c r="O39" s="1510">
        <f>IF('[2]BASE'!IA39=0,"",'[2]BASE'!IA39)</f>
      </c>
      <c r="P39" s="1510">
        <f>IF('[2]BASE'!IB39=0,"",'[2]BASE'!IB39)</f>
      </c>
      <c r="Q39" s="1510">
        <f>IF('[2]BASE'!IC39=0,"",'[2]BASE'!IC39)</f>
      </c>
      <c r="R39" s="1510">
        <f>IF('[2]BASE'!ID39=0,"",'[2]BASE'!ID39)</f>
      </c>
      <c r="S39" s="1510">
        <f>IF('[2]BASE'!IE39=0,"",'[2]BASE'!IE39)</f>
      </c>
      <c r="T39" s="1511"/>
      <c r="U39" s="1508"/>
    </row>
    <row r="40" spans="2:21" s="1502" customFormat="1" ht="19.5" customHeight="1">
      <c r="B40" s="1503"/>
      <c r="C40" s="1509">
        <f>IF('[2]BASE'!C40=0,"",'[2]BASE'!C40)</f>
        <v>24</v>
      </c>
      <c r="D40" s="1509" t="str">
        <f>IF('[2]BASE'!D40=0,"",'[2]BASE'!D40)</f>
        <v>EZEIZA - ABASTO 2</v>
      </c>
      <c r="E40" s="1509">
        <f>IF('[2]BASE'!E40=0,"",'[2]BASE'!E40)</f>
        <v>500</v>
      </c>
      <c r="F40" s="1509">
        <f>IF('[2]BASE'!F40=0,"",'[2]BASE'!F40)</f>
        <v>58</v>
      </c>
      <c r="G40" s="1509" t="str">
        <f>IF('[3]BASE'!G40=0,"",'[3]BASE'!G40)</f>
        <v>C</v>
      </c>
      <c r="H40" s="1510">
        <f>IF('[2]BASE'!HT40=0,"",'[2]BASE'!HT40)</f>
      </c>
      <c r="I40" s="1510">
        <f>IF('[2]BASE'!HU40=0,"",'[2]BASE'!HU40)</f>
      </c>
      <c r="J40" s="1510">
        <f>IF('[2]BASE'!HV40=0,"",'[2]BASE'!HV40)</f>
      </c>
      <c r="K40" s="1510">
        <f>IF('[2]BASE'!HW40=0,"",'[2]BASE'!HW40)</f>
        <v>1</v>
      </c>
      <c r="L40" s="1510">
        <f>IF('[2]BASE'!HX40=0,"",'[2]BASE'!HX40)</f>
      </c>
      <c r="M40" s="1510">
        <f>IF('[2]BASE'!HY40=0,"",'[2]BASE'!HY40)</f>
      </c>
      <c r="N40" s="1510">
        <f>IF('[2]BASE'!HZ40=0,"",'[2]BASE'!HZ40)</f>
      </c>
      <c r="O40" s="1510">
        <f>IF('[2]BASE'!IA40=0,"",'[2]BASE'!IA40)</f>
      </c>
      <c r="P40" s="1510">
        <f>IF('[2]BASE'!IB40=0,"",'[2]BASE'!IB40)</f>
      </c>
      <c r="Q40" s="1510">
        <f>IF('[2]BASE'!IC40=0,"",'[2]BASE'!IC40)</f>
      </c>
      <c r="R40" s="1510">
        <f>IF('[2]BASE'!ID40=0,"",'[2]BASE'!ID40)</f>
      </c>
      <c r="S40" s="1510">
        <f>IF('[2]BASE'!IE40=0,"",'[2]BASE'!IE40)</f>
      </c>
      <c r="T40" s="1511"/>
      <c r="U40" s="1508"/>
    </row>
    <row r="41" spans="2:21" s="1502" customFormat="1" ht="19.5" customHeight="1">
      <c r="B41" s="1503"/>
      <c r="C41" s="1509">
        <f>IF('[2]BASE'!C41=0,"",'[2]BASE'!C41)</f>
        <v>25</v>
      </c>
      <c r="D41" s="1509" t="str">
        <f>IF('[2]BASE'!D41=0,"",'[2]BASE'!D41)</f>
        <v>EZEIZA - RODRIGUEZ 1</v>
      </c>
      <c r="E41" s="1509">
        <f>IF('[2]BASE'!E41=0,"",'[2]BASE'!E41)</f>
        <v>500</v>
      </c>
      <c r="F41" s="1509">
        <f>IF('[2]BASE'!F41=0,"",'[2]BASE'!F41)</f>
        <v>53</v>
      </c>
      <c r="G41" s="1509" t="str">
        <f>IF('[3]BASE'!G41=0,"",'[3]BASE'!G41)</f>
        <v>C</v>
      </c>
      <c r="H41" s="1510">
        <f>IF('[2]BASE'!HT41=0,"",'[2]BASE'!HT41)</f>
      </c>
      <c r="I41" s="1510">
        <f>IF('[2]BASE'!HU41=0,"",'[2]BASE'!HU41)</f>
      </c>
      <c r="J41" s="1510">
        <f>IF('[2]BASE'!HV41=0,"",'[2]BASE'!HV41)</f>
      </c>
      <c r="K41" s="1510">
        <f>IF('[2]BASE'!HW41=0,"",'[2]BASE'!HW41)</f>
      </c>
      <c r="L41" s="1510">
        <f>IF('[2]BASE'!HX41=0,"",'[2]BASE'!HX41)</f>
      </c>
      <c r="M41" s="1510">
        <f>IF('[2]BASE'!HY41=0,"",'[2]BASE'!HY41)</f>
      </c>
      <c r="N41" s="1510">
        <f>IF('[2]BASE'!HZ41=0,"",'[2]BASE'!HZ41)</f>
      </c>
      <c r="O41" s="1510">
        <f>IF('[2]BASE'!IA41=0,"",'[2]BASE'!IA41)</f>
      </c>
      <c r="P41" s="1510">
        <f>IF('[2]BASE'!IB41=0,"",'[2]BASE'!IB41)</f>
      </c>
      <c r="Q41" s="1510">
        <f>IF('[2]BASE'!IC41=0,"",'[2]BASE'!IC41)</f>
      </c>
      <c r="R41" s="1510">
        <f>IF('[2]BASE'!ID41=0,"",'[2]BASE'!ID41)</f>
      </c>
      <c r="S41" s="1510">
        <f>IF('[2]BASE'!IE41=0,"",'[2]BASE'!IE41)</f>
      </c>
      <c r="T41" s="1511"/>
      <c r="U41" s="1508"/>
    </row>
    <row r="42" spans="2:21" s="1502" customFormat="1" ht="19.5" customHeight="1">
      <c r="B42" s="1503"/>
      <c r="C42" s="1509">
        <f>IF('[2]BASE'!C42=0,"",'[2]BASE'!C42)</f>
        <v>26</v>
      </c>
      <c r="D42" s="1509" t="str">
        <f>IF('[2]BASE'!D42=0,"",'[2]BASE'!D42)</f>
        <v>EZEIZA - RODRIGUEZ 2</v>
      </c>
      <c r="E42" s="1509">
        <f>IF('[2]BASE'!E42=0,"",'[2]BASE'!E42)</f>
        <v>500</v>
      </c>
      <c r="F42" s="1509">
        <f>IF('[2]BASE'!F42=0,"",'[2]BASE'!F42)</f>
        <v>53</v>
      </c>
      <c r="G42" s="1509" t="str">
        <f>IF('[3]BASE'!G42=0,"",'[3]BASE'!G42)</f>
        <v>C</v>
      </c>
      <c r="H42" s="1510">
        <f>IF('[2]BASE'!HT42=0,"",'[2]BASE'!HT42)</f>
      </c>
      <c r="I42" s="1510">
        <f>IF('[2]BASE'!HU42=0,"",'[2]BASE'!HU42)</f>
      </c>
      <c r="J42" s="1510">
        <f>IF('[2]BASE'!HV42=0,"",'[2]BASE'!HV42)</f>
      </c>
      <c r="K42" s="1510">
        <f>IF('[2]BASE'!HW42=0,"",'[2]BASE'!HW42)</f>
      </c>
      <c r="L42" s="1510">
        <f>IF('[2]BASE'!HX42=0,"",'[2]BASE'!HX42)</f>
      </c>
      <c r="M42" s="1510">
        <f>IF('[2]BASE'!HY42=0,"",'[2]BASE'!HY42)</f>
      </c>
      <c r="N42" s="1510">
        <f>IF('[2]BASE'!HZ42=0,"",'[2]BASE'!HZ42)</f>
      </c>
      <c r="O42" s="1510">
        <f>IF('[2]BASE'!IA42=0,"",'[2]BASE'!IA42)</f>
      </c>
      <c r="P42" s="1510">
        <f>IF('[2]BASE'!IB42=0,"",'[2]BASE'!IB42)</f>
      </c>
      <c r="Q42" s="1510">
        <f>IF('[2]BASE'!IC42=0,"",'[2]BASE'!IC42)</f>
      </c>
      <c r="R42" s="1510">
        <f>IF('[2]BASE'!ID42=0,"",'[2]BASE'!ID42)</f>
      </c>
      <c r="S42" s="1510">
        <f>IF('[2]BASE'!IE42=0,"",'[2]BASE'!IE42)</f>
      </c>
      <c r="T42" s="1511"/>
      <c r="U42" s="1508"/>
    </row>
    <row r="43" spans="2:21" s="1502" customFormat="1" ht="19.5" customHeight="1">
      <c r="B43" s="1503"/>
      <c r="C43" s="1509">
        <f>IF('[2]BASE'!C43=0,"",'[2]BASE'!C43)</f>
        <v>27</v>
      </c>
      <c r="D43" s="1509" t="str">
        <f>IF('[2]BASE'!D43=0,"",'[2]BASE'!D43)</f>
        <v>EZEIZA- HENDERSON 1</v>
      </c>
      <c r="E43" s="1509">
        <f>IF('[2]BASE'!E43=0,"",'[2]BASE'!E43)</f>
        <v>500</v>
      </c>
      <c r="F43" s="1509">
        <f>IF('[2]BASE'!F43=0,"",'[2]BASE'!F43)</f>
        <v>313</v>
      </c>
      <c r="G43" s="1509" t="str">
        <f>IF('[3]BASE'!G43=0,"",'[3]BASE'!G43)</f>
        <v>A</v>
      </c>
      <c r="H43" s="1510">
        <f>IF('[2]BASE'!HT43=0,"",'[2]BASE'!HT43)</f>
      </c>
      <c r="I43" s="1510">
        <f>IF('[2]BASE'!HU43=0,"",'[2]BASE'!HU43)</f>
      </c>
      <c r="J43" s="1510">
        <f>IF('[2]BASE'!HV43=0,"",'[2]BASE'!HV43)</f>
      </c>
      <c r="K43" s="1510">
        <f>IF('[2]BASE'!HW43=0,"",'[2]BASE'!HW43)</f>
      </c>
      <c r="L43" s="1510">
        <f>IF('[2]BASE'!HX43=0,"",'[2]BASE'!HX43)</f>
      </c>
      <c r="M43" s="1510">
        <f>IF('[2]BASE'!HY43=0,"",'[2]BASE'!HY43)</f>
      </c>
      <c r="N43" s="1510">
        <f>IF('[2]BASE'!HZ43=0,"",'[2]BASE'!HZ43)</f>
      </c>
      <c r="O43" s="1510">
        <f>IF('[2]BASE'!IA43=0,"",'[2]BASE'!IA43)</f>
      </c>
      <c r="P43" s="1510">
        <f>IF('[2]BASE'!IB43=0,"",'[2]BASE'!IB43)</f>
      </c>
      <c r="Q43" s="1510">
        <f>IF('[2]BASE'!IC43=0,"",'[2]BASE'!IC43)</f>
      </c>
      <c r="R43" s="1510">
        <f>IF('[2]BASE'!ID43=0,"",'[2]BASE'!ID43)</f>
      </c>
      <c r="S43" s="1510">
        <f>IF('[2]BASE'!IE43=0,"",'[2]BASE'!IE43)</f>
      </c>
      <c r="T43" s="1511"/>
      <c r="U43" s="1508"/>
    </row>
    <row r="44" spans="2:21" s="1502" customFormat="1" ht="19.5" customHeight="1">
      <c r="B44" s="1503"/>
      <c r="C44" s="1509">
        <f>IF('[2]BASE'!C44=0,"",'[2]BASE'!C44)</f>
        <v>28</v>
      </c>
      <c r="D44" s="1509" t="str">
        <f>IF('[2]BASE'!D44=0,"",'[2]BASE'!D44)</f>
        <v>EZEIZA - HENDERSON 2</v>
      </c>
      <c r="E44" s="1509">
        <f>IF('[2]BASE'!E44=0,"",'[2]BASE'!E44)</f>
        <v>500</v>
      </c>
      <c r="F44" s="1509">
        <f>IF('[2]BASE'!F44=0,"",'[2]BASE'!F44)</f>
        <v>313</v>
      </c>
      <c r="G44" s="1509" t="str">
        <f>IF('[3]BASE'!G44=0,"",'[3]BASE'!G44)</f>
        <v>A</v>
      </c>
      <c r="H44" s="1510">
        <f>IF('[2]BASE'!HT44=0,"",'[2]BASE'!HT44)</f>
      </c>
      <c r="I44" s="1510">
        <f>IF('[2]BASE'!HU44=0,"",'[2]BASE'!HU44)</f>
      </c>
      <c r="J44" s="1510">
        <f>IF('[2]BASE'!HV44=0,"",'[2]BASE'!HV44)</f>
      </c>
      <c r="K44" s="1510">
        <f>IF('[2]BASE'!HW44=0,"",'[2]BASE'!HW44)</f>
      </c>
      <c r="L44" s="1510">
        <f>IF('[2]BASE'!HX44=0,"",'[2]BASE'!HX44)</f>
      </c>
      <c r="M44" s="1510">
        <f>IF('[2]BASE'!HY44=0,"",'[2]BASE'!HY44)</f>
      </c>
      <c r="N44" s="1510">
        <f>IF('[2]BASE'!HZ44=0,"",'[2]BASE'!HZ44)</f>
      </c>
      <c r="O44" s="1510">
        <f>IF('[2]BASE'!IA44=0,"",'[2]BASE'!IA44)</f>
      </c>
      <c r="P44" s="1510">
        <f>IF('[2]BASE'!IB44=0,"",'[2]BASE'!IB44)</f>
      </c>
      <c r="Q44" s="1510">
        <f>IF('[2]BASE'!IC44=0,"",'[2]BASE'!IC44)</f>
      </c>
      <c r="R44" s="1510">
        <f>IF('[2]BASE'!ID44=0,"",'[2]BASE'!ID44)</f>
      </c>
      <c r="S44" s="1510">
        <f>IF('[2]BASE'!IE44=0,"",'[2]BASE'!IE44)</f>
      </c>
      <c r="T44" s="1511"/>
      <c r="U44" s="1508"/>
    </row>
    <row r="45" spans="2:21" s="1502" customFormat="1" ht="19.5" customHeight="1">
      <c r="B45" s="1503"/>
      <c r="C45" s="1509">
        <f>IF('[2]BASE'!C45=0,"",'[2]BASE'!C45)</f>
        <v>29</v>
      </c>
      <c r="D45" s="1509" t="str">
        <f>IF('[2]BASE'!D45=0,"",'[2]BASE'!D45)</f>
        <v>GRAL. RODRIGUEZ - CAMPANA </v>
      </c>
      <c r="E45" s="1509">
        <f>IF('[2]BASE'!E45=0,"",'[2]BASE'!E45)</f>
        <v>500</v>
      </c>
      <c r="F45" s="1509">
        <f>IF('[2]BASE'!F45=0,"",'[2]BASE'!F45)</f>
        <v>42</v>
      </c>
      <c r="G45" s="1509" t="str">
        <f>IF('[3]BASE'!G45=0,"",'[3]BASE'!G45)</f>
        <v>B</v>
      </c>
      <c r="H45" s="1510">
        <f>IF('[2]BASE'!HT45=0,"",'[2]BASE'!HT45)</f>
      </c>
      <c r="I45" s="1510">
        <f>IF('[2]BASE'!HU45=0,"",'[2]BASE'!HU45)</f>
      </c>
      <c r="J45" s="1510">
        <f>IF('[2]BASE'!HV45=0,"",'[2]BASE'!HV45)</f>
      </c>
      <c r="K45" s="1510">
        <f>IF('[2]BASE'!HW45=0,"",'[2]BASE'!HW45)</f>
      </c>
      <c r="L45" s="1510">
        <f>IF('[2]BASE'!HX45=0,"",'[2]BASE'!HX45)</f>
      </c>
      <c r="M45" s="1510">
        <f>IF('[2]BASE'!HY45=0,"",'[2]BASE'!HY45)</f>
      </c>
      <c r="N45" s="1510">
        <f>IF('[2]BASE'!HZ45=0,"",'[2]BASE'!HZ45)</f>
      </c>
      <c r="O45" s="1510">
        <f>IF('[2]BASE'!IA45=0,"",'[2]BASE'!IA45)</f>
      </c>
      <c r="P45" s="1510">
        <f>IF('[2]BASE'!IB45=0,"",'[2]BASE'!IB45)</f>
        <v>1</v>
      </c>
      <c r="Q45" s="1510">
        <f>IF('[2]BASE'!IC45=0,"",'[2]BASE'!IC45)</f>
      </c>
      <c r="R45" s="1510">
        <f>IF('[2]BASE'!ID45=0,"",'[2]BASE'!ID45)</f>
      </c>
      <c r="S45" s="1510">
        <f>IF('[2]BASE'!IE45=0,"",'[2]BASE'!IE45)</f>
      </c>
      <c r="T45" s="1511"/>
      <c r="U45" s="1508"/>
    </row>
    <row r="46" spans="2:21" s="1502" customFormat="1" ht="19.5" customHeight="1">
      <c r="B46" s="1503"/>
      <c r="C46" s="1509">
        <f>IF('[2]BASE'!C46=0,"",'[2]BASE'!C46)</f>
        <v>30</v>
      </c>
      <c r="D46" s="1509" t="str">
        <f>IF('[2]BASE'!D46=0,"",'[2]BASE'!D46)</f>
        <v>GRAL. RODRIGUEZ- ROSARIO OESTE </v>
      </c>
      <c r="E46" s="1509">
        <f>IF('[2]BASE'!E46=0,"",'[2]BASE'!E46)</f>
        <v>500</v>
      </c>
      <c r="F46" s="1509">
        <f>IF('[2]BASE'!F46=0,"",'[2]BASE'!F46)</f>
        <v>258</v>
      </c>
      <c r="G46" s="1509" t="str">
        <f>IF('[3]BASE'!G46=0,"",'[3]BASE'!G46)</f>
        <v>C</v>
      </c>
      <c r="H46" s="1510" t="str">
        <f>IF('[2]BASE'!HT46=0,"",'[2]BASE'!HT46)</f>
        <v>XXXX</v>
      </c>
      <c r="I46" s="1510" t="str">
        <f>IF('[2]BASE'!HU46=0,"",'[2]BASE'!HU46)</f>
        <v>XXXX</v>
      </c>
      <c r="J46" s="1510" t="str">
        <f>IF('[2]BASE'!HV46=0,"",'[2]BASE'!HV46)</f>
        <v>XXXX</v>
      </c>
      <c r="K46" s="1510" t="str">
        <f>IF('[2]BASE'!HW46=0,"",'[2]BASE'!HW46)</f>
        <v>XXXX</v>
      </c>
      <c r="L46" s="1510" t="str">
        <f>IF('[2]BASE'!HX46=0,"",'[2]BASE'!HX46)</f>
        <v>XXXX</v>
      </c>
      <c r="M46" s="1510" t="str">
        <f>IF('[2]BASE'!HY46=0,"",'[2]BASE'!HY46)</f>
        <v>XXXX</v>
      </c>
      <c r="N46" s="1510" t="str">
        <f>IF('[2]BASE'!HZ46=0,"",'[2]BASE'!HZ46)</f>
        <v>XXXX</v>
      </c>
      <c r="O46" s="1510" t="str">
        <f>IF('[2]BASE'!IA46=0,"",'[2]BASE'!IA46)</f>
        <v>XXXX</v>
      </c>
      <c r="P46" s="1510" t="str">
        <f>IF('[2]BASE'!IB46=0,"",'[2]BASE'!IB46)</f>
        <v>XXXX</v>
      </c>
      <c r="Q46" s="1510" t="str">
        <f>IF('[2]BASE'!IC46=0,"",'[2]BASE'!IC46)</f>
        <v>XXXX</v>
      </c>
      <c r="R46" s="1510" t="str">
        <f>IF('[2]BASE'!ID46=0,"",'[2]BASE'!ID46)</f>
        <v>XXXX</v>
      </c>
      <c r="S46" s="1510" t="str">
        <f>IF('[2]BASE'!IE46=0,"",'[2]BASE'!IE46)</f>
        <v>XXXX</v>
      </c>
      <c r="T46" s="1511"/>
      <c r="U46" s="1508"/>
    </row>
    <row r="47" spans="2:21" s="1502" customFormat="1" ht="19.5" customHeight="1">
      <c r="B47" s="1503"/>
      <c r="C47" s="1509">
        <f>IF('[2]BASE'!C47=0,"",'[2]BASE'!C47)</f>
        <v>31</v>
      </c>
      <c r="D47" s="1509" t="str">
        <f>IF('[2]BASE'!D47=0,"",'[2]BASE'!D47)</f>
        <v>MALVINAS ARG. - ALMAFUERTE </v>
      </c>
      <c r="E47" s="1509">
        <f>IF('[2]BASE'!E47=0,"",'[2]BASE'!E47)</f>
        <v>500</v>
      </c>
      <c r="F47" s="1509">
        <f>IF('[2]BASE'!F47=0,"",'[2]BASE'!F47)</f>
        <v>105</v>
      </c>
      <c r="G47" s="1509" t="str">
        <f>IF('[3]BASE'!G47=0,"",'[3]BASE'!G47)</f>
        <v>B</v>
      </c>
      <c r="H47" s="1510">
        <f>IF('[2]BASE'!HT47=0,"",'[2]BASE'!HT47)</f>
      </c>
      <c r="I47" s="1510">
        <f>IF('[2]BASE'!HU47=0,"",'[2]BASE'!HU47)</f>
      </c>
      <c r="J47" s="1510">
        <f>IF('[2]BASE'!HV47=0,"",'[2]BASE'!HV47)</f>
      </c>
      <c r="K47" s="1510">
        <f>IF('[2]BASE'!HW47=0,"",'[2]BASE'!HW47)</f>
      </c>
      <c r="L47" s="1510">
        <f>IF('[2]BASE'!HX47=0,"",'[2]BASE'!HX47)</f>
      </c>
      <c r="M47" s="1510">
        <f>IF('[2]BASE'!HY47=0,"",'[2]BASE'!HY47)</f>
      </c>
      <c r="N47" s="1510">
        <f>IF('[2]BASE'!HZ47=0,"",'[2]BASE'!HZ47)</f>
      </c>
      <c r="O47" s="1510">
        <f>IF('[2]BASE'!IA47=0,"",'[2]BASE'!IA47)</f>
      </c>
      <c r="P47" s="1510">
        <f>IF('[2]BASE'!IB47=0,"",'[2]BASE'!IB47)</f>
      </c>
      <c r="Q47" s="1510">
        <f>IF('[2]BASE'!IC47=0,"",'[2]BASE'!IC47)</f>
      </c>
      <c r="R47" s="1510">
        <f>IF('[2]BASE'!ID47=0,"",'[2]BASE'!ID47)</f>
      </c>
      <c r="S47" s="1510">
        <f>IF('[2]BASE'!IE47=0,"",'[2]BASE'!IE47)</f>
      </c>
      <c r="T47" s="1511"/>
      <c r="U47" s="1508"/>
    </row>
    <row r="48" spans="2:21" s="1502" customFormat="1" ht="19.5" customHeight="1">
      <c r="B48" s="1503"/>
      <c r="C48" s="1509">
        <f>IF('[2]BASE'!C48=0,"",'[2]BASE'!C48)</f>
        <v>32</v>
      </c>
      <c r="D48" s="1509" t="str">
        <f>IF('[2]BASE'!D48=0,"",'[2]BASE'!D48)</f>
        <v>OLAVARRIA - BAHIA BLANCA 1</v>
      </c>
      <c r="E48" s="1509">
        <f>IF('[2]BASE'!E48=0,"",'[2]BASE'!E48)</f>
        <v>500</v>
      </c>
      <c r="F48" s="1509">
        <f>IF('[2]BASE'!F48=0,"",'[2]BASE'!F48)</f>
        <v>255</v>
      </c>
      <c r="G48" s="1509" t="str">
        <f>IF('[3]BASE'!G48=0,"",'[3]BASE'!G48)</f>
        <v>B</v>
      </c>
      <c r="H48" s="1510">
        <f>IF('[2]BASE'!HT48=0,"",'[2]BASE'!HT48)</f>
      </c>
      <c r="I48" s="1510">
        <f>IF('[2]BASE'!HU48=0,"",'[2]BASE'!HU48)</f>
      </c>
      <c r="J48" s="1510">
        <f>IF('[2]BASE'!HV48=0,"",'[2]BASE'!HV48)</f>
      </c>
      <c r="K48" s="1510">
        <f>IF('[2]BASE'!HW48=0,"",'[2]BASE'!HW48)</f>
      </c>
      <c r="L48" s="1510">
        <f>IF('[2]BASE'!HX48=0,"",'[2]BASE'!HX48)</f>
        <v>1</v>
      </c>
      <c r="M48" s="1510">
        <f>IF('[2]BASE'!HY48=0,"",'[2]BASE'!HY48)</f>
      </c>
      <c r="N48" s="1510">
        <f>IF('[2]BASE'!HZ48=0,"",'[2]BASE'!HZ48)</f>
      </c>
      <c r="O48" s="1510">
        <f>IF('[2]BASE'!IA48=0,"",'[2]BASE'!IA48)</f>
      </c>
      <c r="P48" s="1510">
        <f>IF('[2]BASE'!IB48=0,"",'[2]BASE'!IB48)</f>
      </c>
      <c r="Q48" s="1510">
        <f>IF('[2]BASE'!IC48=0,"",'[2]BASE'!IC48)</f>
      </c>
      <c r="R48" s="1510">
        <f>IF('[2]BASE'!ID48=0,"",'[2]BASE'!ID48)</f>
      </c>
      <c r="S48" s="1510">
        <f>IF('[2]BASE'!IE48=0,"",'[2]BASE'!IE48)</f>
      </c>
      <c r="T48" s="1511"/>
      <c r="U48" s="1508"/>
    </row>
    <row r="49" spans="2:21" s="1502" customFormat="1" ht="19.5" customHeight="1">
      <c r="B49" s="1503"/>
      <c r="C49" s="1509">
        <f>IF('[2]BASE'!C49=0,"",'[2]BASE'!C49)</f>
        <v>33</v>
      </c>
      <c r="D49" s="1509" t="str">
        <f>IF('[2]BASE'!D49=0,"",'[2]BASE'!D49)</f>
        <v>OLAVARRIA - BAHIA BLANCA 2</v>
      </c>
      <c r="E49" s="1509">
        <f>IF('[2]BASE'!E49=0,"",'[2]BASE'!E49)</f>
        <v>500</v>
      </c>
      <c r="F49" s="1509">
        <f>IF('[2]BASE'!F49=0,"",'[2]BASE'!F49)</f>
        <v>254.8</v>
      </c>
      <c r="G49" s="1509" t="e">
        <f>IF('[3]BASE'!G49=0,"",'[3]BASE'!G49)</f>
        <v>#REF!</v>
      </c>
      <c r="H49" s="1510">
        <f>IF('[2]BASE'!HT49=0,"",'[2]BASE'!HT49)</f>
      </c>
      <c r="I49" s="1510">
        <f>IF('[2]BASE'!HU49=0,"",'[2]BASE'!HU49)</f>
      </c>
      <c r="J49" s="1510">
        <f>IF('[2]BASE'!HV49=0,"",'[2]BASE'!HV49)</f>
      </c>
      <c r="K49" s="1510">
        <f>IF('[2]BASE'!HW49=0,"",'[2]BASE'!HW49)</f>
      </c>
      <c r="L49" s="1510">
        <f>IF('[2]BASE'!HX49=0,"",'[2]BASE'!HX49)</f>
      </c>
      <c r="M49" s="1510">
        <f>IF('[2]BASE'!HY49=0,"",'[2]BASE'!HY49)</f>
      </c>
      <c r="N49" s="1510">
        <f>IF('[2]BASE'!HZ49=0,"",'[2]BASE'!HZ49)</f>
      </c>
      <c r="O49" s="1510">
        <f>IF('[2]BASE'!IA49=0,"",'[2]BASE'!IA49)</f>
      </c>
      <c r="P49" s="1510">
        <f>IF('[2]BASE'!IB49=0,"",'[2]BASE'!IB49)</f>
      </c>
      <c r="Q49" s="1510">
        <f>IF('[2]BASE'!IC49=0,"",'[2]BASE'!IC49)</f>
      </c>
      <c r="R49" s="1510">
        <f>IF('[2]BASE'!ID49=0,"",'[2]BASE'!ID49)</f>
      </c>
      <c r="S49" s="1510">
        <f>IF('[2]BASE'!IE49=0,"",'[2]BASE'!IE49)</f>
      </c>
      <c r="T49" s="1511"/>
      <c r="U49" s="1508"/>
    </row>
    <row r="50" spans="2:21" s="1502" customFormat="1" ht="19.5" customHeight="1">
      <c r="B50" s="1503"/>
      <c r="C50" s="1509">
        <f>IF('[2]BASE'!C50=0,"",'[2]BASE'!C50)</f>
        <v>34</v>
      </c>
      <c r="D50" s="1509" t="str">
        <f>IF('[2]BASE'!D50=0,"",'[2]BASE'!D50)</f>
        <v>P.del AGUILA  - CHOELE CHOEL</v>
      </c>
      <c r="E50" s="1509">
        <f>IF('[2]BASE'!E50=0,"",'[2]BASE'!E50)</f>
        <v>500</v>
      </c>
      <c r="F50" s="1509">
        <f>IF('[2]BASE'!F50=0,"",'[2]BASE'!F50)</f>
        <v>386.7</v>
      </c>
      <c r="G50" s="1509" t="e">
        <f>IF('[3]BASE'!G50=0,"",'[3]BASE'!G50)</f>
        <v>#REF!</v>
      </c>
      <c r="H50" s="1510">
        <f>IF('[2]BASE'!HT50=0,"",'[2]BASE'!HT50)</f>
      </c>
      <c r="I50" s="1510">
        <f>IF('[2]BASE'!HU50=0,"",'[2]BASE'!HU50)</f>
      </c>
      <c r="J50" s="1510">
        <f>IF('[2]BASE'!HV50=0,"",'[2]BASE'!HV50)</f>
      </c>
      <c r="K50" s="1510">
        <f>IF('[2]BASE'!HW50=0,"",'[2]BASE'!HW50)</f>
      </c>
      <c r="L50" s="1510">
        <f>IF('[2]BASE'!HX50=0,"",'[2]BASE'!HX50)</f>
      </c>
      <c r="M50" s="1510">
        <f>IF('[2]BASE'!HY50=0,"",'[2]BASE'!HY50)</f>
      </c>
      <c r="N50" s="1510">
        <f>IF('[2]BASE'!HZ50=0,"",'[2]BASE'!HZ50)</f>
      </c>
      <c r="O50" s="1510">
        <f>IF('[2]BASE'!IA50=0,"",'[2]BASE'!IA50)</f>
      </c>
      <c r="P50" s="1510">
        <f>IF('[2]BASE'!IB50=0,"",'[2]BASE'!IB50)</f>
      </c>
      <c r="Q50" s="1510">
        <f>IF('[2]BASE'!IC50=0,"",'[2]BASE'!IC50)</f>
      </c>
      <c r="R50" s="1510">
        <f>IF('[2]BASE'!ID50=0,"",'[2]BASE'!ID50)</f>
      </c>
      <c r="S50" s="1510">
        <f>IF('[2]BASE'!IE50=0,"",'[2]BASE'!IE50)</f>
      </c>
      <c r="T50" s="1511"/>
      <c r="U50" s="1508"/>
    </row>
    <row r="51" spans="2:21" s="1502" customFormat="1" ht="19.5" customHeight="1">
      <c r="B51" s="1503"/>
      <c r="C51" s="1509">
        <f>IF('[2]BASE'!C51=0,"",'[2]BASE'!C51)</f>
        <v>35</v>
      </c>
      <c r="D51" s="1509" t="str">
        <f>IF('[2]BASE'!D51=0,"",'[2]BASE'!D51)</f>
        <v>P.del AGUILA  - CHO. W. 1 (5GW1)</v>
      </c>
      <c r="E51" s="1509">
        <f>IF('[2]BASE'!E51=0,"",'[2]BASE'!E51)</f>
        <v>500</v>
      </c>
      <c r="F51" s="1509">
        <f>IF('[2]BASE'!F51=0,"",'[2]BASE'!F51)</f>
        <v>165</v>
      </c>
      <c r="G51" s="1509" t="str">
        <f>IF('[3]BASE'!G51=0,"",'[3]BASE'!G51)</f>
        <v>A</v>
      </c>
      <c r="H51" s="1510">
        <f>IF('[2]BASE'!HT51=0,"",'[2]BASE'!HT51)</f>
      </c>
      <c r="I51" s="1510">
        <f>IF('[2]BASE'!HU51=0,"",'[2]BASE'!HU51)</f>
      </c>
      <c r="J51" s="1510">
        <f>IF('[2]BASE'!HV51=0,"",'[2]BASE'!HV51)</f>
      </c>
      <c r="K51" s="1510">
        <f>IF('[2]BASE'!HW51=0,"",'[2]BASE'!HW51)</f>
      </c>
      <c r="L51" s="1510">
        <f>IF('[2]BASE'!HX51=0,"",'[2]BASE'!HX51)</f>
      </c>
      <c r="M51" s="1510">
        <f>IF('[2]BASE'!HY51=0,"",'[2]BASE'!HY51)</f>
      </c>
      <c r="N51" s="1510">
        <f>IF('[2]BASE'!HZ51=0,"",'[2]BASE'!HZ51)</f>
      </c>
      <c r="O51" s="1510">
        <f>IF('[2]BASE'!IA51=0,"",'[2]BASE'!IA51)</f>
      </c>
      <c r="P51" s="1510">
        <f>IF('[2]BASE'!IB51=0,"",'[2]BASE'!IB51)</f>
      </c>
      <c r="Q51" s="1510">
        <f>IF('[2]BASE'!IC51=0,"",'[2]BASE'!IC51)</f>
      </c>
      <c r="R51" s="1510">
        <f>IF('[2]BASE'!ID51=0,"",'[2]BASE'!ID51)</f>
      </c>
      <c r="S51" s="1510">
        <f>IF('[2]BASE'!IE51=0,"",'[2]BASE'!IE51)</f>
      </c>
      <c r="T51" s="1511"/>
      <c r="U51" s="1508"/>
    </row>
    <row r="52" spans="2:21" s="1502" customFormat="1" ht="19.5" customHeight="1">
      <c r="B52" s="1503"/>
      <c r="C52" s="1509">
        <f>IF('[2]BASE'!C52=0,"",'[2]BASE'!C52)</f>
        <v>36</v>
      </c>
      <c r="D52" s="1509" t="str">
        <f>IF('[2]BASE'!D52=0,"",'[2]BASE'!D52)</f>
        <v>P.del AGUILA  - CHO. W. 2 (5GW2)</v>
      </c>
      <c r="E52" s="1509">
        <f>IF('[2]BASE'!E52=0,"",'[2]BASE'!E52)</f>
        <v>500</v>
      </c>
      <c r="F52" s="1509">
        <f>IF('[2]BASE'!F52=0,"",'[2]BASE'!F52)</f>
        <v>170</v>
      </c>
      <c r="G52" s="1509" t="str">
        <f>IF('[3]BASE'!G52=0,"",'[3]BASE'!G52)</f>
        <v>A</v>
      </c>
      <c r="H52" s="1510">
        <f>IF('[2]BASE'!HT52=0,"",'[2]BASE'!HT52)</f>
      </c>
      <c r="I52" s="1510">
        <f>IF('[2]BASE'!HU52=0,"",'[2]BASE'!HU52)</f>
      </c>
      <c r="J52" s="1510">
        <f>IF('[2]BASE'!HV52=0,"",'[2]BASE'!HV52)</f>
      </c>
      <c r="K52" s="1510">
        <f>IF('[2]BASE'!HW52=0,"",'[2]BASE'!HW52)</f>
      </c>
      <c r="L52" s="1510">
        <f>IF('[2]BASE'!HX52=0,"",'[2]BASE'!HX52)</f>
      </c>
      <c r="M52" s="1510">
        <f>IF('[2]BASE'!HY52=0,"",'[2]BASE'!HY52)</f>
      </c>
      <c r="N52" s="1510">
        <f>IF('[2]BASE'!HZ52=0,"",'[2]BASE'!HZ52)</f>
      </c>
      <c r="O52" s="1510">
        <f>IF('[2]BASE'!IA52=0,"",'[2]BASE'!IA52)</f>
      </c>
      <c r="P52" s="1510">
        <f>IF('[2]BASE'!IB52=0,"",'[2]BASE'!IB52)</f>
      </c>
      <c r="Q52" s="1510">
        <f>IF('[2]BASE'!IC52=0,"",'[2]BASE'!IC52)</f>
      </c>
      <c r="R52" s="1510">
        <f>IF('[2]BASE'!ID52=0,"",'[2]BASE'!ID52)</f>
        <v>1</v>
      </c>
      <c r="S52" s="1510">
        <f>IF('[2]BASE'!IE52=0,"",'[2]BASE'!IE52)</f>
      </c>
      <c r="T52" s="1511"/>
      <c r="U52" s="1508"/>
    </row>
    <row r="53" spans="2:21" s="1502" customFormat="1" ht="19.5" customHeight="1">
      <c r="B53" s="1503"/>
      <c r="C53" s="1509">
        <f>IF('[2]BASE'!C53=0,"",'[2]BASE'!C53)</f>
        <v>37</v>
      </c>
      <c r="D53" s="1509" t="str">
        <f>IF('[2]BASE'!D53=0,"",'[2]BASE'!D53)</f>
        <v>PUELCHES - HENDERSON 1 (B1)</v>
      </c>
      <c r="E53" s="1509">
        <f>IF('[2]BASE'!E53=0,"",'[2]BASE'!E53)</f>
        <v>500</v>
      </c>
      <c r="F53" s="1509">
        <f>IF('[2]BASE'!F53=0,"",'[2]BASE'!F53)</f>
        <v>421</v>
      </c>
      <c r="G53" s="1509" t="str">
        <f>IF('[3]BASE'!G53=0,"",'[3]BASE'!G53)</f>
        <v>A</v>
      </c>
      <c r="H53" s="1510">
        <f>IF('[2]BASE'!HT53=0,"",'[2]BASE'!HT53)</f>
      </c>
      <c r="I53" s="1510">
        <f>IF('[2]BASE'!HU53=0,"",'[2]BASE'!HU53)</f>
      </c>
      <c r="J53" s="1510">
        <f>IF('[2]BASE'!HV53=0,"",'[2]BASE'!HV53)</f>
      </c>
      <c r="K53" s="1510">
        <f>IF('[2]BASE'!HW53=0,"",'[2]BASE'!HW53)</f>
      </c>
      <c r="L53" s="1510">
        <f>IF('[2]BASE'!HX53=0,"",'[2]BASE'!HX53)</f>
      </c>
      <c r="M53" s="1510">
        <f>IF('[2]BASE'!HY53=0,"",'[2]BASE'!HY53)</f>
      </c>
      <c r="N53" s="1510">
        <f>IF('[2]BASE'!HZ53=0,"",'[2]BASE'!HZ53)</f>
      </c>
      <c r="O53" s="1510">
        <f>IF('[2]BASE'!IA53=0,"",'[2]BASE'!IA53)</f>
      </c>
      <c r="P53" s="1510">
        <f>IF('[2]BASE'!IB53=0,"",'[2]BASE'!IB53)</f>
      </c>
      <c r="Q53" s="1510">
        <f>IF('[2]BASE'!IC53=0,"",'[2]BASE'!IC53)</f>
      </c>
      <c r="R53" s="1510">
        <f>IF('[2]BASE'!ID53=0,"",'[2]BASE'!ID53)</f>
      </c>
      <c r="S53" s="1510">
        <f>IF('[2]BASE'!IE53=0,"",'[2]BASE'!IE53)</f>
      </c>
      <c r="T53" s="1511"/>
      <c r="U53" s="1508"/>
    </row>
    <row r="54" spans="2:21" s="1502" customFormat="1" ht="19.5" customHeight="1">
      <c r="B54" s="1503"/>
      <c r="C54" s="1509">
        <f>IF('[2]BASE'!C54=0,"",'[2]BASE'!C54)</f>
        <v>38</v>
      </c>
      <c r="D54" s="1509" t="str">
        <f>IF('[2]BASE'!D54=0,"",'[2]BASE'!D54)</f>
        <v>PUELCHES - HENDERSON 2 (B2)</v>
      </c>
      <c r="E54" s="1509">
        <f>IF('[2]BASE'!E54=0,"",'[2]BASE'!E54)</f>
        <v>500</v>
      </c>
      <c r="F54" s="1509">
        <f>IF('[2]BASE'!F54=0,"",'[2]BASE'!F54)</f>
        <v>421</v>
      </c>
      <c r="G54" s="1509" t="str">
        <f>IF('[3]BASE'!G54=0,"",'[3]BASE'!G54)</f>
        <v>A</v>
      </c>
      <c r="H54" s="1510" t="str">
        <f>IF('[2]BASE'!HT54=0,"",'[2]BASE'!HT54)</f>
        <v>XXXX</v>
      </c>
      <c r="I54" s="1510" t="str">
        <f>IF('[2]BASE'!HU54=0,"",'[2]BASE'!HU54)</f>
        <v>XXXX</v>
      </c>
      <c r="J54" s="1510" t="str">
        <f>IF('[2]BASE'!HV54=0,"",'[2]BASE'!HV54)</f>
        <v>XXXX</v>
      </c>
      <c r="K54" s="1510" t="str">
        <f>IF('[2]BASE'!HW54=0,"",'[2]BASE'!HW54)</f>
        <v>XXXX</v>
      </c>
      <c r="L54" s="1510" t="str">
        <f>IF('[2]BASE'!HX54=0,"",'[2]BASE'!HX54)</f>
        <v>XXXX</v>
      </c>
      <c r="M54" s="1510" t="str">
        <f>IF('[2]BASE'!HY54=0,"",'[2]BASE'!HY54)</f>
        <v>XXXX</v>
      </c>
      <c r="N54" s="1510" t="str">
        <f>IF('[2]BASE'!HZ54=0,"",'[2]BASE'!HZ54)</f>
        <v>XXXX</v>
      </c>
      <c r="O54" s="1510" t="str">
        <f>IF('[2]BASE'!IA54=0,"",'[2]BASE'!IA54)</f>
        <v>XXXX</v>
      </c>
      <c r="P54" s="1510" t="str">
        <f>IF('[2]BASE'!IB54=0,"",'[2]BASE'!IB54)</f>
        <v>XXXX</v>
      </c>
      <c r="Q54" s="1510" t="str">
        <f>IF('[2]BASE'!IC54=0,"",'[2]BASE'!IC54)</f>
        <v>XXXX</v>
      </c>
      <c r="R54" s="1510" t="str">
        <f>IF('[2]BASE'!ID54=0,"",'[2]BASE'!ID54)</f>
        <v>XXXX</v>
      </c>
      <c r="S54" s="1510" t="str">
        <f>IF('[2]BASE'!IE54=0,"",'[2]BASE'!IE54)</f>
        <v>XXXX</v>
      </c>
      <c r="T54" s="1511"/>
      <c r="U54" s="1508"/>
    </row>
    <row r="55" spans="2:21" s="1502" customFormat="1" ht="19.5" customHeight="1">
      <c r="B55" s="1503"/>
      <c r="C55" s="1509">
        <f>IF('[2]BASE'!C55=0,"",'[2]BASE'!C55)</f>
        <v>39</v>
      </c>
      <c r="D55" s="1509" t="str">
        <f>IF('[2]BASE'!D55=0,"",'[2]BASE'!D55)</f>
        <v>RECREO - MALVINAS ARG. </v>
      </c>
      <c r="E55" s="1509">
        <f>IF('[2]BASE'!E55=0,"",'[2]BASE'!E55)</f>
        <v>500</v>
      </c>
      <c r="F55" s="1509">
        <f>IF('[2]BASE'!F55=0,"",'[2]BASE'!F55)</f>
        <v>259</v>
      </c>
      <c r="G55" s="1509" t="str">
        <f>IF('[3]BASE'!G55=0,"",'[3]BASE'!G55)</f>
        <v>C</v>
      </c>
      <c r="H55" s="1510">
        <f>IF('[2]BASE'!HT55=0,"",'[2]BASE'!HT55)</f>
      </c>
      <c r="I55" s="1510">
        <f>IF('[2]BASE'!HU55=0,"",'[2]BASE'!HU55)</f>
      </c>
      <c r="J55" s="1510">
        <f>IF('[2]BASE'!HV55=0,"",'[2]BASE'!HV55)</f>
      </c>
      <c r="K55" s="1510">
        <f>IF('[2]BASE'!HW55=0,"",'[2]BASE'!HW55)</f>
      </c>
      <c r="L55" s="1510">
        <f>IF('[2]BASE'!HX55=0,"",'[2]BASE'!HX55)</f>
      </c>
      <c r="M55" s="1510">
        <f>IF('[2]BASE'!HY55=0,"",'[2]BASE'!HY55)</f>
      </c>
      <c r="N55" s="1510">
        <f>IF('[2]BASE'!HZ55=0,"",'[2]BASE'!HZ55)</f>
      </c>
      <c r="O55" s="1510">
        <f>IF('[2]BASE'!IA55=0,"",'[2]BASE'!IA55)</f>
      </c>
      <c r="P55" s="1510">
        <f>IF('[2]BASE'!IB55=0,"",'[2]BASE'!IB55)</f>
      </c>
      <c r="Q55" s="1510">
        <f>IF('[2]BASE'!IC55=0,"",'[2]BASE'!IC55)</f>
      </c>
      <c r="R55" s="1510">
        <f>IF('[2]BASE'!ID55=0,"",'[2]BASE'!ID55)</f>
      </c>
      <c r="S55" s="1510">
        <f>IF('[2]BASE'!IE55=0,"",'[2]BASE'!IE55)</f>
      </c>
      <c r="T55" s="1511"/>
      <c r="U55" s="1508"/>
    </row>
    <row r="56" spans="2:21" s="1502" customFormat="1" ht="19.5" customHeight="1">
      <c r="B56" s="1503"/>
      <c r="C56" s="1509">
        <f>IF('[2]BASE'!C56=0,"",'[2]BASE'!C56)</f>
        <v>40</v>
      </c>
      <c r="D56" s="1509" t="str">
        <f>IF('[2]BASE'!D56=0,"",'[2]BASE'!D56)</f>
        <v>RIO GRANDE - EMBALSE</v>
      </c>
      <c r="E56" s="1509">
        <f>IF('[2]BASE'!E56=0,"",'[2]BASE'!E56)</f>
        <v>500</v>
      </c>
      <c r="F56" s="1509">
        <f>IF('[2]BASE'!F56=0,"",'[2]BASE'!F56)</f>
        <v>30</v>
      </c>
      <c r="G56" s="1509" t="str">
        <f>IF('[3]BASE'!G56=0,"",'[3]BASE'!G56)</f>
        <v>B</v>
      </c>
      <c r="H56" s="1510">
        <f>IF('[2]BASE'!HT56=0,"",'[2]BASE'!HT56)</f>
      </c>
      <c r="I56" s="1510">
        <f>IF('[2]BASE'!HU56=0,"",'[2]BASE'!HU56)</f>
      </c>
      <c r="J56" s="1510">
        <f>IF('[2]BASE'!HV56=0,"",'[2]BASE'!HV56)</f>
      </c>
      <c r="K56" s="1510">
        <f>IF('[2]BASE'!HW56=0,"",'[2]BASE'!HW56)</f>
      </c>
      <c r="L56" s="1510">
        <f>IF('[2]BASE'!HX56=0,"",'[2]BASE'!HX56)</f>
      </c>
      <c r="M56" s="1510">
        <f>IF('[2]BASE'!HY56=0,"",'[2]BASE'!HY56)</f>
      </c>
      <c r="N56" s="1510">
        <f>IF('[2]BASE'!HZ56=0,"",'[2]BASE'!HZ56)</f>
      </c>
      <c r="O56" s="1510">
        <f>IF('[2]BASE'!IA56=0,"",'[2]BASE'!IA56)</f>
      </c>
      <c r="P56" s="1510">
        <f>IF('[2]BASE'!IB56=0,"",'[2]BASE'!IB56)</f>
      </c>
      <c r="Q56" s="1510">
        <f>IF('[2]BASE'!IC56=0,"",'[2]BASE'!IC56)</f>
      </c>
      <c r="R56" s="1510">
        <f>IF('[2]BASE'!ID56=0,"",'[2]BASE'!ID56)</f>
      </c>
      <c r="S56" s="1510">
        <f>IF('[2]BASE'!IE56=0,"",'[2]BASE'!IE56)</f>
      </c>
      <c r="T56" s="1511"/>
      <c r="U56" s="1508"/>
    </row>
    <row r="57" spans="2:21" s="1502" customFormat="1" ht="19.5" customHeight="1">
      <c r="B57" s="1503"/>
      <c r="C57" s="1509">
        <f>IF('[2]BASE'!C57=0,"",'[2]BASE'!C57)</f>
        <v>41</v>
      </c>
      <c r="D57" s="1509" t="str">
        <f>IF('[2]BASE'!D57=0,"",'[2]BASE'!D57)</f>
        <v>RIO GRANDE - GRAN MENDOZA</v>
      </c>
      <c r="E57" s="1509">
        <f>IF('[2]BASE'!E57=0,"",'[2]BASE'!E57)</f>
        <v>500</v>
      </c>
      <c r="F57" s="1509">
        <f>IF('[2]BASE'!F57=0,"",'[2]BASE'!F57)</f>
        <v>407</v>
      </c>
      <c r="G57" s="1509" t="str">
        <f>IF('[3]BASE'!G57=0,"",'[3]BASE'!G57)</f>
        <v>B</v>
      </c>
      <c r="H57" s="1510" t="str">
        <f>IF('[2]BASE'!HT57=0,"",'[2]BASE'!HT57)</f>
        <v>XXXX</v>
      </c>
      <c r="I57" s="1510" t="str">
        <f>IF('[2]BASE'!HU57=0,"",'[2]BASE'!HU57)</f>
        <v>XXXX</v>
      </c>
      <c r="J57" s="1510" t="str">
        <f>IF('[2]BASE'!HV57=0,"",'[2]BASE'!HV57)</f>
        <v>XXXX</v>
      </c>
      <c r="K57" s="1510" t="str">
        <f>IF('[2]BASE'!HW57=0,"",'[2]BASE'!HW57)</f>
        <v>XXXX</v>
      </c>
      <c r="L57" s="1510" t="str">
        <f>IF('[2]BASE'!HX57=0,"",'[2]BASE'!HX57)</f>
        <v>XXXX</v>
      </c>
      <c r="M57" s="1510" t="str">
        <f>IF('[2]BASE'!HY57=0,"",'[2]BASE'!HY57)</f>
        <v>XXXX</v>
      </c>
      <c r="N57" s="1510" t="str">
        <f>IF('[2]BASE'!HZ57=0,"",'[2]BASE'!HZ57)</f>
        <v>XXXX</v>
      </c>
      <c r="O57" s="1510" t="str">
        <f>IF('[2]BASE'!IA57=0,"",'[2]BASE'!IA57)</f>
        <v>XXXX</v>
      </c>
      <c r="P57" s="1510" t="str">
        <f>IF('[2]BASE'!IB57=0,"",'[2]BASE'!IB57)</f>
        <v>XXXX</v>
      </c>
      <c r="Q57" s="1510" t="str">
        <f>IF('[2]BASE'!IC57=0,"",'[2]BASE'!IC57)</f>
        <v>XXXX</v>
      </c>
      <c r="R57" s="1510" t="str">
        <f>IF('[2]BASE'!ID57=0,"",'[2]BASE'!ID57)</f>
        <v>XXXX</v>
      </c>
      <c r="S57" s="1510" t="str">
        <f>IF('[2]BASE'!IE57=0,"",'[2]BASE'!IE57)</f>
        <v>XXXX</v>
      </c>
      <c r="T57" s="1511"/>
      <c r="U57" s="1508"/>
    </row>
    <row r="58" spans="2:21" s="1502" customFormat="1" ht="19.5" customHeight="1">
      <c r="B58" s="1503"/>
      <c r="C58" s="1509">
        <f>IF('[2]BASE'!C58=0,"",'[2]BASE'!C58)</f>
        <v>42</v>
      </c>
      <c r="D58" s="1509" t="str">
        <f>IF('[2]BASE'!D58=0,"",'[2]BASE'!D58)</f>
        <v>RIO GRANDE - LUJAN</v>
      </c>
      <c r="E58" s="1509">
        <f>IF('[2]BASE'!E58=0,"",'[2]BASE'!E58)</f>
        <v>500</v>
      </c>
      <c r="F58" s="1509">
        <f>IF('[2]BASE'!F58=0,"",'[2]BASE'!F58)</f>
        <v>150</v>
      </c>
      <c r="G58" s="1509" t="str">
        <f>IF('[3]BASE'!G58=0,"",'[3]BASE'!G58)</f>
        <v>A</v>
      </c>
      <c r="H58" s="1510">
        <f>IF('[2]BASE'!HT58=0,"",'[2]BASE'!HT58)</f>
      </c>
      <c r="I58" s="1510">
        <f>IF('[2]BASE'!HU58=0,"",'[2]BASE'!HU58)</f>
      </c>
      <c r="J58" s="1510">
        <f>IF('[2]BASE'!HV58=0,"",'[2]BASE'!HV58)</f>
      </c>
      <c r="K58" s="1510">
        <f>IF('[2]BASE'!HW58=0,"",'[2]BASE'!HW58)</f>
      </c>
      <c r="L58" s="1510">
        <f>IF('[2]BASE'!HX58=0,"",'[2]BASE'!HX58)</f>
      </c>
      <c r="M58" s="1510">
        <f>IF('[2]BASE'!HY58=0,"",'[2]BASE'!HY58)</f>
      </c>
      <c r="N58" s="1510">
        <f>IF('[2]BASE'!HZ58=0,"",'[2]BASE'!HZ58)</f>
      </c>
      <c r="O58" s="1510">
        <f>IF('[2]BASE'!IA58=0,"",'[2]BASE'!IA58)</f>
      </c>
      <c r="P58" s="1510">
        <f>IF('[2]BASE'!IB58=0,"",'[2]BASE'!IB58)</f>
      </c>
      <c r="Q58" s="1510">
        <f>IF('[2]BASE'!IC58=0,"",'[2]BASE'!IC58)</f>
      </c>
      <c r="R58" s="1510">
        <f>IF('[2]BASE'!ID58=0,"",'[2]BASE'!ID58)</f>
      </c>
      <c r="S58" s="1510">
        <f>IF('[2]BASE'!IE58=0,"",'[2]BASE'!IE58)</f>
      </c>
      <c r="T58" s="1511"/>
      <c r="U58" s="1508"/>
    </row>
    <row r="59" spans="2:21" s="1502" customFormat="1" ht="19.5" customHeight="1">
      <c r="B59" s="1503"/>
      <c r="C59" s="1509">
        <f>IF('[2]BASE'!C59=0,"",'[2]BASE'!C59)</f>
        <v>43</v>
      </c>
      <c r="D59" s="1509" t="str">
        <f>IF('[2]BASE'!D59=0,"",'[2]BASE'!D59)</f>
        <v>LUJAN - GRAN MENDOZA</v>
      </c>
      <c r="E59" s="1509">
        <f>IF('[2]BASE'!E59=0,"",'[2]BASE'!E59)</f>
        <v>500</v>
      </c>
      <c r="F59" s="1509">
        <f>IF('[2]BASE'!F59=0,"",'[2]BASE'!F59)</f>
        <v>257</v>
      </c>
      <c r="G59" s="1509" t="str">
        <f>IF('[3]BASE'!G59=0,"",'[3]BASE'!G59)</f>
        <v>B</v>
      </c>
      <c r="H59" s="1510">
        <f>IF('[2]BASE'!HT59=0,"",'[2]BASE'!HT59)</f>
      </c>
      <c r="I59" s="1510">
        <f>IF('[2]BASE'!HU59=0,"",'[2]BASE'!HU59)</f>
      </c>
      <c r="J59" s="1510">
        <f>IF('[2]BASE'!HV59=0,"",'[2]BASE'!HV59)</f>
      </c>
      <c r="K59" s="1510">
        <f>IF('[2]BASE'!HW59=0,"",'[2]BASE'!HW59)</f>
      </c>
      <c r="L59" s="1510">
        <f>IF('[2]BASE'!HX59=0,"",'[2]BASE'!HX59)</f>
      </c>
      <c r="M59" s="1510">
        <f>IF('[2]BASE'!HY59=0,"",'[2]BASE'!HY59)</f>
      </c>
      <c r="N59" s="1510">
        <f>IF('[2]BASE'!HZ59=0,"",'[2]BASE'!HZ59)</f>
      </c>
      <c r="O59" s="1510">
        <f>IF('[2]BASE'!IA59=0,"",'[2]BASE'!IA59)</f>
      </c>
      <c r="P59" s="1510">
        <f>IF('[2]BASE'!IB59=0,"",'[2]BASE'!IB59)</f>
      </c>
      <c r="Q59" s="1510">
        <f>IF('[2]BASE'!IC59=0,"",'[2]BASE'!IC59)</f>
      </c>
      <c r="R59" s="1510">
        <f>IF('[2]BASE'!ID59=0,"",'[2]BASE'!ID59)</f>
      </c>
      <c r="S59" s="1510">
        <f>IF('[2]BASE'!IE59=0,"",'[2]BASE'!IE59)</f>
      </c>
      <c r="T59" s="1511"/>
      <c r="U59" s="1508"/>
    </row>
    <row r="60" spans="2:21" s="1502" customFormat="1" ht="19.5" customHeight="1">
      <c r="B60" s="1503"/>
      <c r="C60" s="1509">
        <f>IF('[2]BASE'!C60=0,"",'[2]BASE'!C60)</f>
        <v>44</v>
      </c>
      <c r="D60" s="1509" t="str">
        <f>IF('[2]BASE'!D60=0,"",'[2]BASE'!D60)</f>
        <v>ROMANG - RESISTENCIA</v>
      </c>
      <c r="E60" s="1509">
        <f>IF('[2]BASE'!E60=0,"",'[2]BASE'!E60)</f>
        <v>500</v>
      </c>
      <c r="F60" s="1509">
        <f>IF('[2]BASE'!F60=0,"",'[2]BASE'!F60)</f>
        <v>256</v>
      </c>
      <c r="G60" s="1509" t="str">
        <f>IF('[3]BASE'!G60=0,"",'[3]BASE'!G60)</f>
        <v>A</v>
      </c>
      <c r="H60" s="1510">
        <f>IF('[2]BASE'!HT60=0,"",'[2]BASE'!HT60)</f>
      </c>
      <c r="I60" s="1510">
        <f>IF('[2]BASE'!HU60=0,"",'[2]BASE'!HU60)</f>
      </c>
      <c r="J60" s="1510">
        <f>IF('[2]BASE'!HV60=0,"",'[2]BASE'!HV60)</f>
      </c>
      <c r="K60" s="1510">
        <f>IF('[2]BASE'!HW60=0,"",'[2]BASE'!HW60)</f>
      </c>
      <c r="L60" s="1510">
        <f>IF('[2]BASE'!HX60=0,"",'[2]BASE'!HX60)</f>
        <v>2</v>
      </c>
      <c r="M60" s="1510">
        <f>IF('[2]BASE'!HY60=0,"",'[2]BASE'!HY60)</f>
      </c>
      <c r="N60" s="1510">
        <f>IF('[2]BASE'!HZ60=0,"",'[2]BASE'!HZ60)</f>
      </c>
      <c r="O60" s="1510">
        <f>IF('[2]BASE'!IA60=0,"",'[2]BASE'!IA60)</f>
      </c>
      <c r="P60" s="1510">
        <f>IF('[2]BASE'!IB60=0,"",'[2]BASE'!IB60)</f>
      </c>
      <c r="Q60" s="1510">
        <f>IF('[2]BASE'!IC60=0,"",'[2]BASE'!IC60)</f>
      </c>
      <c r="R60" s="1510">
        <f>IF('[2]BASE'!ID60=0,"",'[2]BASE'!ID60)</f>
      </c>
      <c r="S60" s="1510">
        <f>IF('[2]BASE'!IE60=0,"",'[2]BASE'!IE60)</f>
      </c>
      <c r="T60" s="1511"/>
      <c r="U60" s="1508"/>
    </row>
    <row r="61" spans="2:21" s="1502" customFormat="1" ht="19.5" customHeight="1">
      <c r="B61" s="1503"/>
      <c r="C61" s="1509">
        <f>IF('[2]BASE'!C61=0,"",'[2]BASE'!C61)</f>
        <v>45</v>
      </c>
      <c r="D61" s="1509" t="str">
        <f>IF('[2]BASE'!D61=0,"",'[2]BASE'!D61)</f>
        <v>ROSARIO OESTE -SANTO TOME</v>
      </c>
      <c r="E61" s="1509">
        <f>IF('[2]BASE'!E61=0,"",'[2]BASE'!E61)</f>
        <v>500</v>
      </c>
      <c r="F61" s="1509">
        <f>IF('[2]BASE'!F61=0,"",'[2]BASE'!F61)</f>
        <v>159</v>
      </c>
      <c r="G61" s="1509" t="str">
        <f>IF('[3]BASE'!G61=0,"",'[3]BASE'!G61)</f>
        <v>C</v>
      </c>
      <c r="H61" s="1510" t="str">
        <f>IF('[2]BASE'!HT61=0,"",'[2]BASE'!HT61)</f>
        <v>XXXX</v>
      </c>
      <c r="I61" s="1510" t="str">
        <f>IF('[2]BASE'!HU61=0,"",'[2]BASE'!HU61)</f>
        <v>XXXX</v>
      </c>
      <c r="J61" s="1510" t="str">
        <f>IF('[2]BASE'!HV61=0,"",'[2]BASE'!HV61)</f>
        <v>XXXX</v>
      </c>
      <c r="K61" s="1510" t="str">
        <f>IF('[2]BASE'!HW61=0,"",'[2]BASE'!HW61)</f>
        <v>XXXX</v>
      </c>
      <c r="L61" s="1510" t="str">
        <f>IF('[2]BASE'!HX61=0,"",'[2]BASE'!HX61)</f>
        <v>XXXX</v>
      </c>
      <c r="M61" s="1510" t="str">
        <f>IF('[2]BASE'!HY61=0,"",'[2]BASE'!HY61)</f>
        <v>XXXX</v>
      </c>
      <c r="N61" s="1510" t="str">
        <f>IF('[2]BASE'!HZ61=0,"",'[2]BASE'!HZ61)</f>
        <v>XXXX</v>
      </c>
      <c r="O61" s="1510" t="str">
        <f>IF('[2]BASE'!IA61=0,"",'[2]BASE'!IA61)</f>
        <v>XXXX</v>
      </c>
      <c r="P61" s="1510" t="str">
        <f>IF('[2]BASE'!IB61=0,"",'[2]BASE'!IB61)</f>
        <v>XXXX</v>
      </c>
      <c r="Q61" s="1510" t="str">
        <f>IF('[2]BASE'!IC61=0,"",'[2]BASE'!IC61)</f>
        <v>XXXX</v>
      </c>
      <c r="R61" s="1510" t="str">
        <f>IF('[2]BASE'!ID61=0,"",'[2]BASE'!ID61)</f>
        <v>XXXX</v>
      </c>
      <c r="S61" s="1510" t="str">
        <f>IF('[2]BASE'!IE61=0,"",'[2]BASE'!IE61)</f>
        <v>XXXX</v>
      </c>
      <c r="T61" s="1511"/>
      <c r="U61" s="1508"/>
    </row>
    <row r="62" spans="2:21" s="1502" customFormat="1" ht="19.5" customHeight="1">
      <c r="B62" s="1503"/>
      <c r="C62" s="1509">
        <f>IF('[2]BASE'!C62=0,"",'[2]BASE'!C62)</f>
      </c>
      <c r="D62" s="1509" t="str">
        <f>IF('[2]BASE'!D62=0,"",'[2]BASE'!D62)</f>
        <v>ROSARIO OESTE - RIO CORONDA</v>
      </c>
      <c r="E62" s="1509">
        <f>IF('[2]BASE'!E62=0,"",'[2]BASE'!E62)</f>
        <v>500</v>
      </c>
      <c r="F62" s="1509">
        <f>IF('[2]BASE'!F62=0,"",'[2]BASE'!F62)</f>
        <v>64.99</v>
      </c>
      <c r="G62" s="1509" t="str">
        <f>IF('[3]BASE'!G62=0,"",'[3]BASE'!G62)</f>
        <v>C</v>
      </c>
      <c r="H62" s="1510">
        <f>IF('[2]BASE'!HT62=0,"",'[2]BASE'!HT62)</f>
      </c>
      <c r="I62" s="1510">
        <f>IF('[2]BASE'!HU62=0,"",'[2]BASE'!HU62)</f>
      </c>
      <c r="J62" s="1510">
        <f>IF('[2]BASE'!HV62=0,"",'[2]BASE'!HV62)</f>
      </c>
      <c r="K62" s="1510">
        <f>IF('[2]BASE'!HW62=0,"",'[2]BASE'!HW62)</f>
      </c>
      <c r="L62" s="1510">
        <f>IF('[2]BASE'!HX62=0,"",'[2]BASE'!HX62)</f>
      </c>
      <c r="M62" s="1510">
        <f>IF('[2]BASE'!HY62=0,"",'[2]BASE'!HY62)</f>
      </c>
      <c r="N62" s="1510">
        <f>IF('[2]BASE'!HZ62=0,"",'[2]BASE'!HZ62)</f>
      </c>
      <c r="O62" s="1510">
        <f>IF('[2]BASE'!IA62=0,"",'[2]BASE'!IA62)</f>
      </c>
      <c r="P62" s="1510">
        <f>IF('[2]BASE'!IB62=0,"",'[2]BASE'!IB62)</f>
      </c>
      <c r="Q62" s="1510">
        <f>IF('[2]BASE'!IC62=0,"",'[2]BASE'!IC62)</f>
      </c>
      <c r="R62" s="1510">
        <f>IF('[2]BASE'!ID62=0,"",'[2]BASE'!ID62)</f>
      </c>
      <c r="S62" s="1510">
        <f>IF('[2]BASE'!IE62=0,"",'[2]BASE'!IE62)</f>
      </c>
      <c r="T62" s="1511"/>
      <c r="U62" s="1508"/>
    </row>
    <row r="63" spans="2:21" s="1502" customFormat="1" ht="19.5" customHeight="1">
      <c r="B63" s="1503"/>
      <c r="C63" s="1509">
        <f>IF('[2]BASE'!C63=0,"",'[2]BASE'!C63)</f>
      </c>
      <c r="D63" s="1509" t="str">
        <f>IF('[2]BASE'!D63=0,"",'[2]BASE'!D63)</f>
        <v>RIO CORONDA - SANTO TOME</v>
      </c>
      <c r="E63" s="1509">
        <f>IF('[2]BASE'!E63=0,"",'[2]BASE'!E63)</f>
        <v>500</v>
      </c>
      <c r="F63" s="1509">
        <f>IF('[2]BASE'!F63=0,"",'[2]BASE'!F63)</f>
        <v>137.94</v>
      </c>
      <c r="G63" s="1509" t="str">
        <f>IF('[3]BASE'!G63=0,"",'[3]BASE'!G63)</f>
        <v>A</v>
      </c>
      <c r="H63" s="1510">
        <f>IF('[2]BASE'!HT63=0,"",'[2]BASE'!HT63)</f>
      </c>
      <c r="I63" s="1510">
        <f>IF('[2]BASE'!HU63=0,"",'[2]BASE'!HU63)</f>
      </c>
      <c r="J63" s="1510">
        <f>IF('[2]BASE'!HV63=0,"",'[2]BASE'!HV63)</f>
      </c>
      <c r="K63" s="1510">
        <f>IF('[2]BASE'!HW63=0,"",'[2]BASE'!HW63)</f>
      </c>
      <c r="L63" s="1510">
        <f>IF('[2]BASE'!HX63=0,"",'[2]BASE'!HX63)</f>
      </c>
      <c r="M63" s="1510">
        <f>IF('[2]BASE'!HY63=0,"",'[2]BASE'!HY63)</f>
      </c>
      <c r="N63" s="1510">
        <f>IF('[2]BASE'!HZ63=0,"",'[2]BASE'!HZ63)</f>
      </c>
      <c r="O63" s="1510">
        <f>IF('[2]BASE'!IA63=0,"",'[2]BASE'!IA63)</f>
      </c>
      <c r="P63" s="1510">
        <f>IF('[2]BASE'!IB63=0,"",'[2]BASE'!IB63)</f>
      </c>
      <c r="Q63" s="1510">
        <f>IF('[2]BASE'!IC63=0,"",'[2]BASE'!IC63)</f>
      </c>
      <c r="R63" s="1510">
        <f>IF('[2]BASE'!ID63=0,"",'[2]BASE'!ID63)</f>
      </c>
      <c r="S63" s="1510">
        <f>IF('[2]BASE'!IE63=0,"",'[2]BASE'!IE63)</f>
      </c>
      <c r="T63" s="1511"/>
      <c r="U63" s="1508"/>
    </row>
    <row r="64" spans="2:21" s="1502" customFormat="1" ht="19.5" customHeight="1">
      <c r="B64" s="1503"/>
      <c r="C64" s="1509">
        <f>IF('[2]BASE'!C64=0,"",'[2]BASE'!C64)</f>
        <v>46</v>
      </c>
      <c r="D64" s="1509" t="str">
        <f>IF('[2]BASE'!D64=0,"",'[2]BASE'!D64)</f>
        <v>SALTO GRANDE - SANTO TOME </v>
      </c>
      <c r="E64" s="1509">
        <f>IF('[2]BASE'!E64=0,"",'[2]BASE'!E64)</f>
        <v>500</v>
      </c>
      <c r="F64" s="1509">
        <f>IF('[2]BASE'!F64=0,"",'[2]BASE'!F64)</f>
        <v>289</v>
      </c>
      <c r="G64" s="1509" t="str">
        <f>IF('[3]BASE'!G64=0,"",'[3]BASE'!G64)</f>
        <v>C</v>
      </c>
      <c r="H64" s="1510">
        <f>IF('[2]BASE'!HT64=0,"",'[2]BASE'!HT64)</f>
      </c>
      <c r="I64" s="1510">
        <f>IF('[2]BASE'!HU64=0,"",'[2]BASE'!HU64)</f>
      </c>
      <c r="J64" s="1510">
        <f>IF('[2]BASE'!HV64=0,"",'[2]BASE'!HV64)</f>
      </c>
      <c r="K64" s="1510">
        <f>IF('[2]BASE'!HW64=0,"",'[2]BASE'!HW64)</f>
      </c>
      <c r="L64" s="1510">
        <f>IF('[2]BASE'!HX64=0,"",'[2]BASE'!HX64)</f>
      </c>
      <c r="M64" s="1510">
        <f>IF('[2]BASE'!HY64=0,"",'[2]BASE'!HY64)</f>
      </c>
      <c r="N64" s="1510">
        <f>IF('[2]BASE'!HZ64=0,"",'[2]BASE'!HZ64)</f>
      </c>
      <c r="O64" s="1510">
        <f>IF('[2]BASE'!IA64=0,"",'[2]BASE'!IA64)</f>
      </c>
      <c r="P64" s="1510">
        <f>IF('[2]BASE'!IB64=0,"",'[2]BASE'!IB64)</f>
        <v>3</v>
      </c>
      <c r="Q64" s="1510">
        <f>IF('[2]BASE'!IC64=0,"",'[2]BASE'!IC64)</f>
      </c>
      <c r="R64" s="1510">
        <f>IF('[2]BASE'!ID64=0,"",'[2]BASE'!ID64)</f>
      </c>
      <c r="S64" s="1510">
        <f>IF('[2]BASE'!IE64=0,"",'[2]BASE'!IE64)</f>
      </c>
      <c r="T64" s="1511"/>
      <c r="U64" s="1508"/>
    </row>
    <row r="65" spans="2:21" s="1502" customFormat="1" ht="19.5" customHeight="1">
      <c r="B65" s="1503"/>
      <c r="C65" s="1509">
        <f>IF('[2]BASE'!C65=0,"",'[2]BASE'!C65)</f>
        <v>47</v>
      </c>
      <c r="D65" s="1509" t="str">
        <f>IF('[2]BASE'!D65=0,"",'[2]BASE'!D65)</f>
        <v>SANTO TOME - ROMANG </v>
      </c>
      <c r="E65" s="1509">
        <f>IF('[2]BASE'!E65=0,"",'[2]BASE'!E65)</f>
        <v>500</v>
      </c>
      <c r="F65" s="1509">
        <f>IF('[2]BASE'!F65=0,"",'[2]BASE'!F65)</f>
        <v>270</v>
      </c>
      <c r="G65" s="1509" t="str">
        <f>IF('[3]BASE'!G65=0,"",'[3]BASE'!G65)</f>
        <v>C</v>
      </c>
      <c r="H65" s="1510">
        <f>IF('[2]BASE'!HT65=0,"",'[2]BASE'!HT65)</f>
        <v>1</v>
      </c>
      <c r="I65" s="1510">
        <f>IF('[2]BASE'!HU65=0,"",'[2]BASE'!HU65)</f>
      </c>
      <c r="J65" s="1510">
        <f>IF('[2]BASE'!HV65=0,"",'[2]BASE'!HV65)</f>
      </c>
      <c r="K65" s="1510">
        <f>IF('[2]BASE'!HW65=0,"",'[2]BASE'!HW65)</f>
      </c>
      <c r="L65" s="1510">
        <f>IF('[2]BASE'!HX65=0,"",'[2]BASE'!HX65)</f>
      </c>
      <c r="M65" s="1510">
        <f>IF('[2]BASE'!HY65=0,"",'[2]BASE'!HY65)</f>
      </c>
      <c r="N65" s="1510">
        <f>IF('[2]BASE'!HZ65=0,"",'[2]BASE'!HZ65)</f>
        <v>1</v>
      </c>
      <c r="O65" s="1510">
        <f>IF('[2]BASE'!IA65=0,"",'[2]BASE'!IA65)</f>
      </c>
      <c r="P65" s="1510">
        <f>IF('[2]BASE'!IB65=0,"",'[2]BASE'!IB65)</f>
        <v>1</v>
      </c>
      <c r="Q65" s="1510">
        <f>IF('[2]BASE'!IC65=0,"",'[2]BASE'!IC65)</f>
      </c>
      <c r="R65" s="1510">
        <f>IF('[2]BASE'!ID65=0,"",'[2]BASE'!ID65)</f>
      </c>
      <c r="S65" s="1510">
        <f>IF('[2]BASE'!IE65=0,"",'[2]BASE'!IE65)</f>
      </c>
      <c r="T65" s="1511"/>
      <c r="U65" s="1508"/>
    </row>
    <row r="66" spans="2:21" s="1502" customFormat="1" ht="19.5" customHeight="1">
      <c r="B66" s="1503"/>
      <c r="C66" s="1509">
        <f>IF('[2]BASE'!C66=0,"",'[2]BASE'!C66)</f>
      </c>
      <c r="D66" s="1509">
        <f>IF('[2]BASE'!D66=0,"",'[2]BASE'!D66)</f>
      </c>
      <c r="E66" s="1509">
        <f>IF('[2]BASE'!E66=0,"",'[2]BASE'!E66)</f>
      </c>
      <c r="F66" s="1509">
        <f>IF('[2]BASE'!F66=0,"",'[2]BASE'!F66)</f>
      </c>
      <c r="G66" s="1509" t="str">
        <f>IF('[3]BASE'!G66=0,"",'[3]BASE'!G66)</f>
        <v>C</v>
      </c>
      <c r="H66" s="1510">
        <f>IF('[2]BASE'!HT66=0,"",'[2]BASE'!HT66)</f>
      </c>
      <c r="I66" s="1510">
        <f>IF('[2]BASE'!HU66=0,"",'[2]BASE'!HU66)</f>
      </c>
      <c r="J66" s="1510">
        <f>IF('[2]BASE'!HV66=0,"",'[2]BASE'!HV66)</f>
      </c>
      <c r="K66" s="1510">
        <f>IF('[2]BASE'!HW66=0,"",'[2]BASE'!HW66)</f>
      </c>
      <c r="L66" s="1510">
        <f>IF('[2]BASE'!HX66=0,"",'[2]BASE'!HX66)</f>
      </c>
      <c r="M66" s="1510">
        <f>IF('[2]BASE'!HY66=0,"",'[2]BASE'!HY66)</f>
      </c>
      <c r="N66" s="1510">
        <f>IF('[2]BASE'!HZ66=0,"",'[2]BASE'!HZ66)</f>
      </c>
      <c r="O66" s="1510">
        <f>IF('[2]BASE'!IA66=0,"",'[2]BASE'!IA66)</f>
      </c>
      <c r="P66" s="1510">
        <f>IF('[2]BASE'!IB66=0,"",'[2]BASE'!IB66)</f>
      </c>
      <c r="Q66" s="1510">
        <f>IF('[2]BASE'!IC66=0,"",'[2]BASE'!IC66)</f>
      </c>
      <c r="R66" s="1510">
        <f>IF('[2]BASE'!ID66=0,"",'[2]BASE'!ID66)</f>
      </c>
      <c r="S66" s="1510">
        <f>IF('[2]BASE'!IE66=0,"",'[2]BASE'!IE66)</f>
      </c>
      <c r="T66" s="1511"/>
      <c r="U66" s="1508"/>
    </row>
    <row r="67" spans="2:21" s="1502" customFormat="1" ht="19.5" customHeight="1">
      <c r="B67" s="1503"/>
      <c r="C67" s="1509">
        <f>IF('[2]BASE'!C67=0,"",'[2]BASE'!C67)</f>
        <v>48</v>
      </c>
      <c r="D67" s="1509" t="str">
        <f>IF('[2]BASE'!D67=0,"",'[2]BASE'!D67)</f>
        <v>GRAL. RODRIGUEZ - VILLA  LIA 1</v>
      </c>
      <c r="E67" s="1509">
        <f>IF('[2]BASE'!E67=0,"",'[2]BASE'!E67)</f>
        <v>220</v>
      </c>
      <c r="F67" s="1509">
        <f>IF('[2]BASE'!F67=0,"",'[2]BASE'!F67)</f>
        <v>61</v>
      </c>
      <c r="G67" s="1509" t="str">
        <f>IF('[3]BASE'!G67=0,"",'[3]BASE'!G67)</f>
        <v>C</v>
      </c>
      <c r="H67" s="1510">
        <f>IF('[2]BASE'!HT67=0,"",'[2]BASE'!HT67)</f>
      </c>
      <c r="I67" s="1510">
        <f>IF('[2]BASE'!HU67=0,"",'[2]BASE'!HU67)</f>
      </c>
      <c r="J67" s="1510">
        <f>IF('[2]BASE'!HV67=0,"",'[2]BASE'!HV67)</f>
      </c>
      <c r="K67" s="1510">
        <f>IF('[2]BASE'!HW67=0,"",'[2]BASE'!HW67)</f>
      </c>
      <c r="L67" s="1510">
        <f>IF('[2]BASE'!HX67=0,"",'[2]BASE'!HX67)</f>
      </c>
      <c r="M67" s="1510">
        <f>IF('[2]BASE'!HY67=0,"",'[2]BASE'!HY67)</f>
      </c>
      <c r="N67" s="1510">
        <f>IF('[2]BASE'!HZ67=0,"",'[2]BASE'!HZ67)</f>
      </c>
      <c r="O67" s="1510">
        <f>IF('[2]BASE'!IA67=0,"",'[2]BASE'!IA67)</f>
      </c>
      <c r="P67" s="1510">
        <f>IF('[2]BASE'!IB67=0,"",'[2]BASE'!IB67)</f>
      </c>
      <c r="Q67" s="1510">
        <f>IF('[2]BASE'!IC67=0,"",'[2]BASE'!IC67)</f>
        <v>1</v>
      </c>
      <c r="R67" s="1510">
        <f>IF('[2]BASE'!ID67=0,"",'[2]BASE'!ID67)</f>
      </c>
      <c r="S67" s="1510">
        <f>IF('[2]BASE'!IE67=0,"",'[2]BASE'!IE67)</f>
      </c>
      <c r="T67" s="1511"/>
      <c r="U67" s="1508"/>
    </row>
    <row r="68" spans="2:21" s="1502" customFormat="1" ht="19.5" customHeight="1">
      <c r="B68" s="1503"/>
      <c r="C68" s="1509">
        <f>IF('[2]BASE'!C68=0,"",'[2]BASE'!C68)</f>
        <v>49</v>
      </c>
      <c r="D68" s="1509" t="str">
        <f>IF('[2]BASE'!D68=0,"",'[2]BASE'!D68)</f>
        <v>GRAL. RODRIGUEZ - VILLA  LIA 2</v>
      </c>
      <c r="E68" s="1509">
        <f>IF('[2]BASE'!E68=0,"",'[2]BASE'!E68)</f>
        <v>220</v>
      </c>
      <c r="F68" s="1509">
        <f>IF('[2]BASE'!F68=0,"",'[2]BASE'!F68)</f>
        <v>61</v>
      </c>
      <c r="G68" s="1509" t="str">
        <f>IF('[3]BASE'!G68=0,"",'[3]BASE'!G68)</f>
        <v>C</v>
      </c>
      <c r="H68" s="1510">
        <f>IF('[2]BASE'!HT68=0,"",'[2]BASE'!HT68)</f>
      </c>
      <c r="I68" s="1510">
        <f>IF('[2]BASE'!HU68=0,"",'[2]BASE'!HU68)</f>
      </c>
      <c r="J68" s="1510">
        <f>IF('[2]BASE'!HV68=0,"",'[2]BASE'!HV68)</f>
      </c>
      <c r="K68" s="1510">
        <f>IF('[2]BASE'!HW68=0,"",'[2]BASE'!HW68)</f>
      </c>
      <c r="L68" s="1510">
        <f>IF('[2]BASE'!HX68=0,"",'[2]BASE'!HX68)</f>
      </c>
      <c r="M68" s="1510">
        <f>IF('[2]BASE'!HY68=0,"",'[2]BASE'!HY68)</f>
      </c>
      <c r="N68" s="1510">
        <f>IF('[2]BASE'!HZ68=0,"",'[2]BASE'!HZ68)</f>
      </c>
      <c r="O68" s="1510">
        <f>IF('[2]BASE'!IA68=0,"",'[2]BASE'!IA68)</f>
      </c>
      <c r="P68" s="1510">
        <f>IF('[2]BASE'!IB68=0,"",'[2]BASE'!IB68)</f>
      </c>
      <c r="Q68" s="1510">
        <f>IF('[2]BASE'!IC68=0,"",'[2]BASE'!IC68)</f>
        <v>1</v>
      </c>
      <c r="R68" s="1510">
        <f>IF('[2]BASE'!ID68=0,"",'[2]BASE'!ID68)</f>
      </c>
      <c r="S68" s="1510">
        <f>IF('[2]BASE'!IE68=0,"",'[2]BASE'!IE68)</f>
      </c>
      <c r="T68" s="1511"/>
      <c r="U68" s="1508"/>
    </row>
    <row r="69" spans="2:21" s="1502" customFormat="1" ht="19.5" customHeight="1">
      <c r="B69" s="1503"/>
      <c r="C69" s="1509">
        <f>IF('[2]BASE'!C69=0,"",'[2]BASE'!C69)</f>
        <v>50</v>
      </c>
      <c r="D69" s="1509" t="str">
        <f>IF('[2]BASE'!D69=0,"",'[2]BASE'!D69)</f>
        <v>RAMALLO - SAN NICOLAS (2)</v>
      </c>
      <c r="E69" s="1509">
        <f>IF('[2]BASE'!E69=0,"",'[2]BASE'!E69)</f>
        <v>220</v>
      </c>
      <c r="F69" s="1509">
        <f>IF('[2]BASE'!F69=0,"",'[2]BASE'!F69)</f>
        <v>6</v>
      </c>
      <c r="G69" s="1509" t="str">
        <f>IF('[3]BASE'!G69=0,"",'[3]BASE'!G69)</f>
        <v>C</v>
      </c>
      <c r="H69" s="1510">
        <f>IF('[2]BASE'!HT69=0,"",'[2]BASE'!HT69)</f>
      </c>
      <c r="I69" s="1510">
        <f>IF('[2]BASE'!HU69=0,"",'[2]BASE'!HU69)</f>
      </c>
      <c r="J69" s="1510">
        <f>IF('[2]BASE'!HV69=0,"",'[2]BASE'!HV69)</f>
      </c>
      <c r="K69" s="1510">
        <f>IF('[2]BASE'!HW69=0,"",'[2]BASE'!HW69)</f>
      </c>
      <c r="L69" s="1510">
        <f>IF('[2]BASE'!HX69=0,"",'[2]BASE'!HX69)</f>
      </c>
      <c r="M69" s="1510">
        <f>IF('[2]BASE'!HY69=0,"",'[2]BASE'!HY69)</f>
      </c>
      <c r="N69" s="1510">
        <f>IF('[2]BASE'!HZ69=0,"",'[2]BASE'!HZ69)</f>
      </c>
      <c r="O69" s="1510">
        <f>IF('[2]BASE'!IA69=0,"",'[2]BASE'!IA69)</f>
      </c>
      <c r="P69" s="1510">
        <f>IF('[2]BASE'!IB69=0,"",'[2]BASE'!IB69)</f>
      </c>
      <c r="Q69" s="1510">
        <f>IF('[2]BASE'!IC69=0,"",'[2]BASE'!IC69)</f>
      </c>
      <c r="R69" s="1510">
        <f>IF('[2]BASE'!ID69=0,"",'[2]BASE'!ID69)</f>
      </c>
      <c r="S69" s="1510">
        <f>IF('[2]BASE'!IE69=0,"",'[2]BASE'!IE69)</f>
      </c>
      <c r="T69" s="1511"/>
      <c r="U69" s="1508"/>
    </row>
    <row r="70" spans="2:21" s="1502" customFormat="1" ht="19.5" customHeight="1">
      <c r="B70" s="1503"/>
      <c r="C70" s="1509">
        <f>IF('[2]BASE'!C70=0,"",'[2]BASE'!C70)</f>
        <v>51</v>
      </c>
      <c r="D70" s="1509" t="str">
        <f>IF('[2]BASE'!D70=0,"",'[2]BASE'!D70)</f>
        <v>RAMALLO - SAN NICOLAS (1)</v>
      </c>
      <c r="E70" s="1509">
        <f>IF('[2]BASE'!E70=0,"",'[2]BASE'!E70)</f>
        <v>220</v>
      </c>
      <c r="F70" s="1509">
        <f>IF('[2]BASE'!F70=0,"",'[2]BASE'!F70)</f>
        <v>6</v>
      </c>
      <c r="G70" s="1509" t="str">
        <f>IF('[3]BASE'!G70=0,"",'[3]BASE'!G70)</f>
        <v>C</v>
      </c>
      <c r="H70" s="1510">
        <f>IF('[2]BASE'!HT70=0,"",'[2]BASE'!HT70)</f>
      </c>
      <c r="I70" s="1510">
        <f>IF('[2]BASE'!HU70=0,"",'[2]BASE'!HU70)</f>
      </c>
      <c r="J70" s="1510">
        <f>IF('[2]BASE'!HV70=0,"",'[2]BASE'!HV70)</f>
      </c>
      <c r="K70" s="1510">
        <f>IF('[2]BASE'!HW70=0,"",'[2]BASE'!HW70)</f>
      </c>
      <c r="L70" s="1510">
        <f>IF('[2]BASE'!HX70=0,"",'[2]BASE'!HX70)</f>
      </c>
      <c r="M70" s="1510">
        <f>IF('[2]BASE'!HY70=0,"",'[2]BASE'!HY70)</f>
      </c>
      <c r="N70" s="1510">
        <f>IF('[2]BASE'!HZ70=0,"",'[2]BASE'!HZ70)</f>
      </c>
      <c r="O70" s="1510">
        <f>IF('[2]BASE'!IA70=0,"",'[2]BASE'!IA70)</f>
      </c>
      <c r="P70" s="1510">
        <f>IF('[2]BASE'!IB70=0,"",'[2]BASE'!IB70)</f>
      </c>
      <c r="Q70" s="1510">
        <f>IF('[2]BASE'!IC70=0,"",'[2]BASE'!IC70)</f>
      </c>
      <c r="R70" s="1510">
        <f>IF('[2]BASE'!ID70=0,"",'[2]BASE'!ID70)</f>
      </c>
      <c r="S70" s="1510">
        <f>IF('[2]BASE'!IE70=0,"",'[2]BASE'!IE70)</f>
      </c>
      <c r="T70" s="1511"/>
      <c r="U70" s="1508"/>
    </row>
    <row r="71" spans="2:21" s="1502" customFormat="1" ht="19.5" customHeight="1">
      <c r="B71" s="1503"/>
      <c r="C71" s="1509">
        <f>IF('[2]BASE'!C71=0,"",'[2]BASE'!C71)</f>
        <v>52</v>
      </c>
      <c r="D71" s="1509" t="str">
        <f>IF('[2]BASE'!D71=0,"",'[2]BASE'!D71)</f>
        <v>RAMALLO - VILLA LIA  1</v>
      </c>
      <c r="E71" s="1509">
        <f>IF('[2]BASE'!E71=0,"",'[2]BASE'!E71)</f>
        <v>220</v>
      </c>
      <c r="F71" s="1509">
        <f>IF('[2]BASE'!F71=0,"",'[2]BASE'!F71)</f>
        <v>114</v>
      </c>
      <c r="G71" s="1509" t="str">
        <f>IF('[3]BASE'!G71=0,"",'[3]BASE'!G71)</f>
        <v>C</v>
      </c>
      <c r="H71" s="1510">
        <f>IF('[2]BASE'!HT71=0,"",'[2]BASE'!HT71)</f>
      </c>
      <c r="I71" s="1510">
        <f>IF('[2]BASE'!HU71=0,"",'[2]BASE'!HU71)</f>
        <v>2</v>
      </c>
      <c r="J71" s="1510">
        <f>IF('[2]BASE'!HV71=0,"",'[2]BASE'!HV71)</f>
      </c>
      <c r="K71" s="1510">
        <f>IF('[2]BASE'!HW71=0,"",'[2]BASE'!HW71)</f>
      </c>
      <c r="L71" s="1510">
        <f>IF('[2]BASE'!HX71=0,"",'[2]BASE'!HX71)</f>
        <v>2</v>
      </c>
      <c r="M71" s="1510">
        <f>IF('[2]BASE'!HY71=0,"",'[2]BASE'!HY71)</f>
      </c>
      <c r="N71" s="1510">
        <f>IF('[2]BASE'!HZ71=0,"",'[2]BASE'!HZ71)</f>
      </c>
      <c r="O71" s="1510">
        <f>IF('[2]BASE'!IA71=0,"",'[2]BASE'!IA71)</f>
      </c>
      <c r="P71" s="1510">
        <f>IF('[2]BASE'!IB71=0,"",'[2]BASE'!IB71)</f>
        <v>1</v>
      </c>
      <c r="Q71" s="1510">
        <f>IF('[2]BASE'!IC71=0,"",'[2]BASE'!IC71)</f>
      </c>
      <c r="R71" s="1510">
        <f>IF('[2]BASE'!ID71=0,"",'[2]BASE'!ID71)</f>
        <v>2</v>
      </c>
      <c r="S71" s="1510">
        <f>IF('[2]BASE'!IE71=0,"",'[2]BASE'!IE71)</f>
        <v>1</v>
      </c>
      <c r="T71" s="1511"/>
      <c r="U71" s="1508"/>
    </row>
    <row r="72" spans="2:21" s="1502" customFormat="1" ht="19.5" customHeight="1">
      <c r="B72" s="1503"/>
      <c r="C72" s="1509">
        <f>IF('[2]BASE'!C72=0,"",'[2]BASE'!C72)</f>
        <v>53</v>
      </c>
      <c r="D72" s="1509" t="str">
        <f>IF('[2]BASE'!D72=0,"",'[2]BASE'!D72)</f>
        <v>RAMALLO - VILLA LIA  2</v>
      </c>
      <c r="E72" s="1509">
        <f>IF('[2]BASE'!E72=0,"",'[2]BASE'!E72)</f>
        <v>220</v>
      </c>
      <c r="F72" s="1509">
        <f>IF('[2]BASE'!F72=0,"",'[2]BASE'!F72)</f>
        <v>114</v>
      </c>
      <c r="G72" s="1509" t="str">
        <f>IF('[3]BASE'!G72=0,"",'[3]BASE'!G72)</f>
        <v>C</v>
      </c>
      <c r="H72" s="1510">
        <f>IF('[2]BASE'!HT72=0,"",'[2]BASE'!HT72)</f>
      </c>
      <c r="I72" s="1510">
        <f>IF('[2]BASE'!HU72=0,"",'[2]BASE'!HU72)</f>
        <v>1</v>
      </c>
      <c r="J72" s="1510">
        <f>IF('[2]BASE'!HV72=0,"",'[2]BASE'!HV72)</f>
        <v>1</v>
      </c>
      <c r="K72" s="1510">
        <f>IF('[2]BASE'!HW72=0,"",'[2]BASE'!HW72)</f>
      </c>
      <c r="L72" s="1510">
        <f>IF('[2]BASE'!HX72=0,"",'[2]BASE'!HX72)</f>
      </c>
      <c r="M72" s="1510">
        <f>IF('[2]BASE'!HY72=0,"",'[2]BASE'!HY72)</f>
      </c>
      <c r="N72" s="1510">
        <f>IF('[2]BASE'!HZ72=0,"",'[2]BASE'!HZ72)</f>
        <v>2</v>
      </c>
      <c r="O72" s="1510">
        <f>IF('[2]BASE'!IA72=0,"",'[2]BASE'!IA72)</f>
        <v>1</v>
      </c>
      <c r="P72" s="1510">
        <f>IF('[2]BASE'!IB72=0,"",'[2]BASE'!IB72)</f>
      </c>
      <c r="Q72" s="1510">
        <f>IF('[2]BASE'!IC72=0,"",'[2]BASE'!IC72)</f>
      </c>
      <c r="R72" s="1510">
        <f>IF('[2]BASE'!ID72=0,"",'[2]BASE'!ID72)</f>
        <v>1</v>
      </c>
      <c r="S72" s="1510">
        <f>IF('[2]BASE'!IE72=0,"",'[2]BASE'!IE72)</f>
        <v>3</v>
      </c>
      <c r="T72" s="1511"/>
      <c r="U72" s="1508"/>
    </row>
    <row r="73" spans="2:21" s="1502" customFormat="1" ht="19.5" customHeight="1">
      <c r="B73" s="1503"/>
      <c r="C73" s="1509">
        <f>IF('[2]BASE'!C73=0,"",'[2]BASE'!C73)</f>
        <v>54</v>
      </c>
      <c r="D73" s="1509" t="str">
        <f>IF('[2]BASE'!D73=0,"",'[2]BASE'!D73)</f>
        <v>ROSARIO OESTE - RAMALLO  1</v>
      </c>
      <c r="E73" s="1509">
        <f>IF('[2]BASE'!E73=0,"",'[2]BASE'!E73)</f>
        <v>220</v>
      </c>
      <c r="F73" s="1509">
        <f>IF('[2]BASE'!F73=0,"",'[2]BASE'!F73)</f>
        <v>77</v>
      </c>
      <c r="G73" s="1509" t="str">
        <f>IF('[3]BASE'!G73=0,"",'[3]BASE'!G73)</f>
        <v>C</v>
      </c>
      <c r="H73" s="1510">
        <f>IF('[2]BASE'!HT73=0,"",'[2]BASE'!HT73)</f>
      </c>
      <c r="I73" s="1510">
        <f>IF('[2]BASE'!HU73=0,"",'[2]BASE'!HU73)</f>
        <v>1</v>
      </c>
      <c r="J73" s="1510">
        <f>IF('[2]BASE'!HV73=0,"",'[2]BASE'!HV73)</f>
      </c>
      <c r="K73" s="1510">
        <f>IF('[2]BASE'!HW73=0,"",'[2]BASE'!HW73)</f>
      </c>
      <c r="L73" s="1510">
        <f>IF('[2]BASE'!HX73=0,"",'[2]BASE'!HX73)</f>
      </c>
      <c r="M73" s="1510">
        <f>IF('[2]BASE'!HY73=0,"",'[2]BASE'!HY73)</f>
      </c>
      <c r="N73" s="1510">
        <f>IF('[2]BASE'!HZ73=0,"",'[2]BASE'!HZ73)</f>
      </c>
      <c r="O73" s="1510">
        <f>IF('[2]BASE'!IA73=0,"",'[2]BASE'!IA73)</f>
      </c>
      <c r="P73" s="1510">
        <f>IF('[2]BASE'!IB73=0,"",'[2]BASE'!IB73)</f>
      </c>
      <c r="Q73" s="1510">
        <f>IF('[2]BASE'!IC73=0,"",'[2]BASE'!IC73)</f>
      </c>
      <c r="R73" s="1510">
        <f>IF('[2]BASE'!ID73=0,"",'[2]BASE'!ID73)</f>
      </c>
      <c r="S73" s="1510">
        <f>IF('[2]BASE'!IE73=0,"",'[2]BASE'!IE73)</f>
      </c>
      <c r="T73" s="1511"/>
      <c r="U73" s="1508"/>
    </row>
    <row r="74" spans="2:21" s="1502" customFormat="1" ht="19.5" customHeight="1">
      <c r="B74" s="1503"/>
      <c r="C74" s="1509">
        <f>IF('[2]BASE'!C74=0,"",'[2]BASE'!C74)</f>
        <v>55</v>
      </c>
      <c r="D74" s="1509" t="str">
        <f>IF('[2]BASE'!D74=0,"",'[2]BASE'!D74)</f>
        <v>ROSARIO OESTE - RAMALLO  2</v>
      </c>
      <c r="E74" s="1509">
        <f>IF('[2]BASE'!E74=0,"",'[2]BASE'!E74)</f>
        <v>220</v>
      </c>
      <c r="F74" s="1509">
        <f>IF('[2]BASE'!F74=0,"",'[2]BASE'!F74)</f>
        <v>77</v>
      </c>
      <c r="G74" s="1509" t="str">
        <f>IF('[3]BASE'!G74=0,"",'[3]BASE'!G74)</f>
        <v>C</v>
      </c>
      <c r="H74" s="1510">
        <f>IF('[2]BASE'!HT74=0,"",'[2]BASE'!HT74)</f>
      </c>
      <c r="I74" s="1510">
        <f>IF('[2]BASE'!HU74=0,"",'[2]BASE'!HU74)</f>
      </c>
      <c r="J74" s="1510">
        <f>IF('[2]BASE'!HV74=0,"",'[2]BASE'!HV74)</f>
      </c>
      <c r="K74" s="1510">
        <f>IF('[2]BASE'!HW74=0,"",'[2]BASE'!HW74)</f>
      </c>
      <c r="L74" s="1510">
        <f>IF('[2]BASE'!HX74=0,"",'[2]BASE'!HX74)</f>
      </c>
      <c r="M74" s="1510">
        <f>IF('[2]BASE'!HY74=0,"",'[2]BASE'!HY74)</f>
      </c>
      <c r="N74" s="1510">
        <f>IF('[2]BASE'!HZ74=0,"",'[2]BASE'!HZ74)</f>
      </c>
      <c r="O74" s="1510">
        <f>IF('[2]BASE'!IA74=0,"",'[2]BASE'!IA74)</f>
      </c>
      <c r="P74" s="1510">
        <f>IF('[2]BASE'!IB74=0,"",'[2]BASE'!IB74)</f>
      </c>
      <c r="Q74" s="1510">
        <f>IF('[2]BASE'!IC74=0,"",'[2]BASE'!IC74)</f>
      </c>
      <c r="R74" s="1510">
        <f>IF('[2]BASE'!ID74=0,"",'[2]BASE'!ID74)</f>
      </c>
      <c r="S74" s="1510">
        <f>IF('[2]BASE'!IE74=0,"",'[2]BASE'!IE74)</f>
      </c>
      <c r="T74" s="1511"/>
      <c r="U74" s="1508"/>
    </row>
    <row r="75" spans="2:21" s="1502" customFormat="1" ht="19.5" customHeight="1">
      <c r="B75" s="1503"/>
      <c r="C75" s="1509">
        <f>IF('[2]BASE'!C75=0,"",'[2]BASE'!C75)</f>
        <v>56</v>
      </c>
      <c r="D75" s="1509" t="str">
        <f>IF('[2]BASE'!D75=0,"",'[2]BASE'!D75)</f>
        <v>VILLA LIA - ATUCHA 1</v>
      </c>
      <c r="E75" s="1509">
        <f>IF('[2]BASE'!E75=0,"",'[2]BASE'!E75)</f>
        <v>220</v>
      </c>
      <c r="F75" s="1509">
        <f>IF('[2]BASE'!F75=0,"",'[2]BASE'!F75)</f>
        <v>26</v>
      </c>
      <c r="G75" s="1509" t="str">
        <f>IF('[3]BASE'!G75=0,"",'[3]BASE'!G75)</f>
        <v>C</v>
      </c>
      <c r="H75" s="1510">
        <f>IF('[2]BASE'!HT75=0,"",'[2]BASE'!HT75)</f>
      </c>
      <c r="I75" s="1510">
        <f>IF('[2]BASE'!HU75=0,"",'[2]BASE'!HU75)</f>
      </c>
      <c r="J75" s="1510">
        <f>IF('[2]BASE'!HV75=0,"",'[2]BASE'!HV75)</f>
      </c>
      <c r="K75" s="1510">
        <f>IF('[2]BASE'!HW75=0,"",'[2]BASE'!HW75)</f>
      </c>
      <c r="L75" s="1510">
        <f>IF('[2]BASE'!HX75=0,"",'[2]BASE'!HX75)</f>
      </c>
      <c r="M75" s="1510">
        <f>IF('[2]BASE'!HY75=0,"",'[2]BASE'!HY75)</f>
      </c>
      <c r="N75" s="1510">
        <f>IF('[2]BASE'!HZ75=0,"",'[2]BASE'!HZ75)</f>
      </c>
      <c r="O75" s="1510">
        <f>IF('[2]BASE'!IA75=0,"",'[2]BASE'!IA75)</f>
      </c>
      <c r="P75" s="1510">
        <f>IF('[2]BASE'!IB75=0,"",'[2]BASE'!IB75)</f>
      </c>
      <c r="Q75" s="1510">
        <f>IF('[2]BASE'!IC75=0,"",'[2]BASE'!IC75)</f>
      </c>
      <c r="R75" s="1510">
        <f>IF('[2]BASE'!ID75=0,"",'[2]BASE'!ID75)</f>
      </c>
      <c r="S75" s="1510">
        <f>IF('[2]BASE'!IE75=0,"",'[2]BASE'!IE75)</f>
      </c>
      <c r="T75" s="1511"/>
      <c r="U75" s="1508"/>
    </row>
    <row r="76" spans="2:21" s="1502" customFormat="1" ht="19.5" customHeight="1">
      <c r="B76" s="1503"/>
      <c r="C76" s="1509">
        <f>IF('[2]BASE'!C76=0,"",'[2]BASE'!C76)</f>
        <v>57</v>
      </c>
      <c r="D76" s="1509" t="str">
        <f>IF('[2]BASE'!D76=0,"",'[2]BASE'!D76)</f>
        <v>VILLA LIA - ATUCHA 2</v>
      </c>
      <c r="E76" s="1509">
        <f>IF('[2]BASE'!E76=0,"",'[2]BASE'!E76)</f>
        <v>220</v>
      </c>
      <c r="F76" s="1509">
        <f>IF('[2]BASE'!F76=0,"",'[2]BASE'!F76)</f>
        <v>26</v>
      </c>
      <c r="G76" s="1509" t="str">
        <f>IF('[3]BASE'!G76=0,"",'[3]BASE'!G76)</f>
        <v>C</v>
      </c>
      <c r="H76" s="1510">
        <f>IF('[2]BASE'!HT76=0,"",'[2]BASE'!HT76)</f>
      </c>
      <c r="I76" s="1510">
        <f>IF('[2]BASE'!HU76=0,"",'[2]BASE'!HU76)</f>
      </c>
      <c r="J76" s="1510">
        <f>IF('[2]BASE'!HV76=0,"",'[2]BASE'!HV76)</f>
      </c>
      <c r="K76" s="1510">
        <f>IF('[2]BASE'!HW76=0,"",'[2]BASE'!HW76)</f>
        <v>4</v>
      </c>
      <c r="L76" s="1510">
        <f>IF('[2]BASE'!HX76=0,"",'[2]BASE'!HX76)</f>
      </c>
      <c r="M76" s="1510">
        <f>IF('[2]BASE'!HY76=0,"",'[2]BASE'!HY76)</f>
      </c>
      <c r="N76" s="1510">
        <f>IF('[2]BASE'!HZ76=0,"",'[2]BASE'!HZ76)</f>
      </c>
      <c r="O76" s="1510">
        <f>IF('[2]BASE'!IA76=0,"",'[2]BASE'!IA76)</f>
      </c>
      <c r="P76" s="1510">
        <f>IF('[2]BASE'!IB76=0,"",'[2]BASE'!IB76)</f>
      </c>
      <c r="Q76" s="1510">
        <f>IF('[2]BASE'!IC76=0,"",'[2]BASE'!IC76)</f>
      </c>
      <c r="R76" s="1510">
        <f>IF('[2]BASE'!ID76=0,"",'[2]BASE'!ID76)</f>
      </c>
      <c r="S76" s="1510">
        <f>IF('[2]BASE'!IE76=0,"",'[2]BASE'!IE76)</f>
      </c>
      <c r="T76" s="1511"/>
      <c r="U76" s="1508"/>
    </row>
    <row r="77" spans="2:21" s="1502" customFormat="1" ht="19.5" customHeight="1">
      <c r="B77" s="1503"/>
      <c r="C77" s="1509">
        <f>IF('[2]BASE'!C77=0,"",'[2]BASE'!C77)</f>
      </c>
      <c r="D77" s="1509">
        <f>IF('[2]BASE'!D77=0,"",'[2]BASE'!D77)</f>
      </c>
      <c r="E77" s="1509">
        <f>IF('[2]BASE'!E77=0,"",'[2]BASE'!E77)</f>
      </c>
      <c r="F77" s="1509">
        <f>IF('[2]BASE'!F77=0,"",'[2]BASE'!F77)</f>
      </c>
      <c r="G77" s="1509" t="str">
        <f>IF('[3]BASE'!G77=0,"",'[3]BASE'!G77)</f>
        <v>C</v>
      </c>
      <c r="H77" s="1510">
        <f>IF('[2]BASE'!HT77=0,"",'[2]BASE'!HT77)</f>
      </c>
      <c r="I77" s="1510">
        <f>IF('[2]BASE'!HU77=0,"",'[2]BASE'!HU77)</f>
      </c>
      <c r="J77" s="1510">
        <f>IF('[2]BASE'!HV77=0,"",'[2]BASE'!HV77)</f>
      </c>
      <c r="K77" s="1510">
        <f>IF('[2]BASE'!HW77=0,"",'[2]BASE'!HW77)</f>
      </c>
      <c r="L77" s="1510">
        <f>IF('[2]BASE'!HX77=0,"",'[2]BASE'!HX77)</f>
      </c>
      <c r="M77" s="1510">
        <f>IF('[2]BASE'!HY77=0,"",'[2]BASE'!HY77)</f>
      </c>
      <c r="N77" s="1510">
        <f>IF('[2]BASE'!HZ77=0,"",'[2]BASE'!HZ77)</f>
      </c>
      <c r="O77" s="1510">
        <f>IF('[2]BASE'!IA77=0,"",'[2]BASE'!IA77)</f>
      </c>
      <c r="P77" s="1510">
        <f>IF('[2]BASE'!IB77=0,"",'[2]BASE'!IB77)</f>
      </c>
      <c r="Q77" s="1510">
        <f>IF('[2]BASE'!IC77=0,"",'[2]BASE'!IC77)</f>
      </c>
      <c r="R77" s="1510">
        <f>IF('[2]BASE'!ID77=0,"",'[2]BASE'!ID77)</f>
      </c>
      <c r="S77" s="1510">
        <f>IF('[2]BASE'!IE77=0,"",'[2]BASE'!IE77)</f>
      </c>
      <c r="T77" s="1511"/>
      <c r="U77" s="1508"/>
    </row>
    <row r="78" spans="2:21" s="1502" customFormat="1" ht="19.5" customHeight="1">
      <c r="B78" s="1503"/>
      <c r="C78" s="1509">
        <f>IF('[2]BASE'!C78=0,"",'[2]BASE'!C78)</f>
        <v>58</v>
      </c>
      <c r="D78" s="1509" t="str">
        <f>IF('[2]BASE'!D78=0,"",'[2]BASE'!D78)</f>
        <v>GRAL RODRIGUEZ - RAMALLO</v>
      </c>
      <c r="E78" s="1509">
        <f>IF('[2]BASE'!E78=0,"",'[2]BASE'!E78)</f>
        <v>500</v>
      </c>
      <c r="F78" s="1509">
        <f>IF('[2]BASE'!F78=0,"",'[2]BASE'!F78)</f>
        <v>183.9</v>
      </c>
      <c r="G78" s="1509" t="str">
        <f>IF('[3]BASE'!G78=0,"",'[3]BASE'!G78)</f>
        <v>A</v>
      </c>
      <c r="H78" s="1510">
        <f>IF('[2]BASE'!HT78=0,"",'[2]BASE'!HT78)</f>
      </c>
      <c r="I78" s="1510">
        <f>IF('[2]BASE'!HU78=0,"",'[2]BASE'!HU78)</f>
      </c>
      <c r="J78" s="1510">
        <f>IF('[2]BASE'!HV78=0,"",'[2]BASE'!HV78)</f>
      </c>
      <c r="K78" s="1510">
        <f>IF('[2]BASE'!HW78=0,"",'[2]BASE'!HW78)</f>
      </c>
      <c r="L78" s="1510">
        <f>IF('[2]BASE'!HX78=0,"",'[2]BASE'!HX78)</f>
      </c>
      <c r="M78" s="1510">
        <f>IF('[2]BASE'!HY78=0,"",'[2]BASE'!HY78)</f>
      </c>
      <c r="N78" s="1510">
        <f>IF('[2]BASE'!HZ78=0,"",'[2]BASE'!HZ78)</f>
      </c>
      <c r="O78" s="1510">
        <f>IF('[2]BASE'!IA78=0,"",'[2]BASE'!IA78)</f>
      </c>
      <c r="P78" s="1510">
        <f>IF('[2]BASE'!IB78=0,"",'[2]BASE'!IB78)</f>
      </c>
      <c r="Q78" s="1510">
        <f>IF('[2]BASE'!IC78=0,"",'[2]BASE'!IC78)</f>
      </c>
      <c r="R78" s="1510">
        <f>IF('[2]BASE'!ID78=0,"",'[2]BASE'!ID78)</f>
      </c>
      <c r="S78" s="1510">
        <f>IF('[2]BASE'!IE78=0,"",'[2]BASE'!IE78)</f>
      </c>
      <c r="T78" s="1511"/>
      <c r="U78" s="1508"/>
    </row>
    <row r="79" spans="2:21" s="1502" customFormat="1" ht="19.5" customHeight="1">
      <c r="B79" s="1503"/>
      <c r="C79" s="1509">
        <f>IF('[2]BASE'!C79=0,"",'[2]BASE'!C79)</f>
        <v>59</v>
      </c>
      <c r="D79" s="1509" t="str">
        <f>IF('[2]BASE'!D79=0,"",'[2]BASE'!D79)</f>
        <v>RAMALLO - ROSARIO OESTE</v>
      </c>
      <c r="E79" s="1509">
        <f>IF('[2]BASE'!E79=0,"",'[2]BASE'!E79)</f>
        <v>500</v>
      </c>
      <c r="F79" s="1509">
        <f>IF('[2]BASE'!F79=0,"",'[2]BASE'!F79)</f>
        <v>77</v>
      </c>
      <c r="G79" s="1509" t="str">
        <f>IF('[3]BASE'!G79=0,"",'[3]BASE'!G79)</f>
        <v>A</v>
      </c>
      <c r="H79" s="1510">
        <f>IF('[2]BASE'!HT79=0,"",'[2]BASE'!HT79)</f>
      </c>
      <c r="I79" s="1510">
        <f>IF('[2]BASE'!HU79=0,"",'[2]BASE'!HU79)</f>
      </c>
      <c r="J79" s="1510">
        <f>IF('[2]BASE'!HV79=0,"",'[2]BASE'!HV79)</f>
      </c>
      <c r="K79" s="1510">
        <f>IF('[2]BASE'!HW79=0,"",'[2]BASE'!HW79)</f>
      </c>
      <c r="L79" s="1510">
        <f>IF('[2]BASE'!HX79=0,"",'[2]BASE'!HX79)</f>
      </c>
      <c r="M79" s="1510">
        <f>IF('[2]BASE'!HY79=0,"",'[2]BASE'!HY79)</f>
      </c>
      <c r="N79" s="1510">
        <f>IF('[2]BASE'!HZ79=0,"",'[2]BASE'!HZ79)</f>
      </c>
      <c r="O79" s="1510">
        <f>IF('[2]BASE'!IA79=0,"",'[2]BASE'!IA79)</f>
      </c>
      <c r="P79" s="1510">
        <f>IF('[2]BASE'!IB79=0,"",'[2]BASE'!IB79)</f>
      </c>
      <c r="Q79" s="1510">
        <f>IF('[2]BASE'!IC79=0,"",'[2]BASE'!IC79)</f>
      </c>
      <c r="R79" s="1510">
        <f>IF('[2]BASE'!ID79=0,"",'[2]BASE'!ID79)</f>
      </c>
      <c r="S79" s="1510">
        <f>IF('[2]BASE'!IE79=0,"",'[2]BASE'!IE79)</f>
      </c>
      <c r="T79" s="1511"/>
      <c r="U79" s="1508"/>
    </row>
    <row r="80" spans="2:21" s="1502" customFormat="1" ht="19.5" customHeight="1">
      <c r="B80" s="1503"/>
      <c r="C80" s="1509">
        <f>IF('[2]BASE'!C80=0,"",'[2]BASE'!C80)</f>
        <v>60</v>
      </c>
      <c r="D80" s="1509" t="str">
        <f>IF('[2]BASE'!D80=0,"",'[2]BASE'!D80)</f>
        <v>MACACHIN - HENDERSON</v>
      </c>
      <c r="E80" s="1509">
        <f>IF('[2]BASE'!E80=0,"",'[2]BASE'!E80)</f>
        <v>500</v>
      </c>
      <c r="F80" s="1509">
        <f>IF('[2]BASE'!F80=0,"",'[2]BASE'!F80)</f>
        <v>194</v>
      </c>
      <c r="G80" s="1509" t="str">
        <f>IF('[3]BASE'!G80=0,"",'[3]BASE'!G80)</f>
        <v>A</v>
      </c>
      <c r="H80" s="1510">
        <f>IF('[2]BASE'!HT80=0,"",'[2]BASE'!HT80)</f>
      </c>
      <c r="I80" s="1510">
        <f>IF('[2]BASE'!HU80=0,"",'[2]BASE'!HU80)</f>
      </c>
      <c r="J80" s="1510">
        <f>IF('[2]BASE'!HV80=0,"",'[2]BASE'!HV80)</f>
      </c>
      <c r="K80" s="1510">
        <f>IF('[2]BASE'!HW80=0,"",'[2]BASE'!HW80)</f>
      </c>
      <c r="L80" s="1510">
        <f>IF('[2]BASE'!HX80=0,"",'[2]BASE'!HX80)</f>
      </c>
      <c r="M80" s="1510">
        <f>IF('[2]BASE'!HY80=0,"",'[2]BASE'!HY80)</f>
      </c>
      <c r="N80" s="1510">
        <f>IF('[2]BASE'!HZ80=0,"",'[2]BASE'!HZ80)</f>
      </c>
      <c r="O80" s="1510">
        <f>IF('[2]BASE'!IA80=0,"",'[2]BASE'!IA80)</f>
      </c>
      <c r="P80" s="1510">
        <f>IF('[2]BASE'!IB80=0,"",'[2]BASE'!IB80)</f>
      </c>
      <c r="Q80" s="1510">
        <f>IF('[2]BASE'!IC80=0,"",'[2]BASE'!IC80)</f>
      </c>
      <c r="R80" s="1510">
        <f>IF('[2]BASE'!ID80=0,"",'[2]BASE'!ID80)</f>
      </c>
      <c r="S80" s="1510">
        <f>IF('[2]BASE'!IE80=0,"",'[2]BASE'!IE80)</f>
      </c>
      <c r="T80" s="1511"/>
      <c r="U80" s="1508"/>
    </row>
    <row r="81" spans="2:21" s="1502" customFormat="1" ht="19.5" customHeight="1">
      <c r="B81" s="1503"/>
      <c r="C81" s="1509">
        <f>IF('[2]BASE'!C81=0,"",'[2]BASE'!C81)</f>
        <v>61</v>
      </c>
      <c r="D81" s="1509" t="str">
        <f>IF('[2]BASE'!D81=0,"",'[2]BASE'!D81)</f>
        <v>PUELCHES - MACACHIN</v>
      </c>
      <c r="E81" s="1509">
        <f>IF('[2]BASE'!E81=0,"",'[2]BASE'!E81)</f>
        <v>500</v>
      </c>
      <c r="F81" s="1509">
        <f>IF('[2]BASE'!F81=0,"",'[2]BASE'!F81)</f>
        <v>227</v>
      </c>
      <c r="G81" s="1509" t="str">
        <f>IF('[3]BASE'!G81=0,"",'[3]BASE'!G81)</f>
        <v>A</v>
      </c>
      <c r="H81" s="1510">
        <f>IF('[2]BASE'!HT81=0,"",'[2]BASE'!HT81)</f>
      </c>
      <c r="I81" s="1510">
        <f>IF('[2]BASE'!HU81=0,"",'[2]BASE'!HU81)</f>
      </c>
      <c r="J81" s="1510">
        <f>IF('[2]BASE'!HV81=0,"",'[2]BASE'!HV81)</f>
      </c>
      <c r="K81" s="1510">
        <f>IF('[2]BASE'!HW81=0,"",'[2]BASE'!HW81)</f>
      </c>
      <c r="L81" s="1510">
        <f>IF('[2]BASE'!HX81=0,"",'[2]BASE'!HX81)</f>
      </c>
      <c r="M81" s="1510">
        <f>IF('[2]BASE'!HY81=0,"",'[2]BASE'!HY81)</f>
      </c>
      <c r="N81" s="1510">
        <f>IF('[2]BASE'!HZ81=0,"",'[2]BASE'!HZ81)</f>
      </c>
      <c r="O81" s="1510">
        <f>IF('[2]BASE'!IA81=0,"",'[2]BASE'!IA81)</f>
      </c>
      <c r="P81" s="1510">
        <f>IF('[2]BASE'!IB81=0,"",'[2]BASE'!IB81)</f>
      </c>
      <c r="Q81" s="1510">
        <f>IF('[2]BASE'!IC81=0,"",'[2]BASE'!IC81)</f>
      </c>
      <c r="R81" s="1510">
        <f>IF('[2]BASE'!ID81=0,"",'[2]BASE'!ID81)</f>
      </c>
      <c r="S81" s="1510">
        <f>IF('[2]BASE'!IE81=0,"",'[2]BASE'!IE81)</f>
      </c>
      <c r="T81" s="1511"/>
      <c r="U81" s="1508"/>
    </row>
    <row r="82" spans="2:21" s="1502" customFormat="1" ht="19.5" customHeight="1">
      <c r="B82" s="1503"/>
      <c r="C82" s="1509">
        <f>IF('[2]BASE'!C82=0,"",'[2]BASE'!C82)</f>
      </c>
      <c r="D82" s="1509">
        <f>IF('[2]BASE'!D82=0,"",'[2]BASE'!D82)</f>
      </c>
      <c r="E82" s="1509">
        <f>IF('[2]BASE'!E82=0,"",'[2]BASE'!E82)</f>
      </c>
      <c r="F82" s="1509">
        <f>IF('[2]BASE'!F82=0,"",'[2]BASE'!F82)</f>
      </c>
      <c r="G82" s="1509" t="str">
        <f>IF('[3]BASE'!G82=0,"",'[3]BASE'!G82)</f>
        <v>B</v>
      </c>
      <c r="H82" s="1510">
        <f>IF('[2]BASE'!HT82=0,"",'[2]BASE'!HT82)</f>
      </c>
      <c r="I82" s="1510">
        <f>IF('[2]BASE'!HU82=0,"",'[2]BASE'!HU82)</f>
      </c>
      <c r="J82" s="1510">
        <f>IF('[2]BASE'!HV82=0,"",'[2]BASE'!HV82)</f>
      </c>
      <c r="K82" s="1510">
        <f>IF('[2]BASE'!HW82=0,"",'[2]BASE'!HW82)</f>
      </c>
      <c r="L82" s="1510">
        <f>IF('[2]BASE'!HX82=0,"",'[2]BASE'!HX82)</f>
      </c>
      <c r="M82" s="1510">
        <f>IF('[2]BASE'!HY82=0,"",'[2]BASE'!HY82)</f>
      </c>
      <c r="N82" s="1510">
        <f>IF('[2]BASE'!HZ82=0,"",'[2]BASE'!HZ82)</f>
      </c>
      <c r="O82" s="1510">
        <f>IF('[2]BASE'!IA82=0,"",'[2]BASE'!IA82)</f>
      </c>
      <c r="P82" s="1510">
        <f>IF('[2]BASE'!IB82=0,"",'[2]BASE'!IB82)</f>
      </c>
      <c r="Q82" s="1510">
        <f>IF('[2]BASE'!IC82=0,"",'[2]BASE'!IC82)</f>
      </c>
      <c r="R82" s="1510">
        <f>IF('[2]BASE'!ID82=0,"",'[2]BASE'!ID82)</f>
      </c>
      <c r="S82" s="1510">
        <f>IF('[2]BASE'!IE82=0,"",'[2]BASE'!IE82)</f>
      </c>
      <c r="T82" s="1511"/>
      <c r="U82" s="1508"/>
    </row>
    <row r="83" spans="2:21" s="1502" customFormat="1" ht="19.5" customHeight="1">
      <c r="B83" s="1503"/>
      <c r="C83" s="1509">
        <f>IF('[2]BASE'!C83=0,"",'[2]BASE'!C83)</f>
      </c>
      <c r="D83" s="1509">
        <f>IF('[2]BASE'!D83=0,"",'[2]BASE'!D83)</f>
      </c>
      <c r="E83" s="1509">
        <f>IF('[2]BASE'!E83=0,"",'[2]BASE'!E83)</f>
      </c>
      <c r="F83" s="1509">
        <f>IF('[2]BASE'!F83=0,"",'[2]BASE'!F83)</f>
      </c>
      <c r="G83" s="1509" t="str">
        <f>IF('[3]BASE'!G83=0,"",'[3]BASE'!G83)</f>
        <v>B</v>
      </c>
      <c r="H83" s="1510">
        <f>IF('[2]BASE'!HT83=0,"",'[2]BASE'!HT83)</f>
      </c>
      <c r="I83" s="1510">
        <f>IF('[2]BASE'!HU83=0,"",'[2]BASE'!HU83)</f>
      </c>
      <c r="J83" s="1510">
        <f>IF('[2]BASE'!HV83=0,"",'[2]BASE'!HV83)</f>
      </c>
      <c r="K83" s="1510">
        <f>IF('[2]BASE'!HW83=0,"",'[2]BASE'!HW83)</f>
      </c>
      <c r="L83" s="1510">
        <f>IF('[2]BASE'!HX83=0,"",'[2]BASE'!HX83)</f>
      </c>
      <c r="M83" s="1510">
        <f>IF('[2]BASE'!HY83=0,"",'[2]BASE'!HY83)</f>
      </c>
      <c r="N83" s="1510">
        <f>IF('[2]BASE'!HZ83=0,"",'[2]BASE'!HZ83)</f>
      </c>
      <c r="O83" s="1510">
        <f>IF('[2]BASE'!IA83=0,"",'[2]BASE'!IA83)</f>
      </c>
      <c r="P83" s="1510">
        <f>IF('[2]BASE'!IB83=0,"",'[2]BASE'!IB83)</f>
      </c>
      <c r="Q83" s="1510">
        <f>IF('[2]BASE'!IC83=0,"",'[2]BASE'!IC83)</f>
      </c>
      <c r="R83" s="1510">
        <f>IF('[2]BASE'!ID83=0,"",'[2]BASE'!ID83)</f>
      </c>
      <c r="S83" s="1510">
        <f>IF('[2]BASE'!IE83=0,"",'[2]BASE'!IE83)</f>
      </c>
      <c r="T83" s="1511"/>
      <c r="U83" s="1508"/>
    </row>
    <row r="84" spans="2:21" s="1502" customFormat="1" ht="19.5" customHeight="1">
      <c r="B84" s="1503"/>
      <c r="C84" s="1509">
        <f>IF('[2]BASE'!C84=0,"",'[2]BASE'!C84)</f>
        <v>62</v>
      </c>
      <c r="D84" s="1509" t="str">
        <f>IF('[2]BASE'!D84=0,"",'[2]BASE'!D84)</f>
        <v>YACYRETÁ - RINCON I</v>
      </c>
      <c r="E84" s="1509">
        <f>IF('[2]BASE'!E84=0,"",'[2]BASE'!E84)</f>
        <v>500</v>
      </c>
      <c r="F84" s="1509">
        <f>IF('[2]BASE'!F84=0,"",'[2]BASE'!F84)</f>
        <v>3.6</v>
      </c>
      <c r="G84" s="1509" t="str">
        <f>IF('[3]BASE'!G84=0,"",'[3]BASE'!G84)</f>
        <v>B</v>
      </c>
      <c r="H84" s="1510">
        <f>IF('[2]BASE'!HT84=0,"",'[2]BASE'!HT84)</f>
      </c>
      <c r="I84" s="1510">
        <f>IF('[2]BASE'!HU84=0,"",'[2]BASE'!HU84)</f>
      </c>
      <c r="J84" s="1510">
        <f>IF('[2]BASE'!HV84=0,"",'[2]BASE'!HV84)</f>
      </c>
      <c r="K84" s="1510">
        <f>IF('[2]BASE'!HW84=0,"",'[2]BASE'!HW84)</f>
      </c>
      <c r="L84" s="1510">
        <f>IF('[2]BASE'!HX84=0,"",'[2]BASE'!HX84)</f>
      </c>
      <c r="M84" s="1510">
        <f>IF('[2]BASE'!HY84=0,"",'[2]BASE'!HY84)</f>
      </c>
      <c r="N84" s="1510">
        <f>IF('[2]BASE'!HZ84=0,"",'[2]BASE'!HZ84)</f>
      </c>
      <c r="O84" s="1510">
        <f>IF('[2]BASE'!IA84=0,"",'[2]BASE'!IA84)</f>
      </c>
      <c r="P84" s="1510">
        <f>IF('[2]BASE'!IB84=0,"",'[2]BASE'!IB84)</f>
      </c>
      <c r="Q84" s="1510">
        <f>IF('[2]BASE'!IC84=0,"",'[2]BASE'!IC84)</f>
      </c>
      <c r="R84" s="1510">
        <f>IF('[2]BASE'!ID84=0,"",'[2]BASE'!ID84)</f>
      </c>
      <c r="S84" s="1510">
        <f>IF('[2]BASE'!IE84=0,"",'[2]BASE'!IE84)</f>
      </c>
      <c r="T84" s="1511"/>
      <c r="U84" s="1508"/>
    </row>
    <row r="85" spans="2:21" s="1502" customFormat="1" ht="19.5" customHeight="1">
      <c r="B85" s="1503"/>
      <c r="C85" s="1509">
        <f>IF('[2]BASE'!C85=0,"",'[2]BASE'!C85)</f>
        <v>63</v>
      </c>
      <c r="D85" s="1509" t="str">
        <f>IF('[2]BASE'!D85=0,"",'[2]BASE'!D85)</f>
        <v>YACYRETÁ - RINCON II</v>
      </c>
      <c r="E85" s="1509">
        <f>IF('[2]BASE'!E85=0,"",'[2]BASE'!E85)</f>
        <v>500</v>
      </c>
      <c r="F85" s="1509">
        <f>IF('[2]BASE'!F85=0,"",'[2]BASE'!F85)</f>
        <v>3.6</v>
      </c>
      <c r="G85" s="1509" t="str">
        <f>IF('[3]BASE'!G85=0,"",'[3]BASE'!G85)</f>
        <v>A</v>
      </c>
      <c r="H85" s="1510">
        <f>IF('[2]BASE'!HT85=0,"",'[2]BASE'!HT85)</f>
      </c>
      <c r="I85" s="1510">
        <f>IF('[2]BASE'!HU85=0,"",'[2]BASE'!HU85)</f>
      </c>
      <c r="J85" s="1510">
        <f>IF('[2]BASE'!HV85=0,"",'[2]BASE'!HV85)</f>
      </c>
      <c r="K85" s="1510">
        <f>IF('[2]BASE'!HW85=0,"",'[2]BASE'!HW85)</f>
      </c>
      <c r="L85" s="1510">
        <f>IF('[2]BASE'!HX85=0,"",'[2]BASE'!HX85)</f>
      </c>
      <c r="M85" s="1510">
        <f>IF('[2]BASE'!HY85=0,"",'[2]BASE'!HY85)</f>
      </c>
      <c r="N85" s="1510">
        <f>IF('[2]BASE'!HZ85=0,"",'[2]BASE'!HZ85)</f>
      </c>
      <c r="O85" s="1510">
        <f>IF('[2]BASE'!IA85=0,"",'[2]BASE'!IA85)</f>
      </c>
      <c r="P85" s="1510">
        <f>IF('[2]BASE'!IB85=0,"",'[2]BASE'!IB85)</f>
      </c>
      <c r="Q85" s="1510">
        <f>IF('[2]BASE'!IC85=0,"",'[2]BASE'!IC85)</f>
      </c>
      <c r="R85" s="1510">
        <f>IF('[2]BASE'!ID85=0,"",'[2]BASE'!ID85)</f>
      </c>
      <c r="S85" s="1510">
        <f>IF('[2]BASE'!IE85=0,"",'[2]BASE'!IE85)</f>
      </c>
      <c r="T85" s="1511"/>
      <c r="U85" s="1508"/>
    </row>
    <row r="86" spans="2:21" s="1502" customFormat="1" ht="19.5" customHeight="1">
      <c r="B86" s="1503"/>
      <c r="C86" s="1509">
        <f>IF('[2]BASE'!C86=0,"",'[2]BASE'!C86)</f>
        <v>64</v>
      </c>
      <c r="D86" s="1509" t="str">
        <f>IF('[2]BASE'!D86=0,"",'[2]BASE'!D86)</f>
        <v>YACYRETÁ - RINCON III</v>
      </c>
      <c r="E86" s="1509">
        <f>IF('[2]BASE'!E86=0,"",'[2]BASE'!E86)</f>
        <v>500</v>
      </c>
      <c r="F86" s="1509">
        <f>IF('[2]BASE'!F86=0,"",'[2]BASE'!F86)</f>
        <v>3.6</v>
      </c>
      <c r="G86" s="1509" t="str">
        <f>IF('[3]BASE'!G86=0,"",'[3]BASE'!G86)</f>
        <v>C</v>
      </c>
      <c r="H86" s="1510">
        <f>IF('[2]BASE'!HT86=0,"",'[2]BASE'!HT86)</f>
      </c>
      <c r="I86" s="1510">
        <f>IF('[2]BASE'!HU86=0,"",'[2]BASE'!HU86)</f>
      </c>
      <c r="J86" s="1510">
        <f>IF('[2]BASE'!HV86=0,"",'[2]BASE'!HV86)</f>
      </c>
      <c r="K86" s="1510">
        <f>IF('[2]BASE'!HW86=0,"",'[2]BASE'!HW86)</f>
      </c>
      <c r="L86" s="1510">
        <f>IF('[2]BASE'!HX86=0,"",'[2]BASE'!HX86)</f>
      </c>
      <c r="M86" s="1510">
        <f>IF('[2]BASE'!HY86=0,"",'[2]BASE'!HY86)</f>
      </c>
      <c r="N86" s="1510">
        <f>IF('[2]BASE'!HZ86=0,"",'[2]BASE'!HZ86)</f>
      </c>
      <c r="O86" s="1510">
        <f>IF('[2]BASE'!IA86=0,"",'[2]BASE'!IA86)</f>
      </c>
      <c r="P86" s="1510">
        <f>IF('[2]BASE'!IB86=0,"",'[2]BASE'!IB86)</f>
      </c>
      <c r="Q86" s="1510">
        <f>IF('[2]BASE'!IC86=0,"",'[2]BASE'!IC86)</f>
      </c>
      <c r="R86" s="1510">
        <f>IF('[2]BASE'!ID86=0,"",'[2]BASE'!ID86)</f>
      </c>
      <c r="S86" s="1510">
        <f>IF('[2]BASE'!IE86=0,"",'[2]BASE'!IE86)</f>
      </c>
      <c r="T86" s="1511"/>
      <c r="U86" s="1508"/>
    </row>
    <row r="87" spans="2:21" s="1502" customFormat="1" ht="19.5" customHeight="1">
      <c r="B87" s="1503"/>
      <c r="C87" s="1509">
        <f>IF('[2]BASE'!C87=0,"",'[2]BASE'!C87)</f>
        <v>65</v>
      </c>
      <c r="D87" s="1509" t="str">
        <f>IF('[2]BASE'!D87=0,"",'[2]BASE'!D87)</f>
        <v>RINCON - PASO DE LA PATRIA</v>
      </c>
      <c r="E87" s="1509">
        <f>IF('[2]BASE'!E87=0,"",'[2]BASE'!E87)</f>
        <v>500</v>
      </c>
      <c r="F87" s="1509">
        <f>IF('[2]BASE'!F87=0,"",'[2]BASE'!F87)</f>
        <v>227</v>
      </c>
      <c r="G87" s="1509" t="str">
        <f>IF('[3]BASE'!G87=0,"",'[3]BASE'!G87)</f>
        <v>B</v>
      </c>
      <c r="H87" s="1510">
        <f>IF('[2]BASE'!HT87=0,"",'[2]BASE'!HT87)</f>
      </c>
      <c r="I87" s="1510">
        <f>IF('[2]BASE'!HU87=0,"",'[2]BASE'!HU87)</f>
      </c>
      <c r="J87" s="1510">
        <f>IF('[2]BASE'!HV87=0,"",'[2]BASE'!HV87)</f>
      </c>
      <c r="K87" s="1510">
        <f>IF('[2]BASE'!HW87=0,"",'[2]BASE'!HW87)</f>
      </c>
      <c r="L87" s="1510">
        <f>IF('[2]BASE'!HX87=0,"",'[2]BASE'!HX87)</f>
      </c>
      <c r="M87" s="1510">
        <f>IF('[2]BASE'!HY87=0,"",'[2]BASE'!HY87)</f>
      </c>
      <c r="N87" s="1510">
        <f>IF('[2]BASE'!HZ87=0,"",'[2]BASE'!HZ87)</f>
      </c>
      <c r="O87" s="1510">
        <f>IF('[2]BASE'!IA87=0,"",'[2]BASE'!IA87)</f>
      </c>
      <c r="P87" s="1510">
        <f>IF('[2]BASE'!IB87=0,"",'[2]BASE'!IB87)</f>
      </c>
      <c r="Q87" s="1510">
        <f>IF('[2]BASE'!IC87=0,"",'[2]BASE'!IC87)</f>
      </c>
      <c r="R87" s="1510">
        <f>IF('[2]BASE'!ID87=0,"",'[2]BASE'!ID87)</f>
      </c>
      <c r="S87" s="1510">
        <f>IF('[2]BASE'!IE87=0,"",'[2]BASE'!IE87)</f>
      </c>
      <c r="T87" s="1511"/>
      <c r="U87" s="1508"/>
    </row>
    <row r="88" spans="2:21" s="1502" customFormat="1" ht="19.5" customHeight="1">
      <c r="B88" s="1503"/>
      <c r="C88" s="1509">
        <f>IF('[2]BASE'!C88=0,"",'[2]BASE'!C88)</f>
        <v>66</v>
      </c>
      <c r="D88" s="1509" t="str">
        <f>IF('[2]BASE'!D88=0,"",'[2]BASE'!D88)</f>
        <v>PASO DE LA PATRIA - RESISTENCIA</v>
      </c>
      <c r="E88" s="1509">
        <f>IF('[2]BASE'!E88=0,"",'[2]BASE'!E88)</f>
        <v>500</v>
      </c>
      <c r="F88" s="1509">
        <f>IF('[2]BASE'!F88=0,"",'[2]BASE'!F88)</f>
        <v>40</v>
      </c>
      <c r="G88" s="1509" t="str">
        <f>IF('[3]BASE'!G88=0,"",'[3]BASE'!G88)</f>
        <v>C</v>
      </c>
      <c r="H88" s="1510">
        <f>IF('[2]BASE'!HT88=0,"",'[2]BASE'!HT88)</f>
      </c>
      <c r="I88" s="1510">
        <f>IF('[2]BASE'!HU88=0,"",'[2]BASE'!HU88)</f>
      </c>
      <c r="J88" s="1510">
        <f>IF('[2]BASE'!HV88=0,"",'[2]BASE'!HV88)</f>
      </c>
      <c r="K88" s="1510">
        <f>IF('[2]BASE'!HW88=0,"",'[2]BASE'!HW88)</f>
      </c>
      <c r="L88" s="1510">
        <f>IF('[2]BASE'!HX88=0,"",'[2]BASE'!HX88)</f>
      </c>
      <c r="M88" s="1510">
        <f>IF('[2]BASE'!HY88=0,"",'[2]BASE'!HY88)</f>
      </c>
      <c r="N88" s="1510">
        <f>IF('[2]BASE'!HZ88=0,"",'[2]BASE'!HZ88)</f>
      </c>
      <c r="O88" s="1510">
        <f>IF('[2]BASE'!IA88=0,"",'[2]BASE'!IA88)</f>
      </c>
      <c r="P88" s="1510">
        <f>IF('[2]BASE'!IB88=0,"",'[2]BASE'!IB88)</f>
      </c>
      <c r="Q88" s="1510">
        <f>IF('[2]BASE'!IC88=0,"",'[2]BASE'!IC88)</f>
      </c>
      <c r="R88" s="1510">
        <f>IF('[2]BASE'!ID88=0,"",'[2]BASE'!ID88)</f>
      </c>
      <c r="S88" s="1510">
        <f>IF('[2]BASE'!IE88=0,"",'[2]BASE'!IE88)</f>
      </c>
      <c r="T88" s="1511"/>
      <c r="U88" s="1508"/>
    </row>
    <row r="89" spans="2:21" s="1502" customFormat="1" ht="19.5" customHeight="1">
      <c r="B89" s="1503"/>
      <c r="C89" s="1509">
        <f>IF('[2]BASE'!C89=0,"",'[2]BASE'!C89)</f>
        <v>67</v>
      </c>
      <c r="D89" s="1509" t="str">
        <f>IF('[2]BASE'!D89=0,"",'[2]BASE'!D89)</f>
        <v>RINCON - RESISTENCIA</v>
      </c>
      <c r="E89" s="1509">
        <f>IF('[2]BASE'!E89=0,"",'[2]BASE'!E89)</f>
        <v>500</v>
      </c>
      <c r="F89" s="1509">
        <f>IF('[2]BASE'!F89=0,"",'[2]BASE'!F89)</f>
        <v>267</v>
      </c>
      <c r="G89" s="1509" t="str">
        <f>IF('[3]BASE'!G89=0,"",'[3]BASE'!G89)</f>
        <v>A</v>
      </c>
      <c r="H89" s="1510" t="str">
        <f>IF('[2]BASE'!HT89=0,"",'[2]BASE'!HT89)</f>
        <v>XXXX</v>
      </c>
      <c r="I89" s="1510" t="str">
        <f>IF('[2]BASE'!HU89=0,"",'[2]BASE'!HU89)</f>
        <v>XXXX</v>
      </c>
      <c r="J89" s="1510" t="str">
        <f>IF('[2]BASE'!HV89=0,"",'[2]BASE'!HV89)</f>
        <v>XXXX</v>
      </c>
      <c r="K89" s="1510" t="str">
        <f>IF('[2]BASE'!HW89=0,"",'[2]BASE'!HW89)</f>
        <v>XXXX</v>
      </c>
      <c r="L89" s="1510" t="str">
        <f>IF('[2]BASE'!HX89=0,"",'[2]BASE'!HX89)</f>
        <v>XXXX</v>
      </c>
      <c r="M89" s="1510" t="str">
        <f>IF('[2]BASE'!HY89=0,"",'[2]BASE'!HY89)</f>
        <v>XXXX</v>
      </c>
      <c r="N89" s="1510" t="str">
        <f>IF('[2]BASE'!HZ89=0,"",'[2]BASE'!HZ89)</f>
        <v>XXXX</v>
      </c>
      <c r="O89" s="1510" t="str">
        <f>IF('[2]BASE'!IA89=0,"",'[2]BASE'!IA89)</f>
        <v>XXXX</v>
      </c>
      <c r="P89" s="1510" t="str">
        <f>IF('[2]BASE'!IB89=0,"",'[2]BASE'!IB89)</f>
        <v>XXXX</v>
      </c>
      <c r="Q89" s="1510" t="str">
        <f>IF('[2]BASE'!IC89=0,"",'[2]BASE'!IC89)</f>
        <v>XXXX</v>
      </c>
      <c r="R89" s="1510" t="str">
        <f>IF('[2]BASE'!ID89=0,"",'[2]BASE'!ID89)</f>
        <v>XXXX</v>
      </c>
      <c r="S89" s="1510" t="str">
        <f>IF('[2]BASE'!IE89=0,"",'[2]BASE'!IE89)</f>
        <v>XXXX</v>
      </c>
      <c r="T89" s="1511"/>
      <c r="U89" s="1508"/>
    </row>
    <row r="90" spans="2:21" s="1502" customFormat="1" ht="19.5" customHeight="1">
      <c r="B90" s="1503"/>
      <c r="C90" s="1509">
        <f>IF('[2]BASE'!C90=0,"",'[2]BASE'!C90)</f>
      </c>
      <c r="D90" s="1509">
        <f>IF('[2]BASE'!D90=0,"",'[2]BASE'!D90)</f>
      </c>
      <c r="E90" s="1509">
        <f>IF('[2]BASE'!E90=0,"",'[2]BASE'!E90)</f>
      </c>
      <c r="F90" s="1509">
        <f>IF('[2]BASE'!F90=0,"",'[2]BASE'!F90)</f>
      </c>
      <c r="G90" s="1509" t="str">
        <f>IF('[3]BASE'!G90=0,"",'[3]BASE'!G90)</f>
        <v>C</v>
      </c>
      <c r="H90" s="1510">
        <f>IF('[2]BASE'!HT90=0,"",'[2]BASE'!HT90)</f>
      </c>
      <c r="I90" s="1510">
        <f>IF('[2]BASE'!HU90=0,"",'[2]BASE'!HU90)</f>
      </c>
      <c r="J90" s="1510">
        <f>IF('[2]BASE'!HV90=0,"",'[2]BASE'!HV90)</f>
      </c>
      <c r="K90" s="1510">
        <f>IF('[2]BASE'!HW90=0,"",'[2]BASE'!HW90)</f>
      </c>
      <c r="L90" s="1510">
        <f>IF('[2]BASE'!HX90=0,"",'[2]BASE'!HX90)</f>
      </c>
      <c r="M90" s="1510">
        <f>IF('[2]BASE'!HY90=0,"",'[2]BASE'!HY90)</f>
      </c>
      <c r="N90" s="1510">
        <f>IF('[2]BASE'!HZ90=0,"",'[2]BASE'!HZ90)</f>
      </c>
      <c r="O90" s="1510">
        <f>IF('[2]BASE'!IA90=0,"",'[2]BASE'!IA90)</f>
      </c>
      <c r="P90" s="1510">
        <f>IF('[2]BASE'!IB90=0,"",'[2]BASE'!IB90)</f>
      </c>
      <c r="Q90" s="1510">
        <f>IF('[2]BASE'!IC90=0,"",'[2]BASE'!IC90)</f>
      </c>
      <c r="R90" s="1510">
        <f>IF('[2]BASE'!ID90=0,"",'[2]BASE'!ID90)</f>
      </c>
      <c r="S90" s="1510">
        <f>IF('[2]BASE'!IE90=0,"",'[2]BASE'!IE90)</f>
      </c>
      <c r="T90" s="1511"/>
      <c r="U90" s="1508"/>
    </row>
    <row r="91" spans="2:21" s="1502" customFormat="1" ht="19.5" customHeight="1">
      <c r="B91" s="1503"/>
      <c r="C91" s="1509">
        <f>IF('[2]BASE'!C91=0,"",'[2]BASE'!C91)</f>
        <v>68</v>
      </c>
      <c r="D91" s="1509" t="str">
        <f>IF('[2]BASE'!D91=0,"",'[2]BASE'!D91)</f>
        <v>RINCON - SALTO GRANDE</v>
      </c>
      <c r="E91" s="1509">
        <f>IF('[2]BASE'!E91=0,"",'[2]BASE'!E91)</f>
        <v>500</v>
      </c>
      <c r="F91" s="1509">
        <f>IF('[2]BASE'!F91=0,"",'[2]BASE'!F91)</f>
        <v>506</v>
      </c>
      <c r="G91" s="1509" t="str">
        <f>IF('[3]BASE'!G91=0,"",'[3]BASE'!G91)</f>
        <v>A</v>
      </c>
      <c r="H91" s="1510">
        <f>IF('[2]BASE'!HT91=0,"",'[2]BASE'!HT91)</f>
      </c>
      <c r="I91" s="1510">
        <f>IF('[2]BASE'!HU91=0,"",'[2]BASE'!HU91)</f>
      </c>
      <c r="J91" s="1510">
        <f>IF('[2]BASE'!HV91=0,"",'[2]BASE'!HV91)</f>
      </c>
      <c r="K91" s="1510">
        <f>IF('[2]BASE'!HW91=0,"",'[2]BASE'!HW91)</f>
        <v>1</v>
      </c>
      <c r="L91" s="1510">
        <f>IF('[2]BASE'!HX91=0,"",'[2]BASE'!HX91)</f>
      </c>
      <c r="M91" s="1510">
        <f>IF('[2]BASE'!HY91=0,"",'[2]BASE'!HY91)</f>
      </c>
      <c r="N91" s="1510">
        <f>IF('[2]BASE'!HZ91=0,"",'[2]BASE'!HZ91)</f>
      </c>
      <c r="O91" s="1510">
        <f>IF('[2]BASE'!IA91=0,"",'[2]BASE'!IA91)</f>
      </c>
      <c r="P91" s="1510">
        <f>IF('[2]BASE'!IB91=0,"",'[2]BASE'!IB91)</f>
      </c>
      <c r="Q91" s="1510">
        <f>IF('[2]BASE'!IC91=0,"",'[2]BASE'!IC91)</f>
      </c>
      <c r="R91" s="1510">
        <f>IF('[2]BASE'!ID91=0,"",'[2]BASE'!ID91)</f>
      </c>
      <c r="S91" s="1510">
        <f>IF('[2]BASE'!IE91=0,"",'[2]BASE'!IE91)</f>
      </c>
      <c r="T91" s="1511"/>
      <c r="U91" s="1508"/>
    </row>
    <row r="92" spans="2:21" s="1502" customFormat="1" ht="19.5" customHeight="1">
      <c r="B92" s="1503"/>
      <c r="C92" s="1509">
        <f>IF('[2]BASE'!C92=0,"",'[2]BASE'!C92)</f>
        <v>69</v>
      </c>
      <c r="D92" s="1509" t="str">
        <f>IF('[2]BASE'!D92=0,"",'[2]BASE'!D92)</f>
        <v>RINCON - SAN ISIDRO</v>
      </c>
      <c r="E92" s="1509">
        <f>IF('[2]BASE'!E92=0,"",'[2]BASE'!E92)</f>
        <v>500</v>
      </c>
      <c r="F92" s="1509">
        <f>IF('[2]BASE'!F92=0,"",'[2]BASE'!F92)</f>
        <v>85</v>
      </c>
      <c r="G92" s="1509" t="str">
        <f>IF('[3]BASE'!G92=0,"",'[3]BASE'!G92)</f>
        <v>C</v>
      </c>
      <c r="H92" s="1510">
        <f>IF('[2]BASE'!HT92=0,"",'[2]BASE'!HT92)</f>
      </c>
      <c r="I92" s="1510">
        <f>IF('[2]BASE'!HU92=0,"",'[2]BASE'!HU92)</f>
      </c>
      <c r="J92" s="1510">
        <f>IF('[2]BASE'!HV92=0,"",'[2]BASE'!HV92)</f>
      </c>
      <c r="K92" s="1510">
        <f>IF('[2]BASE'!HW92=0,"",'[2]BASE'!HW92)</f>
      </c>
      <c r="L92" s="1510">
        <f>IF('[2]BASE'!HX92=0,"",'[2]BASE'!HX92)</f>
      </c>
      <c r="M92" s="1510">
        <f>IF('[2]BASE'!HY92=0,"",'[2]BASE'!HY92)</f>
      </c>
      <c r="N92" s="1510">
        <f>IF('[2]BASE'!HZ92=0,"",'[2]BASE'!HZ92)</f>
      </c>
      <c r="O92" s="1510">
        <f>IF('[2]BASE'!IA92=0,"",'[2]BASE'!IA92)</f>
      </c>
      <c r="P92" s="1510">
        <f>IF('[2]BASE'!IB92=0,"",'[2]BASE'!IB92)</f>
      </c>
      <c r="Q92" s="1510">
        <f>IF('[2]BASE'!IC92=0,"",'[2]BASE'!IC92)</f>
      </c>
      <c r="R92" s="1510">
        <f>IF('[2]BASE'!ID92=0,"",'[2]BASE'!ID92)</f>
      </c>
      <c r="S92" s="1510">
        <f>IF('[2]BASE'!IE92=0,"",'[2]BASE'!IE92)</f>
      </c>
      <c r="T92" s="1511"/>
      <c r="U92" s="1508"/>
    </row>
    <row r="93" spans="2:21" s="1502" customFormat="1" ht="19.5" customHeight="1">
      <c r="B93" s="1503"/>
      <c r="C93" s="1509">
        <f>IF('[2]BASE'!C93=0,"",'[2]BASE'!C93)</f>
      </c>
      <c r="D93" s="1509">
        <f>IF('[2]BASE'!D93=0,"",'[2]BASE'!D93)</f>
      </c>
      <c r="E93" s="1509">
        <f>IF('[2]BASE'!E93=0,"",'[2]BASE'!E93)</f>
      </c>
      <c r="F93" s="1509">
        <f>IF('[2]BASE'!F93=0,"",'[2]BASE'!F93)</f>
      </c>
      <c r="G93" s="1509" t="e">
        <f>IF('[3]BASE'!G93=0,"",'[3]BASE'!G93)</f>
        <v>#REF!</v>
      </c>
      <c r="H93" s="1510">
        <f>IF('[2]BASE'!HT93=0,"",'[2]BASE'!HT93)</f>
      </c>
      <c r="I93" s="1510">
        <f>IF('[2]BASE'!HU93=0,"",'[2]BASE'!HU93)</f>
      </c>
      <c r="J93" s="1510">
        <f>IF('[2]BASE'!HV93=0,"",'[2]BASE'!HV93)</f>
      </c>
      <c r="K93" s="1510">
        <f>IF('[2]BASE'!HW93=0,"",'[2]BASE'!HW93)</f>
      </c>
      <c r="L93" s="1510">
        <f>IF('[2]BASE'!HX93=0,"",'[2]BASE'!HX93)</f>
      </c>
      <c r="M93" s="1510">
        <f>IF('[2]BASE'!HY93=0,"",'[2]BASE'!HY93)</f>
      </c>
      <c r="N93" s="1510">
        <f>IF('[2]BASE'!HZ93=0,"",'[2]BASE'!HZ93)</f>
      </c>
      <c r="O93" s="1510">
        <f>IF('[2]BASE'!IA93=0,"",'[2]BASE'!IA93)</f>
      </c>
      <c r="P93" s="1510">
        <f>IF('[2]BASE'!IB93=0,"",'[2]BASE'!IB93)</f>
      </c>
      <c r="Q93" s="1510">
        <f>IF('[2]BASE'!IC93=0,"",'[2]BASE'!IC93)</f>
      </c>
      <c r="R93" s="1510">
        <f>IF('[2]BASE'!ID93=0,"",'[2]BASE'!ID93)</f>
      </c>
      <c r="S93" s="1510">
        <f>IF('[2]BASE'!IE93=0,"",'[2]BASE'!IE93)</f>
      </c>
      <c r="T93" s="1511"/>
      <c r="U93" s="1508"/>
    </row>
    <row r="94" spans="2:21" s="1502" customFormat="1" ht="19.5" customHeight="1">
      <c r="B94" s="1503"/>
      <c r="C94" s="1509">
        <f>IF('[2]BASE'!C94=0,"",'[2]BASE'!C94)</f>
        <v>70</v>
      </c>
      <c r="D94" s="1509" t="str">
        <f>IF('[2]BASE'!D94=0,"",'[2]BASE'!D94)</f>
        <v>RECREO - LA RIOJA SUR</v>
      </c>
      <c r="E94" s="1509">
        <f>IF('[2]BASE'!E94=0,"",'[2]BASE'!E94)</f>
        <v>500</v>
      </c>
      <c r="F94" s="1509">
        <f>IF('[2]BASE'!F94=0,"",'[2]BASE'!F94)</f>
        <v>150.3</v>
      </c>
      <c r="G94" s="1509" t="str">
        <f>IF('[3]BASE'!G94=0,"",'[3]BASE'!G94)</f>
        <v>C</v>
      </c>
      <c r="H94" s="1510">
        <f>IF('[2]BASE'!HT94=0,"",'[2]BASE'!HT94)</f>
      </c>
      <c r="I94" s="1510">
        <f>IF('[2]BASE'!HU94=0,"",'[2]BASE'!HU94)</f>
      </c>
      <c r="J94" s="1510">
        <f>IF('[2]BASE'!HV94=0,"",'[2]BASE'!HV94)</f>
      </c>
      <c r="K94" s="1510">
        <f>IF('[2]BASE'!HW94=0,"",'[2]BASE'!HW94)</f>
        <v>1</v>
      </c>
      <c r="L94" s="1510">
        <f>IF('[2]BASE'!HX94=0,"",'[2]BASE'!HX94)</f>
      </c>
      <c r="M94" s="1510">
        <f>IF('[2]BASE'!HY94=0,"",'[2]BASE'!HY94)</f>
      </c>
      <c r="N94" s="1510">
        <f>IF('[2]BASE'!HZ94=0,"",'[2]BASE'!HZ94)</f>
      </c>
      <c r="O94" s="1510">
        <f>IF('[2]BASE'!IA94=0,"",'[2]BASE'!IA94)</f>
      </c>
      <c r="P94" s="1510">
        <f>IF('[2]BASE'!IB94=0,"",'[2]BASE'!IB94)</f>
      </c>
      <c r="Q94" s="1510">
        <f>IF('[2]BASE'!IC94=0,"",'[2]BASE'!IC94)</f>
      </c>
      <c r="R94" s="1510">
        <f>IF('[2]BASE'!ID94=0,"",'[2]BASE'!ID94)</f>
      </c>
      <c r="S94" s="1510">
        <f>IF('[2]BASE'!IE94=0,"",'[2]BASE'!IE94)</f>
      </c>
      <c r="T94" s="1511"/>
      <c r="U94" s="1508"/>
    </row>
    <row r="95" spans="2:21" s="1502" customFormat="1" ht="19.5" customHeight="1">
      <c r="B95" s="1503"/>
      <c r="C95" s="1509">
        <f>IF('[2]BASE'!C95=0,"",'[2]BASE'!C95)</f>
        <v>71</v>
      </c>
      <c r="D95" s="1509" t="str">
        <f>IF('[2]BASE'!D95=0,"",'[2]BASE'!D95)</f>
        <v>M.BELGRANO - G.RODRIGUEZ</v>
      </c>
      <c r="E95" s="1509">
        <f>IF('[2]BASE'!E95=0,"",'[2]BASE'!E95)</f>
        <v>500</v>
      </c>
      <c r="F95" s="1509">
        <f>IF('[2]BASE'!F95=0,"",'[2]BASE'!F95)</f>
        <v>41.4</v>
      </c>
      <c r="G95" s="1509" t="str">
        <f>IF('[3]BASE'!G95=0,"",'[3]BASE'!G95)</f>
        <v>C</v>
      </c>
      <c r="H95" s="1510">
        <f>IF('[2]BASE'!HT95=0,"",'[2]BASE'!HT95)</f>
      </c>
      <c r="I95" s="1510">
        <f>IF('[2]BASE'!HU95=0,"",'[2]BASE'!HU95)</f>
      </c>
      <c r="J95" s="1510">
        <f>IF('[2]BASE'!HV95=0,"",'[2]BASE'!HV95)</f>
      </c>
      <c r="K95" s="1510">
        <f>IF('[2]BASE'!HW95=0,"",'[2]BASE'!HW95)</f>
      </c>
      <c r="L95" s="1510">
        <f>IF('[2]BASE'!HX95=0,"",'[2]BASE'!HX95)</f>
      </c>
      <c r="M95" s="1510">
        <f>IF('[2]BASE'!HY95=0,"",'[2]BASE'!HY95)</f>
      </c>
      <c r="N95" s="1510">
        <f>IF('[2]BASE'!HZ95=0,"",'[2]BASE'!HZ95)</f>
      </c>
      <c r="O95" s="1510">
        <f>IF('[2]BASE'!IA95=0,"",'[2]BASE'!IA95)</f>
      </c>
      <c r="P95" s="1510">
        <f>IF('[2]BASE'!IB95=0,"",'[2]BASE'!IB95)</f>
      </c>
      <c r="Q95" s="1510">
        <f>IF('[2]BASE'!IC95=0,"",'[2]BASE'!IC95)</f>
      </c>
      <c r="R95" s="1510">
        <f>IF('[2]BASE'!ID95=0,"",'[2]BASE'!ID95)</f>
      </c>
      <c r="S95" s="1510">
        <f>IF('[2]BASE'!IE95=0,"",'[2]BASE'!IE95)</f>
      </c>
      <c r="T95" s="1511"/>
      <c r="U95" s="1508"/>
    </row>
    <row r="96" spans="2:21" s="1502" customFormat="1" ht="25.5" customHeight="1" thickBot="1">
      <c r="B96" s="1503"/>
      <c r="C96" s="1512"/>
      <c r="D96" s="1512"/>
      <c r="E96" s="1512"/>
      <c r="F96" s="1513"/>
      <c r="G96" s="1514" t="e">
        <f>IF('[3]BASE'!G96=0,"",'[3]BASE'!G96)</f>
        <v>#REF!</v>
      </c>
      <c r="H96" s="1515"/>
      <c r="I96" s="1515"/>
      <c r="J96" s="1515"/>
      <c r="K96" s="1515"/>
      <c r="L96" s="1515"/>
      <c r="M96" s="1515"/>
      <c r="N96" s="1515"/>
      <c r="O96" s="1515"/>
      <c r="P96" s="1515"/>
      <c r="Q96" s="1515"/>
      <c r="R96" s="1515"/>
      <c r="S96" s="1515"/>
      <c r="T96" s="1511"/>
      <c r="U96" s="1508"/>
    </row>
    <row r="97" spans="2:21" s="1502" customFormat="1" ht="19.5" customHeight="1" thickBot="1" thickTop="1">
      <c r="B97" s="1503"/>
      <c r="C97" s="1516"/>
      <c r="D97" s="1517"/>
      <c r="E97" s="1518" t="s">
        <v>506</v>
      </c>
      <c r="F97" s="1519">
        <f>SUM(F17:F95)-F46-F54-F57-F61-F89</f>
        <v>9902.33</v>
      </c>
      <c r="G97" s="1520"/>
      <c r="H97" s="1521"/>
      <c r="I97" s="1521"/>
      <c r="J97" s="1521"/>
      <c r="K97" s="1521"/>
      <c r="L97" s="1521"/>
      <c r="M97" s="1521"/>
      <c r="N97" s="1521"/>
      <c r="O97" s="1521"/>
      <c r="P97" s="1521"/>
      <c r="Q97" s="1521"/>
      <c r="R97" s="1521"/>
      <c r="S97" s="1521"/>
      <c r="T97" s="1511"/>
      <c r="U97" s="1508"/>
    </row>
    <row r="98" spans="2:21" s="1502" customFormat="1" ht="19.5" customHeight="1" thickBot="1" thickTop="1">
      <c r="B98" s="1503"/>
      <c r="C98" s="1522"/>
      <c r="D98" s="1523"/>
      <c r="E98" s="1524"/>
      <c r="F98" s="1525" t="s">
        <v>507</v>
      </c>
      <c r="H98" s="1526">
        <f aca="true" t="shared" si="0" ref="H98:S98">SUM(H17:H95)</f>
        <v>2</v>
      </c>
      <c r="I98" s="1526">
        <f t="shared" si="0"/>
        <v>5</v>
      </c>
      <c r="J98" s="1526">
        <f t="shared" si="0"/>
        <v>2</v>
      </c>
      <c r="K98" s="1526">
        <f t="shared" si="0"/>
        <v>7</v>
      </c>
      <c r="L98" s="1526">
        <f t="shared" si="0"/>
        <v>6</v>
      </c>
      <c r="M98" s="1526">
        <f t="shared" si="0"/>
        <v>0</v>
      </c>
      <c r="N98" s="1526">
        <f t="shared" si="0"/>
        <v>3</v>
      </c>
      <c r="O98" s="1526">
        <f t="shared" si="0"/>
        <v>2</v>
      </c>
      <c r="P98" s="1526">
        <f t="shared" si="0"/>
        <v>7</v>
      </c>
      <c r="Q98" s="1526">
        <f t="shared" si="0"/>
        <v>4</v>
      </c>
      <c r="R98" s="1526">
        <f t="shared" si="0"/>
        <v>4</v>
      </c>
      <c r="S98" s="1526">
        <f t="shared" si="0"/>
        <v>6</v>
      </c>
      <c r="T98" s="1527"/>
      <c r="U98" s="1508"/>
    </row>
    <row r="99" spans="2:21" s="1502" customFormat="1" ht="19.5" customHeight="1" thickBot="1" thickTop="1">
      <c r="B99" s="1503"/>
      <c r="E99" s="1524"/>
      <c r="F99" s="1525" t="s">
        <v>508</v>
      </c>
      <c r="H99" s="1528">
        <f>'[2]BASE'!HT104</f>
        <v>0.43</v>
      </c>
      <c r="I99" s="1528">
        <f>'[2]BASE'!HU104</f>
        <v>0.44</v>
      </c>
      <c r="J99" s="1528">
        <f>'[2]BASE'!HV104</f>
        <v>0.47</v>
      </c>
      <c r="K99" s="1528">
        <f>'[2]BASE'!HW104</f>
        <v>0.44</v>
      </c>
      <c r="L99" s="1528">
        <f>'[2]BASE'!HX104</f>
        <v>0.44</v>
      </c>
      <c r="M99" s="1528">
        <f>'[2]BASE'!HY104</f>
        <v>0.48</v>
      </c>
      <c r="N99" s="1528">
        <f>'[2]BASE'!HZ104</f>
        <v>0.44</v>
      </c>
      <c r="O99" s="1528">
        <f>'[2]BASE'!IA104</f>
        <v>0.46</v>
      </c>
      <c r="P99" s="1528">
        <f>'[2]BASE'!IB104</f>
        <v>0.44</v>
      </c>
      <c r="Q99" s="1528">
        <f>'[2]BASE'!IC104</f>
        <v>0.45</v>
      </c>
      <c r="R99" s="1528">
        <f>'[2]BASE'!ID104</f>
        <v>0.45</v>
      </c>
      <c r="S99" s="1528">
        <f>'[2]BASE'!IE104</f>
        <v>0.43</v>
      </c>
      <c r="T99" s="1528">
        <f>'[2]BASE'!IF104</f>
        <v>0.47</v>
      </c>
      <c r="U99" s="1508"/>
    </row>
    <row r="100" spans="2:21" s="1502" customFormat="1" ht="19.5" customHeight="1" thickTop="1">
      <c r="B100" s="1503"/>
      <c r="C100" s="914"/>
      <c r="D100" s="1529"/>
      <c r="E100" s="1530"/>
      <c r="F100" s="1531"/>
      <c r="G100" s="914"/>
      <c r="H100" s="1532"/>
      <c r="I100" s="1532"/>
      <c r="J100" s="1532"/>
      <c r="K100" s="1532"/>
      <c r="L100" s="1532"/>
      <c r="M100" s="1532"/>
      <c r="N100" s="1532"/>
      <c r="O100" s="1532"/>
      <c r="P100" s="1532"/>
      <c r="Q100" s="1532"/>
      <c r="R100" s="1532"/>
      <c r="S100" s="1532"/>
      <c r="T100" s="1532"/>
      <c r="U100" s="1508"/>
    </row>
    <row r="101" spans="2:21" s="1502" customFormat="1" ht="19.5" customHeight="1" thickBot="1">
      <c r="B101" s="1503"/>
      <c r="C101" s="1239"/>
      <c r="D101" s="1239"/>
      <c r="E101" s="928"/>
      <c r="F101" s="928"/>
      <c r="G101" s="946"/>
      <c r="H101" s="928"/>
      <c r="I101" s="928"/>
      <c r="J101" s="928"/>
      <c r="K101" s="928"/>
      <c r="L101" s="928"/>
      <c r="M101" s="928"/>
      <c r="N101" s="928"/>
      <c r="O101" s="928"/>
      <c r="P101" s="928"/>
      <c r="Q101" s="928"/>
      <c r="R101" s="928"/>
      <c r="S101" s="928"/>
      <c r="T101" s="928"/>
      <c r="U101" s="1508"/>
    </row>
    <row r="102" spans="2:21" s="1502" customFormat="1" ht="19.5" customHeight="1" thickBot="1" thickTop="1">
      <c r="B102" s="1503"/>
      <c r="C102" s="946"/>
      <c r="D102" s="928"/>
      <c r="E102" s="913"/>
      <c r="F102" s="913"/>
      <c r="G102" s="913"/>
      <c r="H102" s="1533" t="s">
        <v>509</v>
      </c>
      <c r="I102" s="1534"/>
      <c r="J102" s="1535">
        <f>T99</f>
        <v>0.47</v>
      </c>
      <c r="K102" s="1536" t="s">
        <v>510</v>
      </c>
      <c r="L102" s="1537"/>
      <c r="M102" s="1538"/>
      <c r="N102" s="928"/>
      <c r="O102" s="928"/>
      <c r="P102" s="928"/>
      <c r="Q102" s="928"/>
      <c r="R102" s="928"/>
      <c r="S102" s="928"/>
      <c r="T102" s="928"/>
      <c r="U102" s="1508"/>
    </row>
    <row r="103" spans="2:21" s="1539" customFormat="1" ht="9.75" customHeight="1" thickTop="1">
      <c r="B103" s="1540"/>
      <c r="C103" s="914"/>
      <c r="D103" s="1529"/>
      <c r="E103" s="1530"/>
      <c r="F103" s="1531"/>
      <c r="G103" s="914"/>
      <c r="H103" s="1532"/>
      <c r="I103" s="1532"/>
      <c r="J103" s="1532"/>
      <c r="K103" s="1532"/>
      <c r="L103" s="1532"/>
      <c r="M103" s="1532"/>
      <c r="N103" s="1532"/>
      <c r="O103" s="1532"/>
      <c r="P103" s="1532"/>
      <c r="Q103" s="1532"/>
      <c r="R103" s="1532"/>
      <c r="S103" s="1532"/>
      <c r="T103" s="1532"/>
      <c r="U103" s="1541"/>
    </row>
    <row r="104" spans="2:21" s="952" customFormat="1" ht="9.75" customHeight="1" thickBot="1">
      <c r="B104" s="1220"/>
      <c r="C104" s="1542"/>
      <c r="D104" s="1221"/>
      <c r="E104" s="1221"/>
      <c r="F104" s="1542"/>
      <c r="G104" s="1542"/>
      <c r="H104" s="1221"/>
      <c r="I104" s="1221"/>
      <c r="J104" s="1221"/>
      <c r="K104" s="1221"/>
      <c r="L104" s="1221"/>
      <c r="M104" s="1221"/>
      <c r="N104" s="1221"/>
      <c r="O104" s="1221"/>
      <c r="P104" s="1221"/>
      <c r="Q104" s="1221"/>
      <c r="R104" s="1221"/>
      <c r="S104" s="1221"/>
      <c r="T104" s="1221"/>
      <c r="U104" s="1543"/>
    </row>
    <row r="105" spans="3:7" ht="13.5" thickTop="1">
      <c r="C105" s="1544"/>
      <c r="F105" s="1544"/>
      <c r="G105" s="1544"/>
    </row>
    <row r="106" spans="3:194" ht="12.75">
      <c r="C106" s="1544"/>
      <c r="D106" s="946"/>
      <c r="E106" s="946"/>
      <c r="F106" s="946"/>
      <c r="G106" s="946"/>
      <c r="H106" s="1545"/>
      <c r="I106" s="1545"/>
      <c r="J106" s="1545"/>
      <c r="K106" s="1545"/>
      <c r="L106" s="1545"/>
      <c r="M106" s="1545"/>
      <c r="N106" s="1545"/>
      <c r="O106" s="1545"/>
      <c r="P106" s="1545"/>
      <c r="Q106" s="1545"/>
      <c r="R106" s="1545"/>
      <c r="S106" s="1545"/>
      <c r="T106" s="1545"/>
      <c r="U106" s="928"/>
      <c r="V106" s="928"/>
      <c r="W106" s="928"/>
      <c r="X106" s="928"/>
      <c r="Y106" s="928"/>
      <c r="Z106" s="928"/>
      <c r="AA106" s="928"/>
      <c r="AB106" s="928"/>
      <c r="AC106" s="928"/>
      <c r="AD106" s="928"/>
      <c r="AE106" s="928"/>
      <c r="AF106" s="928"/>
      <c r="AG106" s="928"/>
      <c r="AH106" s="928"/>
      <c r="AI106" s="928"/>
      <c r="AJ106" s="928"/>
      <c r="AK106" s="928"/>
      <c r="AL106" s="928"/>
      <c r="AM106" s="928"/>
      <c r="AN106" s="928"/>
      <c r="AO106" s="928"/>
      <c r="AP106" s="928"/>
      <c r="AQ106" s="928"/>
      <c r="AR106" s="928"/>
      <c r="AS106" s="928"/>
      <c r="AT106" s="928"/>
      <c r="AU106" s="928"/>
      <c r="AV106" s="928"/>
      <c r="AW106" s="928"/>
      <c r="AX106" s="928"/>
      <c r="AY106" s="928"/>
      <c r="AZ106" s="928"/>
      <c r="BA106" s="928"/>
      <c r="BB106" s="928"/>
      <c r="BC106" s="928"/>
      <c r="BD106" s="928"/>
      <c r="BE106" s="928"/>
      <c r="BF106" s="928"/>
      <c r="BG106" s="928"/>
      <c r="BH106" s="928"/>
      <c r="BI106" s="928"/>
      <c r="BJ106" s="928"/>
      <c r="BK106" s="928"/>
      <c r="BL106" s="928"/>
      <c r="BM106" s="928"/>
      <c r="BN106" s="928"/>
      <c r="BO106" s="928"/>
      <c r="BP106" s="928"/>
      <c r="BQ106" s="928"/>
      <c r="BR106" s="928"/>
      <c r="BS106" s="928"/>
      <c r="BT106" s="928"/>
      <c r="BU106" s="928"/>
      <c r="BV106" s="928"/>
      <c r="BW106" s="928"/>
      <c r="BX106" s="928"/>
      <c r="BY106" s="928"/>
      <c r="BZ106" s="928"/>
      <c r="CA106" s="928"/>
      <c r="CB106" s="928"/>
      <c r="CC106" s="928"/>
      <c r="CD106" s="928"/>
      <c r="CE106" s="928"/>
      <c r="CF106" s="928"/>
      <c r="CG106" s="928"/>
      <c r="CH106" s="928"/>
      <c r="CI106" s="928"/>
      <c r="CJ106" s="928"/>
      <c r="CK106" s="928"/>
      <c r="CL106" s="928"/>
      <c r="CM106" s="928"/>
      <c r="CN106" s="928"/>
      <c r="CO106" s="928"/>
      <c r="CP106" s="928"/>
      <c r="CQ106" s="928"/>
      <c r="CR106" s="928"/>
      <c r="CS106" s="928"/>
      <c r="CT106" s="928"/>
      <c r="CU106" s="928"/>
      <c r="CV106" s="928"/>
      <c r="CW106" s="928"/>
      <c r="CX106" s="928"/>
      <c r="CY106" s="928"/>
      <c r="CZ106" s="928"/>
      <c r="DA106" s="928"/>
      <c r="DB106" s="928"/>
      <c r="DC106" s="928"/>
      <c r="DD106" s="928"/>
      <c r="DE106" s="928"/>
      <c r="DF106" s="928"/>
      <c r="DG106" s="928"/>
      <c r="DH106" s="928"/>
      <c r="DI106" s="928"/>
      <c r="DJ106" s="928"/>
      <c r="DK106" s="928"/>
      <c r="DL106" s="928"/>
      <c r="DM106" s="928"/>
      <c r="DN106" s="928"/>
      <c r="DO106" s="928"/>
      <c r="DP106" s="928"/>
      <c r="DQ106" s="928"/>
      <c r="DR106" s="928"/>
      <c r="DS106" s="928"/>
      <c r="DT106" s="928"/>
      <c r="DU106" s="928"/>
      <c r="DV106" s="928"/>
      <c r="DW106" s="928"/>
      <c r="DX106" s="928"/>
      <c r="DY106" s="928"/>
      <c r="DZ106" s="928"/>
      <c r="EA106" s="928"/>
      <c r="EB106" s="928"/>
      <c r="EC106" s="928"/>
      <c r="ED106" s="928"/>
      <c r="EE106" s="928"/>
      <c r="EF106" s="928"/>
      <c r="EG106" s="928"/>
      <c r="EH106" s="928"/>
      <c r="EI106" s="928"/>
      <c r="EJ106" s="928"/>
      <c r="EK106" s="928"/>
      <c r="EL106" s="928"/>
      <c r="EM106" s="928"/>
      <c r="EN106" s="928"/>
      <c r="EO106" s="928"/>
      <c r="EP106" s="928"/>
      <c r="EQ106" s="928"/>
      <c r="ER106" s="928"/>
      <c r="ES106" s="928"/>
      <c r="ET106" s="928"/>
      <c r="EU106" s="928"/>
      <c r="EV106" s="928"/>
      <c r="EW106" s="928"/>
      <c r="EX106" s="928"/>
      <c r="EY106" s="928"/>
      <c r="EZ106" s="928"/>
      <c r="FA106" s="928"/>
      <c r="FB106" s="928"/>
      <c r="FC106" s="928"/>
      <c r="FD106" s="928"/>
      <c r="FE106" s="928"/>
      <c r="FF106" s="928"/>
      <c r="FG106" s="928"/>
      <c r="FH106" s="928"/>
      <c r="FI106" s="928"/>
      <c r="FJ106" s="928"/>
      <c r="FK106" s="928"/>
      <c r="FL106" s="928"/>
      <c r="FM106" s="928"/>
      <c r="FN106" s="928"/>
      <c r="FO106" s="928"/>
      <c r="FP106" s="928"/>
      <c r="FQ106" s="928"/>
      <c r="FR106" s="928"/>
      <c r="FS106" s="928"/>
      <c r="FT106" s="928"/>
      <c r="FU106" s="928"/>
      <c r="FV106" s="928"/>
      <c r="FW106" s="928"/>
      <c r="FX106" s="928"/>
      <c r="FY106" s="928"/>
      <c r="FZ106" s="928"/>
      <c r="GA106" s="928"/>
      <c r="GB106" s="928"/>
      <c r="GC106" s="928"/>
      <c r="GD106" s="928"/>
      <c r="GE106" s="928"/>
      <c r="GF106" s="928"/>
      <c r="GG106" s="928"/>
      <c r="GH106" s="928"/>
      <c r="GI106" s="928"/>
      <c r="GJ106" s="928"/>
      <c r="GK106" s="928"/>
      <c r="GL106" s="928"/>
    </row>
    <row r="107" spans="3:194" ht="12.75">
      <c r="C107" s="1544"/>
      <c r="D107" s="946"/>
      <c r="E107" s="946"/>
      <c r="F107" s="946"/>
      <c r="G107" s="946"/>
      <c r="H107" s="1545"/>
      <c r="I107" s="1545"/>
      <c r="J107" s="1545"/>
      <c r="K107" s="1545"/>
      <c r="L107" s="1545"/>
      <c r="M107" s="1545"/>
      <c r="N107" s="1545"/>
      <c r="O107" s="1545"/>
      <c r="P107" s="1545"/>
      <c r="Q107" s="1545"/>
      <c r="R107" s="1545"/>
      <c r="S107" s="1545"/>
      <c r="T107" s="1545"/>
      <c r="U107" s="928"/>
      <c r="V107" s="928"/>
      <c r="W107" s="928"/>
      <c r="X107" s="928"/>
      <c r="Y107" s="928"/>
      <c r="Z107" s="928"/>
      <c r="AA107" s="928"/>
      <c r="AB107" s="928"/>
      <c r="AC107" s="928"/>
      <c r="AD107" s="928"/>
      <c r="AE107" s="928"/>
      <c r="AF107" s="928"/>
      <c r="AG107" s="928"/>
      <c r="AH107" s="928"/>
      <c r="AI107" s="928"/>
      <c r="AJ107" s="928"/>
      <c r="AK107" s="928"/>
      <c r="AL107" s="928"/>
      <c r="AM107" s="928"/>
      <c r="AN107" s="928"/>
      <c r="AO107" s="928"/>
      <c r="AP107" s="928"/>
      <c r="AQ107" s="928"/>
      <c r="AR107" s="928"/>
      <c r="AS107" s="928"/>
      <c r="AT107" s="928"/>
      <c r="AU107" s="928"/>
      <c r="AV107" s="928"/>
      <c r="AW107" s="928"/>
      <c r="AX107" s="928"/>
      <c r="AY107" s="928"/>
      <c r="AZ107" s="928"/>
      <c r="BA107" s="928"/>
      <c r="BB107" s="928"/>
      <c r="BC107" s="928"/>
      <c r="BD107" s="928"/>
      <c r="BE107" s="928"/>
      <c r="BF107" s="928"/>
      <c r="BG107" s="928"/>
      <c r="BH107" s="928"/>
      <c r="BI107" s="928"/>
      <c r="BJ107" s="928"/>
      <c r="BK107" s="928"/>
      <c r="BL107" s="928"/>
      <c r="BM107" s="928"/>
      <c r="BN107" s="928"/>
      <c r="BO107" s="928"/>
      <c r="BP107" s="928"/>
      <c r="BQ107" s="928"/>
      <c r="BR107" s="928"/>
      <c r="BS107" s="928"/>
      <c r="BT107" s="928"/>
      <c r="BU107" s="928"/>
      <c r="BV107" s="928"/>
      <c r="BW107" s="928"/>
      <c r="BX107" s="928"/>
      <c r="BY107" s="928"/>
      <c r="BZ107" s="928"/>
      <c r="CA107" s="928"/>
      <c r="CB107" s="928"/>
      <c r="CC107" s="928"/>
      <c r="CD107" s="928"/>
      <c r="CE107" s="928"/>
      <c r="CF107" s="928"/>
      <c r="CG107" s="928"/>
      <c r="CH107" s="928"/>
      <c r="CI107" s="928"/>
      <c r="CJ107" s="928"/>
      <c r="CK107" s="928"/>
      <c r="CL107" s="928"/>
      <c r="CM107" s="928"/>
      <c r="CN107" s="928"/>
      <c r="CO107" s="928"/>
      <c r="CP107" s="928"/>
      <c r="CQ107" s="928"/>
      <c r="CR107" s="928"/>
      <c r="CS107" s="928"/>
      <c r="CT107" s="928"/>
      <c r="CU107" s="928"/>
      <c r="CV107" s="928"/>
      <c r="CW107" s="928"/>
      <c r="CX107" s="928"/>
      <c r="CY107" s="928"/>
      <c r="CZ107" s="928"/>
      <c r="DA107" s="928"/>
      <c r="DB107" s="928"/>
      <c r="DC107" s="928"/>
      <c r="DD107" s="928"/>
      <c r="DE107" s="928"/>
      <c r="DF107" s="928"/>
      <c r="DG107" s="928"/>
      <c r="DH107" s="928"/>
      <c r="DI107" s="928"/>
      <c r="DJ107" s="928"/>
      <c r="DK107" s="928"/>
      <c r="DL107" s="928"/>
      <c r="DM107" s="928"/>
      <c r="DN107" s="928"/>
      <c r="DO107" s="928"/>
      <c r="DP107" s="928"/>
      <c r="DQ107" s="928"/>
      <c r="DR107" s="928"/>
      <c r="DS107" s="928"/>
      <c r="DT107" s="928"/>
      <c r="DU107" s="928"/>
      <c r="DV107" s="928"/>
      <c r="DW107" s="928"/>
      <c r="DX107" s="928"/>
      <c r="DY107" s="928"/>
      <c r="DZ107" s="928"/>
      <c r="EA107" s="928"/>
      <c r="EB107" s="928"/>
      <c r="EC107" s="928"/>
      <c r="ED107" s="928"/>
      <c r="EE107" s="928"/>
      <c r="EF107" s="928"/>
      <c r="EG107" s="928"/>
      <c r="EH107" s="928"/>
      <c r="EI107" s="928"/>
      <c r="EJ107" s="928"/>
      <c r="EK107" s="928"/>
      <c r="EL107" s="928"/>
      <c r="EM107" s="928"/>
      <c r="EN107" s="928"/>
      <c r="EO107" s="928"/>
      <c r="EP107" s="928"/>
      <c r="EQ107" s="928"/>
      <c r="ER107" s="928"/>
      <c r="ES107" s="928"/>
      <c r="ET107" s="928"/>
      <c r="EU107" s="928"/>
      <c r="EV107" s="928"/>
      <c r="EW107" s="928"/>
      <c r="EX107" s="928"/>
      <c r="EY107" s="928"/>
      <c r="EZ107" s="928"/>
      <c r="FA107" s="928"/>
      <c r="FB107" s="928"/>
      <c r="FC107" s="928"/>
      <c r="FD107" s="928"/>
      <c r="FE107" s="928"/>
      <c r="FF107" s="928"/>
      <c r="FG107" s="928"/>
      <c r="FH107" s="928"/>
      <c r="FI107" s="928"/>
      <c r="FJ107" s="928"/>
      <c r="FK107" s="928"/>
      <c r="FL107" s="928"/>
      <c r="FM107" s="928"/>
      <c r="FN107" s="928"/>
      <c r="FO107" s="928"/>
      <c r="FP107" s="928"/>
      <c r="FQ107" s="928"/>
      <c r="FR107" s="928"/>
      <c r="FS107" s="928"/>
      <c r="FT107" s="928"/>
      <c r="FU107" s="928"/>
      <c r="FV107" s="928"/>
      <c r="FW107" s="928"/>
      <c r="FX107" s="928"/>
      <c r="FY107" s="928"/>
      <c r="FZ107" s="928"/>
      <c r="GA107" s="928"/>
      <c r="GB107" s="928"/>
      <c r="GC107" s="928"/>
      <c r="GD107" s="928"/>
      <c r="GE107" s="928"/>
      <c r="GF107" s="928"/>
      <c r="GG107" s="928"/>
      <c r="GH107" s="928"/>
      <c r="GI107" s="928"/>
      <c r="GJ107" s="928"/>
      <c r="GK107" s="928"/>
      <c r="GL107" s="928"/>
    </row>
    <row r="108" spans="3:194" ht="12.75">
      <c r="C108" s="1544"/>
      <c r="D108" s="946"/>
      <c r="E108" s="946"/>
      <c r="F108" s="946"/>
      <c r="G108" s="9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928"/>
      <c r="V108" s="928"/>
      <c r="W108" s="928"/>
      <c r="X108" s="928"/>
      <c r="Y108" s="928"/>
      <c r="Z108" s="928"/>
      <c r="AA108" s="928"/>
      <c r="AB108" s="928"/>
      <c r="AC108" s="928"/>
      <c r="AD108" s="928"/>
      <c r="AE108" s="928"/>
      <c r="AF108" s="928"/>
      <c r="AG108" s="928"/>
      <c r="AH108" s="928"/>
      <c r="AI108" s="928"/>
      <c r="AJ108" s="928"/>
      <c r="AK108" s="928"/>
      <c r="AL108" s="928"/>
      <c r="AM108" s="928"/>
      <c r="AN108" s="928"/>
      <c r="AO108" s="928"/>
      <c r="AP108" s="928"/>
      <c r="AQ108" s="928"/>
      <c r="AR108" s="928"/>
      <c r="AS108" s="928"/>
      <c r="AT108" s="928"/>
      <c r="AU108" s="928"/>
      <c r="AV108" s="928"/>
      <c r="AW108" s="928"/>
      <c r="AX108" s="928"/>
      <c r="AY108" s="928"/>
      <c r="AZ108" s="928"/>
      <c r="BA108" s="928"/>
      <c r="BB108" s="928"/>
      <c r="BC108" s="928"/>
      <c r="BD108" s="928"/>
      <c r="BE108" s="928"/>
      <c r="BF108" s="928"/>
      <c r="BG108" s="928"/>
      <c r="BH108" s="928"/>
      <c r="BI108" s="928"/>
      <c r="BJ108" s="928"/>
      <c r="BK108" s="928"/>
      <c r="BL108" s="928"/>
      <c r="BM108" s="928"/>
      <c r="BN108" s="928"/>
      <c r="BO108" s="928"/>
      <c r="BP108" s="928"/>
      <c r="BQ108" s="928"/>
      <c r="BR108" s="928"/>
      <c r="BS108" s="928"/>
      <c r="BT108" s="928"/>
      <c r="BU108" s="928"/>
      <c r="BV108" s="928"/>
      <c r="BW108" s="928"/>
      <c r="BX108" s="928"/>
      <c r="BY108" s="928"/>
      <c r="BZ108" s="928"/>
      <c r="CA108" s="928"/>
      <c r="CB108" s="928"/>
      <c r="CC108" s="928"/>
      <c r="CD108" s="928"/>
      <c r="CE108" s="928"/>
      <c r="CF108" s="928"/>
      <c r="CG108" s="928"/>
      <c r="CH108" s="928"/>
      <c r="CI108" s="928"/>
      <c r="CJ108" s="928"/>
      <c r="CK108" s="928"/>
      <c r="CL108" s="928"/>
      <c r="CM108" s="928"/>
      <c r="CN108" s="928"/>
      <c r="CO108" s="928"/>
      <c r="CP108" s="928"/>
      <c r="CQ108" s="928"/>
      <c r="CR108" s="928"/>
      <c r="CS108" s="928"/>
      <c r="CT108" s="928"/>
      <c r="CU108" s="928"/>
      <c r="CV108" s="928"/>
      <c r="CW108" s="928"/>
      <c r="CX108" s="928"/>
      <c r="CY108" s="928"/>
      <c r="CZ108" s="928"/>
      <c r="DA108" s="928"/>
      <c r="DB108" s="928"/>
      <c r="DC108" s="928"/>
      <c r="DD108" s="928"/>
      <c r="DE108" s="928"/>
      <c r="DF108" s="928"/>
      <c r="DG108" s="928"/>
      <c r="DH108" s="928"/>
      <c r="DI108" s="928"/>
      <c r="DJ108" s="928"/>
      <c r="DK108" s="928"/>
      <c r="DL108" s="928"/>
      <c r="DM108" s="928"/>
      <c r="DN108" s="928"/>
      <c r="DO108" s="928"/>
      <c r="DP108" s="928"/>
      <c r="DQ108" s="928"/>
      <c r="DR108" s="928"/>
      <c r="DS108" s="928"/>
      <c r="DT108" s="928"/>
      <c r="DU108" s="928"/>
      <c r="DV108" s="928"/>
      <c r="DW108" s="928"/>
      <c r="DX108" s="928"/>
      <c r="DY108" s="928"/>
      <c r="DZ108" s="928"/>
      <c r="EA108" s="928"/>
      <c r="EB108" s="928"/>
      <c r="EC108" s="928"/>
      <c r="ED108" s="928"/>
      <c r="EE108" s="928"/>
      <c r="EF108" s="928"/>
      <c r="EG108" s="928"/>
      <c r="EH108" s="928"/>
      <c r="EI108" s="928"/>
      <c r="EJ108" s="928"/>
      <c r="EK108" s="928"/>
      <c r="EL108" s="928"/>
      <c r="EM108" s="928"/>
      <c r="EN108" s="928"/>
      <c r="EO108" s="928"/>
      <c r="EP108" s="928"/>
      <c r="EQ108" s="928"/>
      <c r="ER108" s="928"/>
      <c r="ES108" s="928"/>
      <c r="ET108" s="928"/>
      <c r="EU108" s="928"/>
      <c r="EV108" s="928"/>
      <c r="EW108" s="928"/>
      <c r="EX108" s="928"/>
      <c r="EY108" s="928"/>
      <c r="EZ108" s="928"/>
      <c r="FA108" s="928"/>
      <c r="FB108" s="928"/>
      <c r="FC108" s="928"/>
      <c r="FD108" s="928"/>
      <c r="FE108" s="928"/>
      <c r="FF108" s="928"/>
      <c r="FG108" s="928"/>
      <c r="FH108" s="928"/>
      <c r="FI108" s="928"/>
      <c r="FJ108" s="928"/>
      <c r="FK108" s="928"/>
      <c r="FL108" s="928"/>
      <c r="FM108" s="928"/>
      <c r="FN108" s="928"/>
      <c r="FO108" s="928"/>
      <c r="FP108" s="928"/>
      <c r="FQ108" s="928"/>
      <c r="FR108" s="928"/>
      <c r="FS108" s="928"/>
      <c r="FT108" s="928"/>
      <c r="FU108" s="928"/>
      <c r="FV108" s="928"/>
      <c r="FW108" s="928"/>
      <c r="FX108" s="928"/>
      <c r="FY108" s="928"/>
      <c r="FZ108" s="928"/>
      <c r="GA108" s="928"/>
      <c r="GB108" s="928"/>
      <c r="GC108" s="928"/>
      <c r="GD108" s="928"/>
      <c r="GE108" s="928"/>
      <c r="GF108" s="928"/>
      <c r="GG108" s="928"/>
      <c r="GH108" s="928"/>
      <c r="GI108" s="928"/>
      <c r="GJ108" s="928"/>
      <c r="GK108" s="928"/>
      <c r="GL108" s="928"/>
    </row>
    <row r="109" spans="3:194" ht="12.75">
      <c r="C109" s="1544"/>
      <c r="D109" s="946"/>
      <c r="E109" s="946"/>
      <c r="F109" s="946"/>
      <c r="G109" s="946"/>
      <c r="H109" s="1545"/>
      <c r="I109" s="1545"/>
      <c r="J109" s="1545"/>
      <c r="K109" s="1545"/>
      <c r="L109" s="1545"/>
      <c r="M109" s="1545"/>
      <c r="N109" s="1545"/>
      <c r="O109" s="1545"/>
      <c r="P109" s="1545"/>
      <c r="Q109" s="1545"/>
      <c r="R109" s="1545"/>
      <c r="S109" s="1545"/>
      <c r="T109" s="1545"/>
      <c r="U109" s="928"/>
      <c r="V109" s="928"/>
      <c r="W109" s="928"/>
      <c r="X109" s="928"/>
      <c r="Y109" s="928"/>
      <c r="Z109" s="928"/>
      <c r="AA109" s="928"/>
      <c r="AB109" s="928"/>
      <c r="AC109" s="928"/>
      <c r="AD109" s="928"/>
      <c r="AE109" s="928"/>
      <c r="AF109" s="928"/>
      <c r="AG109" s="928"/>
      <c r="AH109" s="928"/>
      <c r="AI109" s="928"/>
      <c r="AJ109" s="928"/>
      <c r="AK109" s="928"/>
      <c r="AL109" s="928"/>
      <c r="AM109" s="928"/>
      <c r="AN109" s="928"/>
      <c r="AO109" s="928"/>
      <c r="AP109" s="928"/>
      <c r="AQ109" s="928"/>
      <c r="AR109" s="928"/>
      <c r="AS109" s="928"/>
      <c r="AT109" s="928"/>
      <c r="AU109" s="928"/>
      <c r="AV109" s="928"/>
      <c r="AW109" s="928"/>
      <c r="AX109" s="928"/>
      <c r="AY109" s="928"/>
      <c r="AZ109" s="928"/>
      <c r="BA109" s="928"/>
      <c r="BB109" s="928"/>
      <c r="BC109" s="928"/>
      <c r="BD109" s="928"/>
      <c r="BE109" s="928"/>
      <c r="BF109" s="928"/>
      <c r="BG109" s="928"/>
      <c r="BH109" s="928"/>
      <c r="BI109" s="928"/>
      <c r="BJ109" s="928"/>
      <c r="BK109" s="928"/>
      <c r="BL109" s="928"/>
      <c r="BM109" s="928"/>
      <c r="BN109" s="928"/>
      <c r="BO109" s="928"/>
      <c r="BP109" s="928"/>
      <c r="BQ109" s="928"/>
      <c r="BR109" s="928"/>
      <c r="BS109" s="928"/>
      <c r="BT109" s="928"/>
      <c r="BU109" s="928"/>
      <c r="BV109" s="928"/>
      <c r="BW109" s="928"/>
      <c r="BX109" s="928"/>
      <c r="BY109" s="928"/>
      <c r="BZ109" s="928"/>
      <c r="CA109" s="928"/>
      <c r="CB109" s="928"/>
      <c r="CC109" s="928"/>
      <c r="CD109" s="928"/>
      <c r="CE109" s="928"/>
      <c r="CF109" s="928"/>
      <c r="CG109" s="928"/>
      <c r="CH109" s="928"/>
      <c r="CI109" s="928"/>
      <c r="CJ109" s="928"/>
      <c r="CK109" s="928"/>
      <c r="CL109" s="928"/>
      <c r="CM109" s="928"/>
      <c r="CN109" s="928"/>
      <c r="CO109" s="928"/>
      <c r="CP109" s="928"/>
      <c r="CQ109" s="928"/>
      <c r="CR109" s="928"/>
      <c r="CS109" s="928"/>
      <c r="CT109" s="928"/>
      <c r="CU109" s="928"/>
      <c r="CV109" s="928"/>
      <c r="CW109" s="928"/>
      <c r="CX109" s="928"/>
      <c r="CY109" s="928"/>
      <c r="CZ109" s="928"/>
      <c r="DA109" s="928"/>
      <c r="DB109" s="928"/>
      <c r="DC109" s="928"/>
      <c r="DD109" s="928"/>
      <c r="DE109" s="928"/>
      <c r="DF109" s="928"/>
      <c r="DG109" s="928"/>
      <c r="DH109" s="928"/>
      <c r="DI109" s="928"/>
      <c r="DJ109" s="928"/>
      <c r="DK109" s="928"/>
      <c r="DL109" s="928"/>
      <c r="DM109" s="928"/>
      <c r="DN109" s="928"/>
      <c r="DO109" s="928"/>
      <c r="DP109" s="928"/>
      <c r="DQ109" s="928"/>
      <c r="DR109" s="928"/>
      <c r="DS109" s="928"/>
      <c r="DT109" s="928"/>
      <c r="DU109" s="928"/>
      <c r="DV109" s="928"/>
      <c r="DW109" s="928"/>
      <c r="DX109" s="928"/>
      <c r="DY109" s="928"/>
      <c r="DZ109" s="928"/>
      <c r="EA109" s="928"/>
      <c r="EB109" s="928"/>
      <c r="EC109" s="928"/>
      <c r="ED109" s="928"/>
      <c r="EE109" s="928"/>
      <c r="EF109" s="928"/>
      <c r="EG109" s="928"/>
      <c r="EH109" s="928"/>
      <c r="EI109" s="928"/>
      <c r="EJ109" s="928"/>
      <c r="EK109" s="928"/>
      <c r="EL109" s="928"/>
      <c r="EM109" s="928"/>
      <c r="EN109" s="928"/>
      <c r="EO109" s="928"/>
      <c r="EP109" s="928"/>
      <c r="EQ109" s="928"/>
      <c r="ER109" s="928"/>
      <c r="ES109" s="928"/>
      <c r="ET109" s="928"/>
      <c r="EU109" s="928"/>
      <c r="EV109" s="928"/>
      <c r="EW109" s="928"/>
      <c r="EX109" s="928"/>
      <c r="EY109" s="928"/>
      <c r="EZ109" s="928"/>
      <c r="FA109" s="928"/>
      <c r="FB109" s="928"/>
      <c r="FC109" s="928"/>
      <c r="FD109" s="928"/>
      <c r="FE109" s="928"/>
      <c r="FF109" s="928"/>
      <c r="FG109" s="928"/>
      <c r="FH109" s="928"/>
      <c r="FI109" s="928"/>
      <c r="FJ109" s="928"/>
      <c r="FK109" s="928"/>
      <c r="FL109" s="928"/>
      <c r="FM109" s="928"/>
      <c r="FN109" s="928"/>
      <c r="FO109" s="928"/>
      <c r="FP109" s="928"/>
      <c r="FQ109" s="928"/>
      <c r="FR109" s="928"/>
      <c r="FS109" s="928"/>
      <c r="FT109" s="928"/>
      <c r="FU109" s="928"/>
      <c r="FV109" s="928"/>
      <c r="FW109" s="928"/>
      <c r="FX109" s="928"/>
      <c r="FY109" s="928"/>
      <c r="FZ109" s="928"/>
      <c r="GA109" s="928"/>
      <c r="GB109" s="928"/>
      <c r="GC109" s="928"/>
      <c r="GD109" s="928"/>
      <c r="GE109" s="928"/>
      <c r="GF109" s="928"/>
      <c r="GG109" s="928"/>
      <c r="GH109" s="928"/>
      <c r="GI109" s="928"/>
      <c r="GJ109" s="928"/>
      <c r="GK109" s="928"/>
      <c r="GL109" s="928"/>
    </row>
    <row r="110" spans="3:194" ht="12.75">
      <c r="C110" s="1544"/>
      <c r="D110" s="946"/>
      <c r="E110" s="946"/>
      <c r="F110" s="946"/>
      <c r="G110" s="946"/>
      <c r="H110" s="1545"/>
      <c r="I110" s="1545"/>
      <c r="J110" s="1545"/>
      <c r="K110" s="1545"/>
      <c r="L110" s="1545"/>
      <c r="M110" s="1545"/>
      <c r="N110" s="1545"/>
      <c r="O110" s="1545"/>
      <c r="P110" s="1545"/>
      <c r="Q110" s="1545"/>
      <c r="R110" s="1545"/>
      <c r="S110" s="1545"/>
      <c r="T110" s="1545"/>
      <c r="U110" s="928"/>
      <c r="V110" s="928"/>
      <c r="W110" s="928"/>
      <c r="X110" s="928"/>
      <c r="Y110" s="928"/>
      <c r="Z110" s="928"/>
      <c r="AA110" s="928"/>
      <c r="AB110" s="928"/>
      <c r="AC110" s="928"/>
      <c r="AD110" s="928"/>
      <c r="AE110" s="928"/>
      <c r="AF110" s="928"/>
      <c r="AG110" s="928"/>
      <c r="AH110" s="928"/>
      <c r="AI110" s="928"/>
      <c r="AJ110" s="928"/>
      <c r="AK110" s="928"/>
      <c r="AL110" s="928"/>
      <c r="AM110" s="928"/>
      <c r="AN110" s="928"/>
      <c r="AO110" s="928"/>
      <c r="AP110" s="928"/>
      <c r="AQ110" s="928"/>
      <c r="AR110" s="928"/>
      <c r="AS110" s="928"/>
      <c r="AT110" s="928"/>
      <c r="AU110" s="928"/>
      <c r="AV110" s="928"/>
      <c r="AW110" s="928"/>
      <c r="AX110" s="928"/>
      <c r="AY110" s="928"/>
      <c r="AZ110" s="928"/>
      <c r="BA110" s="928"/>
      <c r="BB110" s="928"/>
      <c r="BC110" s="928"/>
      <c r="BD110" s="928"/>
      <c r="BE110" s="928"/>
      <c r="BF110" s="928"/>
      <c r="BG110" s="928"/>
      <c r="BH110" s="928"/>
      <c r="BI110" s="928"/>
      <c r="BJ110" s="928"/>
      <c r="BK110" s="928"/>
      <c r="BL110" s="928"/>
      <c r="BM110" s="928"/>
      <c r="BN110" s="928"/>
      <c r="BO110" s="928"/>
      <c r="BP110" s="928"/>
      <c r="BQ110" s="928"/>
      <c r="BR110" s="928"/>
      <c r="BS110" s="928"/>
      <c r="BT110" s="928"/>
      <c r="BU110" s="928"/>
      <c r="BV110" s="928"/>
      <c r="BW110" s="928"/>
      <c r="BX110" s="928"/>
      <c r="BY110" s="928"/>
      <c r="BZ110" s="928"/>
      <c r="CA110" s="928"/>
      <c r="CB110" s="928"/>
      <c r="CC110" s="928"/>
      <c r="CD110" s="928"/>
      <c r="CE110" s="928"/>
      <c r="CF110" s="928"/>
      <c r="CG110" s="928"/>
      <c r="CH110" s="928"/>
      <c r="CI110" s="928"/>
      <c r="CJ110" s="928"/>
      <c r="CK110" s="928"/>
      <c r="CL110" s="928"/>
      <c r="CM110" s="928"/>
      <c r="CN110" s="928"/>
      <c r="CO110" s="928"/>
      <c r="CP110" s="928"/>
      <c r="CQ110" s="928"/>
      <c r="CR110" s="928"/>
      <c r="CS110" s="928"/>
      <c r="CT110" s="928"/>
      <c r="CU110" s="928"/>
      <c r="CV110" s="928"/>
      <c r="CW110" s="928"/>
      <c r="CX110" s="928"/>
      <c r="CY110" s="928"/>
      <c r="CZ110" s="928"/>
      <c r="DA110" s="928"/>
      <c r="DB110" s="928"/>
      <c r="DC110" s="928"/>
      <c r="DD110" s="928"/>
      <c r="DE110" s="928"/>
      <c r="DF110" s="928"/>
      <c r="DG110" s="928"/>
      <c r="DH110" s="928"/>
      <c r="DI110" s="928"/>
      <c r="DJ110" s="928"/>
      <c r="DK110" s="928"/>
      <c r="DL110" s="928"/>
      <c r="DM110" s="928"/>
      <c r="DN110" s="928"/>
      <c r="DO110" s="928"/>
      <c r="DP110" s="928"/>
      <c r="DQ110" s="928"/>
      <c r="DR110" s="928"/>
      <c r="DS110" s="928"/>
      <c r="DT110" s="928"/>
      <c r="DU110" s="928"/>
      <c r="DV110" s="928"/>
      <c r="DW110" s="928"/>
      <c r="DX110" s="928"/>
      <c r="DY110" s="928"/>
      <c r="DZ110" s="928"/>
      <c r="EA110" s="928"/>
      <c r="EB110" s="928"/>
      <c r="EC110" s="928"/>
      <c r="ED110" s="928"/>
      <c r="EE110" s="928"/>
      <c r="EF110" s="928"/>
      <c r="EG110" s="928"/>
      <c r="EH110" s="928"/>
      <c r="EI110" s="928"/>
      <c r="EJ110" s="928"/>
      <c r="EK110" s="928"/>
      <c r="EL110" s="928"/>
      <c r="EM110" s="928"/>
      <c r="EN110" s="928"/>
      <c r="EO110" s="928"/>
      <c r="EP110" s="928"/>
      <c r="EQ110" s="928"/>
      <c r="ER110" s="928"/>
      <c r="ES110" s="928"/>
      <c r="ET110" s="928"/>
      <c r="EU110" s="928"/>
      <c r="EV110" s="928"/>
      <c r="EW110" s="928"/>
      <c r="EX110" s="928"/>
      <c r="EY110" s="928"/>
      <c r="EZ110" s="928"/>
      <c r="FA110" s="928"/>
      <c r="FB110" s="928"/>
      <c r="FC110" s="928"/>
      <c r="FD110" s="928"/>
      <c r="FE110" s="928"/>
      <c r="FF110" s="928"/>
      <c r="FG110" s="928"/>
      <c r="FH110" s="928"/>
      <c r="FI110" s="928"/>
      <c r="FJ110" s="928"/>
      <c r="FK110" s="928"/>
      <c r="FL110" s="928"/>
      <c r="FM110" s="928"/>
      <c r="FN110" s="928"/>
      <c r="FO110" s="928"/>
      <c r="FP110" s="928"/>
      <c r="FQ110" s="928"/>
      <c r="FR110" s="928"/>
      <c r="FS110" s="928"/>
      <c r="FT110" s="928"/>
      <c r="FU110" s="928"/>
      <c r="FV110" s="928"/>
      <c r="FW110" s="928"/>
      <c r="FX110" s="928"/>
      <c r="FY110" s="928"/>
      <c r="FZ110" s="928"/>
      <c r="GA110" s="928"/>
      <c r="GB110" s="928"/>
      <c r="GC110" s="928"/>
      <c r="GD110" s="928"/>
      <c r="GE110" s="928"/>
      <c r="GF110" s="928"/>
      <c r="GG110" s="928"/>
      <c r="GH110" s="928"/>
      <c r="GI110" s="928"/>
      <c r="GJ110" s="928"/>
      <c r="GK110" s="928"/>
      <c r="GL110" s="928"/>
    </row>
    <row r="111" spans="3:194" ht="12.75">
      <c r="C111" s="1544"/>
      <c r="D111" s="946"/>
      <c r="E111" s="946"/>
      <c r="F111" s="946"/>
      <c r="G111" s="946"/>
      <c r="H111" s="1545"/>
      <c r="I111" s="1545"/>
      <c r="J111" s="1545"/>
      <c r="K111" s="1545"/>
      <c r="L111" s="1545"/>
      <c r="M111" s="1545"/>
      <c r="N111" s="1545"/>
      <c r="O111" s="1545"/>
      <c r="P111" s="1545"/>
      <c r="Q111" s="1545"/>
      <c r="R111" s="1545"/>
      <c r="S111" s="1545"/>
      <c r="T111" s="1545"/>
      <c r="U111" s="928"/>
      <c r="V111" s="928"/>
      <c r="W111" s="928"/>
      <c r="X111" s="928"/>
      <c r="Y111" s="928"/>
      <c r="Z111" s="928"/>
      <c r="AA111" s="928"/>
      <c r="AB111" s="928"/>
      <c r="AC111" s="928"/>
      <c r="AD111" s="928"/>
      <c r="AE111" s="928"/>
      <c r="AF111" s="928"/>
      <c r="AG111" s="928"/>
      <c r="AH111" s="928"/>
      <c r="AI111" s="928"/>
      <c r="AJ111" s="928"/>
      <c r="AK111" s="928"/>
      <c r="AL111" s="928"/>
      <c r="AM111" s="928"/>
      <c r="AN111" s="928"/>
      <c r="AO111" s="928"/>
      <c r="AP111" s="928"/>
      <c r="AQ111" s="928"/>
      <c r="AR111" s="928"/>
      <c r="AS111" s="928"/>
      <c r="AT111" s="928"/>
      <c r="AU111" s="928"/>
      <c r="AV111" s="928"/>
      <c r="AW111" s="928"/>
      <c r="AX111" s="928"/>
      <c r="AY111" s="928"/>
      <c r="AZ111" s="928"/>
      <c r="BA111" s="928"/>
      <c r="BB111" s="928"/>
      <c r="BC111" s="928"/>
      <c r="BD111" s="928"/>
      <c r="BE111" s="928"/>
      <c r="BF111" s="928"/>
      <c r="BG111" s="928"/>
      <c r="BH111" s="928"/>
      <c r="BI111" s="928"/>
      <c r="BJ111" s="928"/>
      <c r="BK111" s="928"/>
      <c r="BL111" s="928"/>
      <c r="BM111" s="928"/>
      <c r="BN111" s="928"/>
      <c r="BO111" s="928"/>
      <c r="BP111" s="928"/>
      <c r="BQ111" s="928"/>
      <c r="BR111" s="928"/>
      <c r="BS111" s="928"/>
      <c r="BT111" s="928"/>
      <c r="BU111" s="928"/>
      <c r="BV111" s="928"/>
      <c r="BW111" s="928"/>
      <c r="BX111" s="928"/>
      <c r="BY111" s="928"/>
      <c r="BZ111" s="928"/>
      <c r="CA111" s="928"/>
      <c r="CB111" s="928"/>
      <c r="CC111" s="928"/>
      <c r="CD111" s="928"/>
      <c r="CE111" s="928"/>
      <c r="CF111" s="928"/>
      <c r="CG111" s="928"/>
      <c r="CH111" s="928"/>
      <c r="CI111" s="928"/>
      <c r="CJ111" s="928"/>
      <c r="CK111" s="928"/>
      <c r="CL111" s="928"/>
      <c r="CM111" s="928"/>
      <c r="CN111" s="928"/>
      <c r="CO111" s="928"/>
      <c r="CP111" s="928"/>
      <c r="CQ111" s="928"/>
      <c r="CR111" s="928"/>
      <c r="CS111" s="928"/>
      <c r="CT111" s="928"/>
      <c r="CU111" s="928"/>
      <c r="CV111" s="928"/>
      <c r="CW111" s="928"/>
      <c r="CX111" s="928"/>
      <c r="CY111" s="928"/>
      <c r="CZ111" s="928"/>
      <c r="DA111" s="928"/>
      <c r="DB111" s="928"/>
      <c r="DC111" s="928"/>
      <c r="DD111" s="928"/>
      <c r="DE111" s="928"/>
      <c r="DF111" s="928"/>
      <c r="DG111" s="928"/>
      <c r="DH111" s="928"/>
      <c r="DI111" s="928"/>
      <c r="DJ111" s="928"/>
      <c r="DK111" s="928"/>
      <c r="DL111" s="928"/>
      <c r="DM111" s="928"/>
      <c r="DN111" s="928"/>
      <c r="DO111" s="928"/>
      <c r="DP111" s="928"/>
      <c r="DQ111" s="928"/>
      <c r="DR111" s="928"/>
      <c r="DS111" s="928"/>
      <c r="DT111" s="928"/>
      <c r="DU111" s="928"/>
      <c r="DV111" s="928"/>
      <c r="DW111" s="928"/>
      <c r="DX111" s="928"/>
      <c r="DY111" s="928"/>
      <c r="DZ111" s="928"/>
      <c r="EA111" s="928"/>
      <c r="EB111" s="928"/>
      <c r="EC111" s="928"/>
      <c r="ED111" s="928"/>
      <c r="EE111" s="928"/>
      <c r="EF111" s="928"/>
      <c r="EG111" s="928"/>
      <c r="EH111" s="928"/>
      <c r="EI111" s="928"/>
      <c r="EJ111" s="928"/>
      <c r="EK111" s="928"/>
      <c r="EL111" s="928"/>
      <c r="EM111" s="928"/>
      <c r="EN111" s="928"/>
      <c r="EO111" s="928"/>
      <c r="EP111" s="928"/>
      <c r="EQ111" s="928"/>
      <c r="ER111" s="928"/>
      <c r="ES111" s="928"/>
      <c r="ET111" s="928"/>
      <c r="EU111" s="928"/>
      <c r="EV111" s="928"/>
      <c r="EW111" s="928"/>
      <c r="EX111" s="928"/>
      <c r="EY111" s="928"/>
      <c r="EZ111" s="928"/>
      <c r="FA111" s="928"/>
      <c r="FB111" s="928"/>
      <c r="FC111" s="928"/>
      <c r="FD111" s="928"/>
      <c r="FE111" s="928"/>
      <c r="FF111" s="928"/>
      <c r="FG111" s="928"/>
      <c r="FH111" s="928"/>
      <c r="FI111" s="928"/>
      <c r="FJ111" s="928"/>
      <c r="FK111" s="928"/>
      <c r="FL111" s="928"/>
      <c r="FM111" s="928"/>
      <c r="FN111" s="928"/>
      <c r="FO111" s="928"/>
      <c r="FP111" s="928"/>
      <c r="FQ111" s="928"/>
      <c r="FR111" s="928"/>
      <c r="FS111" s="928"/>
      <c r="FT111" s="928"/>
      <c r="FU111" s="928"/>
      <c r="FV111" s="928"/>
      <c r="FW111" s="928"/>
      <c r="FX111" s="928"/>
      <c r="FY111" s="928"/>
      <c r="FZ111" s="928"/>
      <c r="GA111" s="928"/>
      <c r="GB111" s="928"/>
      <c r="GC111" s="928"/>
      <c r="GD111" s="928"/>
      <c r="GE111" s="928"/>
      <c r="GF111" s="928"/>
      <c r="GG111" s="928"/>
      <c r="GH111" s="928"/>
      <c r="GI111" s="928"/>
      <c r="GJ111" s="928"/>
      <c r="GK111" s="928"/>
      <c r="GL111" s="928"/>
    </row>
    <row r="112" spans="3:194" ht="12.75">
      <c r="C112" s="1544"/>
      <c r="D112" s="946"/>
      <c r="E112" s="946"/>
      <c r="F112" s="946"/>
      <c r="G112" s="946"/>
      <c r="H112" s="1545"/>
      <c r="I112" s="1545"/>
      <c r="J112" s="1545"/>
      <c r="K112" s="1545"/>
      <c r="L112" s="1545"/>
      <c r="M112" s="1545"/>
      <c r="N112" s="1545"/>
      <c r="O112" s="1545"/>
      <c r="P112" s="1545"/>
      <c r="Q112" s="1545"/>
      <c r="R112" s="1545"/>
      <c r="S112" s="1545"/>
      <c r="T112" s="1545"/>
      <c r="U112" s="928"/>
      <c r="V112" s="928"/>
      <c r="W112" s="928"/>
      <c r="X112" s="928"/>
      <c r="Y112" s="928"/>
      <c r="Z112" s="928"/>
      <c r="AA112" s="928"/>
      <c r="AB112" s="928"/>
      <c r="AC112" s="928"/>
      <c r="AD112" s="928"/>
      <c r="AE112" s="928"/>
      <c r="AF112" s="928"/>
      <c r="AG112" s="928"/>
      <c r="AH112" s="928"/>
      <c r="AI112" s="928"/>
      <c r="AJ112" s="928"/>
      <c r="AK112" s="928"/>
      <c r="AL112" s="928"/>
      <c r="AM112" s="928"/>
      <c r="AN112" s="928"/>
      <c r="AO112" s="928"/>
      <c r="AP112" s="928"/>
      <c r="AQ112" s="928"/>
      <c r="AR112" s="928"/>
      <c r="AS112" s="928"/>
      <c r="AT112" s="928"/>
      <c r="AU112" s="928"/>
      <c r="AV112" s="928"/>
      <c r="AW112" s="928"/>
      <c r="AX112" s="928"/>
      <c r="AY112" s="928"/>
      <c r="AZ112" s="928"/>
      <c r="BA112" s="928"/>
      <c r="BB112" s="928"/>
      <c r="BC112" s="928"/>
      <c r="BD112" s="928"/>
      <c r="BE112" s="928"/>
      <c r="BF112" s="928"/>
      <c r="BG112" s="928"/>
      <c r="BH112" s="928"/>
      <c r="BI112" s="928"/>
      <c r="BJ112" s="928"/>
      <c r="BK112" s="928"/>
      <c r="BL112" s="928"/>
      <c r="BM112" s="928"/>
      <c r="BN112" s="928"/>
      <c r="BO112" s="928"/>
      <c r="BP112" s="928"/>
      <c r="BQ112" s="928"/>
      <c r="BR112" s="928"/>
      <c r="BS112" s="928"/>
      <c r="BT112" s="928"/>
      <c r="BU112" s="928"/>
      <c r="BV112" s="928"/>
      <c r="BW112" s="928"/>
      <c r="BX112" s="928"/>
      <c r="BY112" s="928"/>
      <c r="BZ112" s="928"/>
      <c r="CA112" s="928"/>
      <c r="CB112" s="928"/>
      <c r="CC112" s="928"/>
      <c r="CD112" s="928"/>
      <c r="CE112" s="928"/>
      <c r="CF112" s="928"/>
      <c r="CG112" s="928"/>
      <c r="CH112" s="928"/>
      <c r="CI112" s="928"/>
      <c r="CJ112" s="928"/>
      <c r="CK112" s="928"/>
      <c r="CL112" s="928"/>
      <c r="CM112" s="928"/>
      <c r="CN112" s="928"/>
      <c r="CO112" s="928"/>
      <c r="CP112" s="928"/>
      <c r="CQ112" s="928"/>
      <c r="CR112" s="928"/>
      <c r="CS112" s="928"/>
      <c r="CT112" s="928"/>
      <c r="CU112" s="928"/>
      <c r="CV112" s="928"/>
      <c r="CW112" s="928"/>
      <c r="CX112" s="928"/>
      <c r="CY112" s="928"/>
      <c r="CZ112" s="928"/>
      <c r="DA112" s="928"/>
      <c r="DB112" s="928"/>
      <c r="DC112" s="928"/>
      <c r="DD112" s="928"/>
      <c r="DE112" s="928"/>
      <c r="DF112" s="928"/>
      <c r="DG112" s="928"/>
      <c r="DH112" s="928"/>
      <c r="DI112" s="928"/>
      <c r="DJ112" s="928"/>
      <c r="DK112" s="928"/>
      <c r="DL112" s="928"/>
      <c r="DM112" s="928"/>
      <c r="DN112" s="928"/>
      <c r="DO112" s="928"/>
      <c r="DP112" s="928"/>
      <c r="DQ112" s="928"/>
      <c r="DR112" s="928"/>
      <c r="DS112" s="928"/>
      <c r="DT112" s="928"/>
      <c r="DU112" s="928"/>
      <c r="DV112" s="928"/>
      <c r="DW112" s="928"/>
      <c r="DX112" s="928"/>
      <c r="DY112" s="928"/>
      <c r="DZ112" s="928"/>
      <c r="EA112" s="928"/>
      <c r="EB112" s="928"/>
      <c r="EC112" s="928"/>
      <c r="ED112" s="928"/>
      <c r="EE112" s="928"/>
      <c r="EF112" s="928"/>
      <c r="EG112" s="928"/>
      <c r="EH112" s="928"/>
      <c r="EI112" s="928"/>
      <c r="EJ112" s="928"/>
      <c r="EK112" s="928"/>
      <c r="EL112" s="928"/>
      <c r="EM112" s="928"/>
      <c r="EN112" s="928"/>
      <c r="EO112" s="928"/>
      <c r="EP112" s="928"/>
      <c r="EQ112" s="928"/>
      <c r="ER112" s="928"/>
      <c r="ES112" s="928"/>
      <c r="ET112" s="928"/>
      <c r="EU112" s="928"/>
      <c r="EV112" s="928"/>
      <c r="EW112" s="928"/>
      <c r="EX112" s="928"/>
      <c r="EY112" s="928"/>
      <c r="EZ112" s="928"/>
      <c r="FA112" s="928"/>
      <c r="FB112" s="928"/>
      <c r="FC112" s="928"/>
      <c r="FD112" s="928"/>
      <c r="FE112" s="928"/>
      <c r="FF112" s="928"/>
      <c r="FG112" s="928"/>
      <c r="FH112" s="928"/>
      <c r="FI112" s="928"/>
      <c r="FJ112" s="928"/>
      <c r="FK112" s="928"/>
      <c r="FL112" s="928"/>
      <c r="FM112" s="928"/>
      <c r="FN112" s="928"/>
      <c r="FO112" s="928"/>
      <c r="FP112" s="928"/>
      <c r="FQ112" s="928"/>
      <c r="FR112" s="928"/>
      <c r="FS112" s="928"/>
      <c r="FT112" s="928"/>
      <c r="FU112" s="928"/>
      <c r="FV112" s="928"/>
      <c r="FW112" s="928"/>
      <c r="FX112" s="928"/>
      <c r="FY112" s="928"/>
      <c r="FZ112" s="928"/>
      <c r="GA112" s="928"/>
      <c r="GB112" s="928"/>
      <c r="GC112" s="928"/>
      <c r="GD112" s="928"/>
      <c r="GE112" s="928"/>
      <c r="GF112" s="928"/>
      <c r="GG112" s="928"/>
      <c r="GH112" s="928"/>
      <c r="GI112" s="928"/>
      <c r="GJ112" s="928"/>
      <c r="GK112" s="928"/>
      <c r="GL112" s="928"/>
    </row>
    <row r="113" spans="3:194" ht="12.75">
      <c r="C113" s="1544"/>
      <c r="D113" s="946"/>
      <c r="E113" s="946"/>
      <c r="F113" s="946"/>
      <c r="G113" s="946"/>
      <c r="H113" s="1545"/>
      <c r="I113" s="1545"/>
      <c r="J113" s="1545"/>
      <c r="K113" s="1545"/>
      <c r="L113" s="1545"/>
      <c r="M113" s="1545"/>
      <c r="N113" s="1545"/>
      <c r="O113" s="1545"/>
      <c r="P113" s="1545"/>
      <c r="Q113" s="1545"/>
      <c r="R113" s="1545"/>
      <c r="S113" s="1545"/>
      <c r="T113" s="1545"/>
      <c r="U113" s="928"/>
      <c r="V113" s="928"/>
      <c r="W113" s="928"/>
      <c r="X113" s="928"/>
      <c r="Y113" s="928"/>
      <c r="Z113" s="928"/>
      <c r="AA113" s="928"/>
      <c r="AB113" s="928"/>
      <c r="AC113" s="928"/>
      <c r="AD113" s="928"/>
      <c r="AE113" s="928"/>
      <c r="AF113" s="928"/>
      <c r="AG113" s="928"/>
      <c r="AH113" s="928"/>
      <c r="AI113" s="928"/>
      <c r="AJ113" s="928"/>
      <c r="AK113" s="928"/>
      <c r="AL113" s="928"/>
      <c r="AM113" s="928"/>
      <c r="AN113" s="928"/>
      <c r="AO113" s="928"/>
      <c r="AP113" s="928"/>
      <c r="AQ113" s="928"/>
      <c r="AR113" s="928"/>
      <c r="AS113" s="928"/>
      <c r="AT113" s="928"/>
      <c r="AU113" s="928"/>
      <c r="AV113" s="928"/>
      <c r="AW113" s="928"/>
      <c r="AX113" s="928"/>
      <c r="AY113" s="928"/>
      <c r="AZ113" s="928"/>
      <c r="BA113" s="928"/>
      <c r="BB113" s="928"/>
      <c r="BC113" s="928"/>
      <c r="BD113" s="928"/>
      <c r="BE113" s="928"/>
      <c r="BF113" s="928"/>
      <c r="BG113" s="928"/>
      <c r="BH113" s="928"/>
      <c r="BI113" s="928"/>
      <c r="BJ113" s="928"/>
      <c r="BK113" s="928"/>
      <c r="BL113" s="928"/>
      <c r="BM113" s="928"/>
      <c r="BN113" s="928"/>
      <c r="BO113" s="928"/>
      <c r="BP113" s="928"/>
      <c r="BQ113" s="928"/>
      <c r="BR113" s="928"/>
      <c r="BS113" s="928"/>
      <c r="BT113" s="928"/>
      <c r="BU113" s="928"/>
      <c r="BV113" s="928"/>
      <c r="BW113" s="928"/>
      <c r="BX113" s="928"/>
      <c r="BY113" s="928"/>
      <c r="BZ113" s="928"/>
      <c r="CA113" s="928"/>
      <c r="CB113" s="928"/>
      <c r="CC113" s="928"/>
      <c r="CD113" s="928"/>
      <c r="CE113" s="928"/>
      <c r="CF113" s="928"/>
      <c r="CG113" s="928"/>
      <c r="CH113" s="928"/>
      <c r="CI113" s="928"/>
      <c r="CJ113" s="928"/>
      <c r="CK113" s="928"/>
      <c r="CL113" s="928"/>
      <c r="CM113" s="928"/>
      <c r="CN113" s="928"/>
      <c r="CO113" s="928"/>
      <c r="CP113" s="928"/>
      <c r="CQ113" s="928"/>
      <c r="CR113" s="928"/>
      <c r="CS113" s="928"/>
      <c r="CT113" s="928"/>
      <c r="CU113" s="928"/>
      <c r="CV113" s="928"/>
      <c r="CW113" s="928"/>
      <c r="CX113" s="928"/>
      <c r="CY113" s="928"/>
      <c r="CZ113" s="928"/>
      <c r="DA113" s="928"/>
      <c r="DB113" s="928"/>
      <c r="DC113" s="928"/>
      <c r="DD113" s="928"/>
      <c r="DE113" s="928"/>
      <c r="DF113" s="928"/>
      <c r="DG113" s="928"/>
      <c r="DH113" s="928"/>
      <c r="DI113" s="928"/>
      <c r="DJ113" s="928"/>
      <c r="DK113" s="928"/>
      <c r="DL113" s="928"/>
      <c r="DM113" s="928"/>
      <c r="DN113" s="928"/>
      <c r="DO113" s="928"/>
      <c r="DP113" s="928"/>
      <c r="DQ113" s="928"/>
      <c r="DR113" s="928"/>
      <c r="DS113" s="928"/>
      <c r="DT113" s="928"/>
      <c r="DU113" s="928"/>
      <c r="DV113" s="928"/>
      <c r="DW113" s="928"/>
      <c r="DX113" s="928"/>
      <c r="DY113" s="928"/>
      <c r="DZ113" s="928"/>
      <c r="EA113" s="928"/>
      <c r="EB113" s="928"/>
      <c r="EC113" s="928"/>
      <c r="ED113" s="928"/>
      <c r="EE113" s="928"/>
      <c r="EF113" s="928"/>
      <c r="EG113" s="928"/>
      <c r="EH113" s="928"/>
      <c r="EI113" s="928"/>
      <c r="EJ113" s="928"/>
      <c r="EK113" s="928"/>
      <c r="EL113" s="928"/>
      <c r="EM113" s="928"/>
      <c r="EN113" s="928"/>
      <c r="EO113" s="928"/>
      <c r="EP113" s="928"/>
      <c r="EQ113" s="928"/>
      <c r="ER113" s="928"/>
      <c r="ES113" s="928"/>
      <c r="ET113" s="928"/>
      <c r="EU113" s="928"/>
      <c r="EV113" s="928"/>
      <c r="EW113" s="928"/>
      <c r="EX113" s="928"/>
      <c r="EY113" s="928"/>
      <c r="EZ113" s="928"/>
      <c r="FA113" s="928"/>
      <c r="FB113" s="928"/>
      <c r="FC113" s="928"/>
      <c r="FD113" s="928"/>
      <c r="FE113" s="928"/>
      <c r="FF113" s="928"/>
      <c r="FG113" s="928"/>
      <c r="FH113" s="928"/>
      <c r="FI113" s="928"/>
      <c r="FJ113" s="928"/>
      <c r="FK113" s="928"/>
      <c r="FL113" s="928"/>
      <c r="FM113" s="928"/>
      <c r="FN113" s="928"/>
      <c r="FO113" s="928"/>
      <c r="FP113" s="928"/>
      <c r="FQ113" s="928"/>
      <c r="FR113" s="928"/>
      <c r="FS113" s="928"/>
      <c r="FT113" s="928"/>
      <c r="FU113" s="928"/>
      <c r="FV113" s="928"/>
      <c r="FW113" s="928"/>
      <c r="FX113" s="928"/>
      <c r="FY113" s="928"/>
      <c r="FZ113" s="928"/>
      <c r="GA113" s="928"/>
      <c r="GB113" s="928"/>
      <c r="GC113" s="928"/>
      <c r="GD113" s="928"/>
      <c r="GE113" s="928"/>
      <c r="GF113" s="928"/>
      <c r="GG113" s="928"/>
      <c r="GH113" s="928"/>
      <c r="GI113" s="928"/>
      <c r="GJ113" s="928"/>
      <c r="GK113" s="928"/>
      <c r="GL113" s="928"/>
    </row>
    <row r="114" spans="3:194" ht="12.75">
      <c r="C114" s="1544"/>
      <c r="D114" s="946"/>
      <c r="E114" s="946"/>
      <c r="F114" s="946"/>
      <c r="G114" s="946"/>
      <c r="H114" s="946"/>
      <c r="I114" s="946"/>
      <c r="J114" s="946"/>
      <c r="K114" s="946"/>
      <c r="L114" s="946"/>
      <c r="M114" s="946"/>
      <c r="N114" s="946"/>
      <c r="O114" s="946"/>
      <c r="P114" s="946"/>
      <c r="Q114" s="946"/>
      <c r="R114" s="946"/>
      <c r="S114" s="946"/>
      <c r="T114" s="946"/>
      <c r="U114" s="928"/>
      <c r="V114" s="928"/>
      <c r="W114" s="928"/>
      <c r="X114" s="928"/>
      <c r="Y114" s="928"/>
      <c r="Z114" s="928"/>
      <c r="AA114" s="928"/>
      <c r="AB114" s="928"/>
      <c r="AC114" s="928"/>
      <c r="AD114" s="928"/>
      <c r="AE114" s="928"/>
      <c r="AF114" s="928"/>
      <c r="AG114" s="928"/>
      <c r="AH114" s="928"/>
      <c r="AI114" s="928"/>
      <c r="AJ114" s="928"/>
      <c r="AK114" s="928"/>
      <c r="AL114" s="928"/>
      <c r="AM114" s="928"/>
      <c r="AN114" s="928"/>
      <c r="AO114" s="928"/>
      <c r="AP114" s="928"/>
      <c r="AQ114" s="928"/>
      <c r="AR114" s="928"/>
      <c r="AS114" s="928"/>
      <c r="AT114" s="928"/>
      <c r="AU114" s="928"/>
      <c r="AV114" s="928"/>
      <c r="AW114" s="928"/>
      <c r="AX114" s="928"/>
      <c r="AY114" s="928"/>
      <c r="AZ114" s="928"/>
      <c r="BA114" s="928"/>
      <c r="BB114" s="928"/>
      <c r="BC114" s="928"/>
      <c r="BD114" s="928"/>
      <c r="BE114" s="928"/>
      <c r="BF114" s="928"/>
      <c r="BG114" s="928"/>
      <c r="BH114" s="928"/>
      <c r="BI114" s="928"/>
      <c r="BJ114" s="928"/>
      <c r="BK114" s="928"/>
      <c r="BL114" s="928"/>
      <c r="BM114" s="928"/>
      <c r="BN114" s="928"/>
      <c r="BO114" s="928"/>
      <c r="BP114" s="928"/>
      <c r="BQ114" s="928"/>
      <c r="BR114" s="928"/>
      <c r="BS114" s="928"/>
      <c r="BT114" s="928"/>
      <c r="BU114" s="928"/>
      <c r="BV114" s="928"/>
      <c r="BW114" s="928"/>
      <c r="BX114" s="928"/>
      <c r="BY114" s="928"/>
      <c r="BZ114" s="928"/>
      <c r="CA114" s="928"/>
      <c r="CB114" s="928"/>
      <c r="CC114" s="928"/>
      <c r="CD114" s="928"/>
      <c r="CE114" s="928"/>
      <c r="CF114" s="928"/>
      <c r="CG114" s="928"/>
      <c r="CH114" s="928"/>
      <c r="CI114" s="928"/>
      <c r="CJ114" s="928"/>
      <c r="CK114" s="928"/>
      <c r="CL114" s="928"/>
      <c r="CM114" s="928"/>
      <c r="CN114" s="928"/>
      <c r="CO114" s="928"/>
      <c r="CP114" s="928"/>
      <c r="CQ114" s="928"/>
      <c r="CR114" s="928"/>
      <c r="CS114" s="928"/>
      <c r="CT114" s="928"/>
      <c r="CU114" s="928"/>
      <c r="CV114" s="928"/>
      <c r="CW114" s="928"/>
      <c r="CX114" s="928"/>
      <c r="CY114" s="928"/>
      <c r="CZ114" s="928"/>
      <c r="DA114" s="928"/>
      <c r="DB114" s="928"/>
      <c r="DC114" s="928"/>
      <c r="DD114" s="928"/>
      <c r="DE114" s="928"/>
      <c r="DF114" s="928"/>
      <c r="DG114" s="928"/>
      <c r="DH114" s="928"/>
      <c r="DI114" s="928"/>
      <c r="DJ114" s="928"/>
      <c r="DK114" s="928"/>
      <c r="DL114" s="928"/>
      <c r="DM114" s="928"/>
      <c r="DN114" s="928"/>
      <c r="DO114" s="928"/>
      <c r="DP114" s="928"/>
      <c r="DQ114" s="928"/>
      <c r="DR114" s="928"/>
      <c r="DS114" s="928"/>
      <c r="DT114" s="928"/>
      <c r="DU114" s="928"/>
      <c r="DV114" s="928"/>
      <c r="DW114" s="928"/>
      <c r="DX114" s="928"/>
      <c r="DY114" s="928"/>
      <c r="DZ114" s="928"/>
      <c r="EA114" s="928"/>
      <c r="EB114" s="928"/>
      <c r="EC114" s="928"/>
      <c r="ED114" s="928"/>
      <c r="EE114" s="928"/>
      <c r="EF114" s="928"/>
      <c r="EG114" s="928"/>
      <c r="EH114" s="928"/>
      <c r="EI114" s="928"/>
      <c r="EJ114" s="928"/>
      <c r="EK114" s="928"/>
      <c r="EL114" s="928"/>
      <c r="EM114" s="928"/>
      <c r="EN114" s="928"/>
      <c r="EO114" s="928"/>
      <c r="EP114" s="928"/>
      <c r="EQ114" s="928"/>
      <c r="ER114" s="928"/>
      <c r="ES114" s="928"/>
      <c r="ET114" s="928"/>
      <c r="EU114" s="928"/>
      <c r="EV114" s="928"/>
      <c r="EW114" s="928"/>
      <c r="EX114" s="928"/>
      <c r="EY114" s="928"/>
      <c r="EZ114" s="928"/>
      <c r="FA114" s="928"/>
      <c r="FB114" s="928"/>
      <c r="FC114" s="928"/>
      <c r="FD114" s="928"/>
      <c r="FE114" s="928"/>
      <c r="FF114" s="928"/>
      <c r="FG114" s="928"/>
      <c r="FH114" s="928"/>
      <c r="FI114" s="928"/>
      <c r="FJ114" s="928"/>
      <c r="FK114" s="928"/>
      <c r="FL114" s="928"/>
      <c r="FM114" s="928"/>
      <c r="FN114" s="928"/>
      <c r="FO114" s="928"/>
      <c r="FP114" s="928"/>
      <c r="FQ114" s="928"/>
      <c r="FR114" s="928"/>
      <c r="FS114" s="928"/>
      <c r="FT114" s="928"/>
      <c r="FU114" s="928"/>
      <c r="FV114" s="928"/>
      <c r="FW114" s="928"/>
      <c r="FX114" s="928"/>
      <c r="FY114" s="928"/>
      <c r="FZ114" s="928"/>
      <c r="GA114" s="928"/>
      <c r="GB114" s="928"/>
      <c r="GC114" s="928"/>
      <c r="GD114" s="928"/>
      <c r="GE114" s="928"/>
      <c r="GF114" s="928"/>
      <c r="GG114" s="928"/>
      <c r="GH114" s="928"/>
      <c r="GI114" s="928"/>
      <c r="GJ114" s="928"/>
      <c r="GK114" s="928"/>
      <c r="GL114" s="928"/>
    </row>
    <row r="115" spans="3:194" ht="12.75">
      <c r="C115" s="1544"/>
      <c r="D115" s="928"/>
      <c r="E115" s="928"/>
      <c r="F115" s="946"/>
      <c r="G115" s="946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928"/>
      <c r="T115" s="928"/>
      <c r="U115" s="928"/>
      <c r="V115" s="928"/>
      <c r="W115" s="928"/>
      <c r="X115" s="928"/>
      <c r="Y115" s="928"/>
      <c r="Z115" s="928"/>
      <c r="AA115" s="928"/>
      <c r="AB115" s="928"/>
      <c r="AC115" s="928"/>
      <c r="AD115" s="928"/>
      <c r="AE115" s="928"/>
      <c r="AF115" s="928"/>
      <c r="AG115" s="928"/>
      <c r="AH115" s="928"/>
      <c r="AI115" s="928"/>
      <c r="AJ115" s="928"/>
      <c r="AK115" s="928"/>
      <c r="AL115" s="928"/>
      <c r="AM115" s="928"/>
      <c r="AN115" s="928"/>
      <c r="AO115" s="928"/>
      <c r="AP115" s="928"/>
      <c r="AQ115" s="928"/>
      <c r="AR115" s="928"/>
      <c r="AS115" s="928"/>
      <c r="AT115" s="928"/>
      <c r="AU115" s="928"/>
      <c r="AV115" s="928"/>
      <c r="AW115" s="928"/>
      <c r="AX115" s="928"/>
      <c r="AY115" s="928"/>
      <c r="AZ115" s="928"/>
      <c r="BA115" s="928"/>
      <c r="BB115" s="928"/>
      <c r="BC115" s="928"/>
      <c r="BD115" s="928"/>
      <c r="BE115" s="928"/>
      <c r="BF115" s="928"/>
      <c r="BG115" s="928"/>
      <c r="BH115" s="928"/>
      <c r="BI115" s="928"/>
      <c r="BJ115" s="928"/>
      <c r="BK115" s="928"/>
      <c r="BL115" s="928"/>
      <c r="BM115" s="928"/>
      <c r="BN115" s="928"/>
      <c r="BO115" s="928"/>
      <c r="BP115" s="928"/>
      <c r="BQ115" s="928"/>
      <c r="BR115" s="928"/>
      <c r="BS115" s="928"/>
      <c r="BT115" s="928"/>
      <c r="BU115" s="928"/>
      <c r="BV115" s="928"/>
      <c r="BW115" s="928"/>
      <c r="BX115" s="928"/>
      <c r="BY115" s="928"/>
      <c r="BZ115" s="928"/>
      <c r="CA115" s="928"/>
      <c r="CB115" s="928"/>
      <c r="CC115" s="928"/>
      <c r="CD115" s="928"/>
      <c r="CE115" s="928"/>
      <c r="CF115" s="928"/>
      <c r="CG115" s="928"/>
      <c r="CH115" s="928"/>
      <c r="CI115" s="928"/>
      <c r="CJ115" s="928"/>
      <c r="CK115" s="928"/>
      <c r="CL115" s="928"/>
      <c r="CM115" s="928"/>
      <c r="CN115" s="928"/>
      <c r="CO115" s="928"/>
      <c r="CP115" s="928"/>
      <c r="CQ115" s="928"/>
      <c r="CR115" s="928"/>
      <c r="CS115" s="928"/>
      <c r="CT115" s="928"/>
      <c r="CU115" s="928"/>
      <c r="CV115" s="928"/>
      <c r="CW115" s="928"/>
      <c r="CX115" s="928"/>
      <c r="CY115" s="928"/>
      <c r="CZ115" s="928"/>
      <c r="DA115" s="928"/>
      <c r="DB115" s="928"/>
      <c r="DC115" s="928"/>
      <c r="DD115" s="928"/>
      <c r="DE115" s="928"/>
      <c r="DF115" s="928"/>
      <c r="DG115" s="928"/>
      <c r="DH115" s="928"/>
      <c r="DI115" s="928"/>
      <c r="DJ115" s="928"/>
      <c r="DK115" s="928"/>
      <c r="DL115" s="928"/>
      <c r="DM115" s="928"/>
      <c r="DN115" s="928"/>
      <c r="DO115" s="928"/>
      <c r="DP115" s="928"/>
      <c r="DQ115" s="928"/>
      <c r="DR115" s="928"/>
      <c r="DS115" s="928"/>
      <c r="DT115" s="928"/>
      <c r="DU115" s="928"/>
      <c r="DV115" s="928"/>
      <c r="DW115" s="928"/>
      <c r="DX115" s="928"/>
      <c r="DY115" s="928"/>
      <c r="DZ115" s="928"/>
      <c r="EA115" s="928"/>
      <c r="EB115" s="928"/>
      <c r="EC115" s="928"/>
      <c r="ED115" s="928"/>
      <c r="EE115" s="928"/>
      <c r="EF115" s="928"/>
      <c r="EG115" s="928"/>
      <c r="EH115" s="928"/>
      <c r="EI115" s="928"/>
      <c r="EJ115" s="928"/>
      <c r="EK115" s="928"/>
      <c r="EL115" s="928"/>
      <c r="EM115" s="928"/>
      <c r="EN115" s="928"/>
      <c r="EO115" s="928"/>
      <c r="EP115" s="928"/>
      <c r="EQ115" s="928"/>
      <c r="ER115" s="928"/>
      <c r="ES115" s="928"/>
      <c r="ET115" s="928"/>
      <c r="EU115" s="928"/>
      <c r="EV115" s="928"/>
      <c r="EW115" s="928"/>
      <c r="EX115" s="928"/>
      <c r="EY115" s="928"/>
      <c r="EZ115" s="928"/>
      <c r="FA115" s="928"/>
      <c r="FB115" s="928"/>
      <c r="FC115" s="928"/>
      <c r="FD115" s="928"/>
      <c r="FE115" s="928"/>
      <c r="FF115" s="928"/>
      <c r="FG115" s="928"/>
      <c r="FH115" s="928"/>
      <c r="FI115" s="928"/>
      <c r="FJ115" s="928"/>
      <c r="FK115" s="928"/>
      <c r="FL115" s="928"/>
      <c r="FM115" s="928"/>
      <c r="FN115" s="928"/>
      <c r="FO115" s="928"/>
      <c r="FP115" s="928"/>
      <c r="FQ115" s="928"/>
      <c r="FR115" s="928"/>
      <c r="FS115" s="928"/>
      <c r="FT115" s="928"/>
      <c r="FU115" s="928"/>
      <c r="FV115" s="928"/>
      <c r="FW115" s="928"/>
      <c r="FX115" s="928"/>
      <c r="FY115" s="928"/>
      <c r="FZ115" s="928"/>
      <c r="GA115" s="928"/>
      <c r="GB115" s="928"/>
      <c r="GC115" s="928"/>
      <c r="GD115" s="928"/>
      <c r="GE115" s="928"/>
      <c r="GF115" s="928"/>
      <c r="GG115" s="928"/>
      <c r="GH115" s="928"/>
      <c r="GI115" s="928"/>
      <c r="GJ115" s="928"/>
      <c r="GK115" s="928"/>
      <c r="GL115" s="928"/>
    </row>
    <row r="116" spans="3:7" ht="12.75">
      <c r="C116" s="1544"/>
      <c r="F116" s="1544"/>
      <c r="G116" s="1544"/>
    </row>
    <row r="117" spans="3:7" ht="12.75">
      <c r="C117" s="1544"/>
      <c r="F117" s="1544"/>
      <c r="G117" s="1544"/>
    </row>
    <row r="118" spans="3:7" ht="12.75">
      <c r="C118" s="1544"/>
      <c r="F118" s="1544"/>
      <c r="G118" s="1544"/>
    </row>
    <row r="119" spans="6:7" ht="12.75">
      <c r="F119" s="1544"/>
      <c r="G119" s="1544"/>
    </row>
  </sheetData>
  <sheetProtection/>
  <printOptions/>
  <pageMargins left="0.75" right="0.75" top="1" bottom="1" header="0" footer="0"/>
  <pageSetup fitToHeight="1" fitToWidth="1" horizontalDpi="600" verticalDpi="600" orientation="portrait" scale="40" r:id="rId2"/>
  <headerFooter alignWithMargins="0">
    <oddFooter>&amp;L&amp;8&amp;F-&amp;A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11.421875" defaultRowHeight="12.75"/>
  <cols>
    <col min="1" max="1" width="23.00390625" style="565" bestFit="1" customWidth="1"/>
    <col min="2" max="2" width="9.28125" style="565" customWidth="1"/>
    <col min="3" max="3" width="11.8515625" style="565" bestFit="1" customWidth="1"/>
    <col min="4" max="4" width="9.57421875" style="565" bestFit="1" customWidth="1"/>
    <col min="5" max="5" width="17.140625" style="565" bestFit="1" customWidth="1"/>
    <col min="6" max="6" width="71.8515625" style="565" bestFit="1" customWidth="1"/>
    <col min="7" max="9" width="5.8515625" style="565" customWidth="1"/>
    <col min="10" max="22" width="5.8515625" style="565" bestFit="1" customWidth="1"/>
    <col min="23" max="24" width="11.00390625" style="565" customWidth="1"/>
    <col min="25" max="29" width="11.421875" style="565" customWidth="1"/>
    <col min="30" max="16384" width="11.421875" style="566" customWidth="1"/>
  </cols>
  <sheetData>
    <row r="1" spans="1:4" ht="10.5">
      <c r="A1" s="564" t="s">
        <v>125</v>
      </c>
      <c r="B1" s="564" t="s">
        <v>125</v>
      </c>
      <c r="C1" s="564" t="s">
        <v>126</v>
      </c>
      <c r="D1" s="564" t="s">
        <v>127</v>
      </c>
    </row>
    <row r="2" spans="1:4" ht="10.5">
      <c r="A2" s="567" t="s">
        <v>128</v>
      </c>
      <c r="B2" s="568" t="s">
        <v>129</v>
      </c>
      <c r="C2" s="567">
        <v>31</v>
      </c>
      <c r="D2" s="567">
        <v>2006</v>
      </c>
    </row>
    <row r="3" spans="1:4" ht="10.5">
      <c r="A3" s="567" t="s">
        <v>130</v>
      </c>
      <c r="B3" s="568" t="s">
        <v>131</v>
      </c>
      <c r="C3" s="567">
        <f>IF(MOD(E14,4)=0,29,28)</f>
        <v>28</v>
      </c>
      <c r="D3" s="567">
        <f>+D2+1</f>
        <v>2007</v>
      </c>
    </row>
    <row r="4" spans="1:4" ht="10.5">
      <c r="A4" s="567" t="s">
        <v>132</v>
      </c>
      <c r="B4" s="568" t="s">
        <v>133</v>
      </c>
      <c r="C4" s="567">
        <v>31</v>
      </c>
      <c r="D4" s="567">
        <v>2008</v>
      </c>
    </row>
    <row r="5" spans="1:4" ht="10.5">
      <c r="A5" s="567" t="s">
        <v>134</v>
      </c>
      <c r="B5" s="568" t="s">
        <v>135</v>
      </c>
      <c r="C5" s="567">
        <v>30</v>
      </c>
      <c r="D5" s="567">
        <v>2009</v>
      </c>
    </row>
    <row r="6" spans="1:4" ht="10.5">
      <c r="A6" s="567" t="s">
        <v>136</v>
      </c>
      <c r="B6" s="568" t="s">
        <v>137</v>
      </c>
      <c r="C6" s="567">
        <v>31</v>
      </c>
      <c r="D6" s="567">
        <v>2010</v>
      </c>
    </row>
    <row r="7" spans="1:4" ht="10.5">
      <c r="A7" s="567" t="s">
        <v>138</v>
      </c>
      <c r="B7" s="568" t="s">
        <v>139</v>
      </c>
      <c r="C7" s="567">
        <v>30</v>
      </c>
      <c r="D7" s="567">
        <v>2011</v>
      </c>
    </row>
    <row r="8" spans="1:4" ht="10.5">
      <c r="A8" s="567" t="s">
        <v>140</v>
      </c>
      <c r="B8" s="568" t="s">
        <v>141</v>
      </c>
      <c r="C8" s="567">
        <v>31</v>
      </c>
      <c r="D8" s="567">
        <v>2012</v>
      </c>
    </row>
    <row r="9" spans="1:4" ht="10.5">
      <c r="A9" s="567" t="s">
        <v>142</v>
      </c>
      <c r="B9" s="568" t="s">
        <v>143</v>
      </c>
      <c r="C9" s="567">
        <v>31</v>
      </c>
      <c r="D9" s="567">
        <v>2013</v>
      </c>
    </row>
    <row r="10" spans="1:4" ht="10.5">
      <c r="A10" s="567" t="s">
        <v>144</v>
      </c>
      <c r="B10" s="568" t="s">
        <v>145</v>
      </c>
      <c r="C10" s="567">
        <v>30</v>
      </c>
      <c r="D10" s="567"/>
    </row>
    <row r="11" spans="1:4" ht="10.5">
      <c r="A11" s="567" t="s">
        <v>146</v>
      </c>
      <c r="B11" s="568" t="s">
        <v>147</v>
      </c>
      <c r="C11" s="567">
        <v>31</v>
      </c>
      <c r="D11" s="567"/>
    </row>
    <row r="12" spans="1:4" ht="10.5">
      <c r="A12" s="567" t="s">
        <v>148</v>
      </c>
      <c r="B12" s="568" t="s">
        <v>149</v>
      </c>
      <c r="C12" s="567">
        <v>30</v>
      </c>
      <c r="D12" s="567"/>
    </row>
    <row r="13" spans="1:9" ht="10.5">
      <c r="A13" s="567" t="s">
        <v>150</v>
      </c>
      <c r="B13" s="568" t="s">
        <v>151</v>
      </c>
      <c r="C13" s="567">
        <v>31</v>
      </c>
      <c r="D13" s="567"/>
      <c r="E13" s="569"/>
      <c r="I13" s="570" t="s">
        <v>152</v>
      </c>
    </row>
    <row r="14" spans="1:9" ht="10.5">
      <c r="A14" s="571">
        <v>8</v>
      </c>
      <c r="B14" s="572">
        <v>4</v>
      </c>
      <c r="C14" s="571" t="str">
        <f ca="1">CELL("CONTENIDO",OFFSET(A1,B14,0))</f>
        <v>abril</v>
      </c>
      <c r="D14" s="571">
        <f ca="1">CELL("CONTENIDO",OFFSET(C1,B14,0))</f>
        <v>30</v>
      </c>
      <c r="E14" s="571">
        <f ca="1">CELL("CONTENIDO",OFFSET(D1,A14,0))</f>
        <v>2013</v>
      </c>
      <c r="F14" s="571" t="str">
        <f>"Desde el 01 al "&amp;D14&amp;" de "&amp;C14&amp;" de "&amp;E14</f>
        <v>Desde el 01 al 30 de abril de 2013</v>
      </c>
      <c r="G14" s="571" t="str">
        <f ca="1">CELL("CONTENIDO",OFFSET(B1,B14,0))</f>
        <v>04</v>
      </c>
      <c r="H14" s="571" t="str">
        <f>RIGHT(E14,2)</f>
        <v>13</v>
      </c>
      <c r="I14" s="573" t="s">
        <v>153</v>
      </c>
    </row>
    <row r="15" spans="1:8" ht="10.5">
      <c r="A15" s="571"/>
      <c r="B15" s="574" t="str">
        <f>"\\rugor\files\Transporte\Transporte\AA PROCESO AUT ARCHIVOS J\TRANSENER\"&amp;E14</f>
        <v>\\rugor\files\Transporte\Transporte\AA PROCESO AUT ARCHIVOS J\TRANSENER\2013</v>
      </c>
      <c r="C15" s="571"/>
      <c r="D15" s="571"/>
      <c r="E15" s="571"/>
      <c r="F15" s="571"/>
      <c r="G15" s="571" t="str">
        <f>"J"&amp;G14&amp;H14&amp;"NER"</f>
        <v>J0413NER</v>
      </c>
      <c r="H15" s="571"/>
    </row>
    <row r="16" spans="1:8" ht="10.5">
      <c r="A16" s="571"/>
      <c r="B16" s="574" t="str">
        <f>"\\rugor\files\Transporte\transporte\AA PROCESO AUT\INTERCAMBIO\"&amp;H14&amp;G14</f>
        <v>\\rugor\files\Transporte\transporte\AA PROCESO AUT\INTERCAMBIO\1304</v>
      </c>
      <c r="C16" s="571"/>
      <c r="D16" s="571"/>
      <c r="E16" s="571"/>
      <c r="F16" s="571"/>
      <c r="G16" s="571"/>
      <c r="H16" s="571"/>
    </row>
    <row r="17" spans="1:29" ht="10.5">
      <c r="A17" s="564" t="s">
        <v>154</v>
      </c>
      <c r="B17" s="564" t="s">
        <v>155</v>
      </c>
      <c r="C17" s="564" t="s">
        <v>156</v>
      </c>
      <c r="D17" s="564" t="s">
        <v>157</v>
      </c>
      <c r="E17" s="564" t="s">
        <v>158</v>
      </c>
      <c r="F17" s="564" t="s">
        <v>159</v>
      </c>
      <c r="G17" s="564" t="s">
        <v>160</v>
      </c>
      <c r="H17" s="564" t="s">
        <v>161</v>
      </c>
      <c r="I17" s="564" t="s">
        <v>162</v>
      </c>
      <c r="J17" s="564" t="s">
        <v>163</v>
      </c>
      <c r="K17" s="564" t="s">
        <v>164</v>
      </c>
      <c r="L17" s="564" t="s">
        <v>165</v>
      </c>
      <c r="M17" s="564" t="s">
        <v>166</v>
      </c>
      <c r="N17" s="564" t="s">
        <v>167</v>
      </c>
      <c r="O17" s="564" t="s">
        <v>168</v>
      </c>
      <c r="P17" s="564" t="s">
        <v>169</v>
      </c>
      <c r="Q17" s="564" t="s">
        <v>170</v>
      </c>
      <c r="R17" s="564" t="s">
        <v>171</v>
      </c>
      <c r="S17" s="564" t="s">
        <v>172</v>
      </c>
      <c r="T17" s="564" t="s">
        <v>173</v>
      </c>
      <c r="U17" s="564" t="s">
        <v>174</v>
      </c>
      <c r="V17" s="564" t="s">
        <v>175</v>
      </c>
      <c r="W17" s="564" t="s">
        <v>176</v>
      </c>
      <c r="X17" s="564" t="s">
        <v>177</v>
      </c>
      <c r="Y17" s="564" t="s">
        <v>178</v>
      </c>
      <c r="Z17" s="564" t="s">
        <v>179</v>
      </c>
      <c r="AA17" s="564" t="s">
        <v>180</v>
      </c>
      <c r="AB17" s="564" t="s">
        <v>181</v>
      </c>
      <c r="AC17" s="564" t="s">
        <v>182</v>
      </c>
    </row>
    <row r="18" spans="1:29" ht="10.5">
      <c r="A18" s="575" t="s">
        <v>183</v>
      </c>
      <c r="B18" s="575">
        <v>22</v>
      </c>
      <c r="C18" s="575">
        <v>20</v>
      </c>
      <c r="D18" s="575">
        <v>13</v>
      </c>
      <c r="E18" s="575" t="str">
        <f>"LI-"&amp;$G$14</f>
        <v>LI-04</v>
      </c>
      <c r="F18" s="575" t="s">
        <v>184</v>
      </c>
      <c r="G18" s="575">
        <v>3</v>
      </c>
      <c r="H18" s="576">
        <v>5</v>
      </c>
      <c r="I18" s="576">
        <v>4</v>
      </c>
      <c r="J18" s="575">
        <v>6</v>
      </c>
      <c r="K18" s="575">
        <v>7</v>
      </c>
      <c r="L18" s="575">
        <v>8</v>
      </c>
      <c r="M18" s="575">
        <v>9</v>
      </c>
      <c r="N18" s="575">
        <v>12</v>
      </c>
      <c r="O18" s="575">
        <v>13</v>
      </c>
      <c r="P18" s="575">
        <v>16</v>
      </c>
      <c r="Q18" s="575">
        <v>19</v>
      </c>
      <c r="R18" s="575">
        <v>30</v>
      </c>
      <c r="S18" s="575">
        <v>0</v>
      </c>
      <c r="T18" s="575">
        <v>0</v>
      </c>
      <c r="U18" s="575">
        <v>0</v>
      </c>
      <c r="V18" s="575">
        <v>0</v>
      </c>
      <c r="W18" s="575">
        <v>17</v>
      </c>
      <c r="X18" s="575">
        <v>9</v>
      </c>
      <c r="Y18" s="575">
        <v>43</v>
      </c>
      <c r="Z18" s="576">
        <v>31</v>
      </c>
      <c r="AA18" s="575">
        <v>20</v>
      </c>
      <c r="AB18" s="576">
        <v>31</v>
      </c>
      <c r="AC18" s="575">
        <v>16</v>
      </c>
    </row>
    <row r="19" spans="1:29" ht="10.5">
      <c r="A19" s="575" t="s">
        <v>185</v>
      </c>
      <c r="B19" s="576">
        <v>20</v>
      </c>
      <c r="C19" s="576">
        <v>20</v>
      </c>
      <c r="D19" s="576">
        <v>13</v>
      </c>
      <c r="E19" s="575" t="str">
        <f>"LI-YACY-"&amp;$G$14</f>
        <v>LI-YACY-04</v>
      </c>
      <c r="F19" s="575" t="s">
        <v>186</v>
      </c>
      <c r="G19" s="576">
        <v>3</v>
      </c>
      <c r="H19" s="576">
        <v>5</v>
      </c>
      <c r="I19" s="576">
        <v>4</v>
      </c>
      <c r="J19" s="576">
        <v>6</v>
      </c>
      <c r="K19" s="576">
        <v>7</v>
      </c>
      <c r="L19" s="576">
        <v>8</v>
      </c>
      <c r="M19" s="576">
        <v>9</v>
      </c>
      <c r="N19" s="576">
        <v>12</v>
      </c>
      <c r="O19" s="576">
        <v>13</v>
      </c>
      <c r="P19" s="576">
        <v>16</v>
      </c>
      <c r="Q19" s="576">
        <v>19</v>
      </c>
      <c r="R19" s="576">
        <v>30</v>
      </c>
      <c r="S19" s="576">
        <v>0</v>
      </c>
      <c r="T19" s="576">
        <v>0</v>
      </c>
      <c r="U19" s="576">
        <v>0</v>
      </c>
      <c r="V19" s="576">
        <v>0</v>
      </c>
      <c r="W19" s="576">
        <v>18</v>
      </c>
      <c r="X19" s="576">
        <v>9</v>
      </c>
      <c r="Y19" s="576">
        <v>41</v>
      </c>
      <c r="Z19" s="576">
        <v>31</v>
      </c>
      <c r="AA19" s="575">
        <v>20</v>
      </c>
      <c r="AB19" s="576">
        <v>31</v>
      </c>
      <c r="AC19" s="576">
        <v>16</v>
      </c>
    </row>
    <row r="20" spans="1:29" ht="10.5">
      <c r="A20" s="575" t="s">
        <v>187</v>
      </c>
      <c r="B20" s="575">
        <v>22</v>
      </c>
      <c r="C20" s="575">
        <v>20</v>
      </c>
      <c r="D20" s="575">
        <v>13</v>
      </c>
      <c r="E20" s="575" t="str">
        <f>"LI-LITSA-"&amp;$G$14</f>
        <v>LI-LITSA-04</v>
      </c>
      <c r="F20" s="575" t="s">
        <v>188</v>
      </c>
      <c r="G20" s="575">
        <v>3</v>
      </c>
      <c r="H20" s="576">
        <v>5</v>
      </c>
      <c r="I20" s="576">
        <v>4</v>
      </c>
      <c r="J20" s="575">
        <v>6</v>
      </c>
      <c r="K20" s="575">
        <v>7</v>
      </c>
      <c r="L20" s="575">
        <v>8</v>
      </c>
      <c r="M20" s="575">
        <v>9</v>
      </c>
      <c r="N20" s="575">
        <v>12</v>
      </c>
      <c r="O20" s="575">
        <v>13</v>
      </c>
      <c r="P20" s="575">
        <v>16</v>
      </c>
      <c r="Q20" s="575">
        <v>19</v>
      </c>
      <c r="R20" s="575">
        <v>30</v>
      </c>
      <c r="S20" s="575">
        <v>0</v>
      </c>
      <c r="T20" s="575">
        <v>0</v>
      </c>
      <c r="U20" s="575">
        <v>0</v>
      </c>
      <c r="V20" s="575">
        <v>0</v>
      </c>
      <c r="W20" s="576">
        <v>19</v>
      </c>
      <c r="X20" s="575">
        <v>9</v>
      </c>
      <c r="Y20" s="575">
        <v>43</v>
      </c>
      <c r="Z20" s="576">
        <v>32</v>
      </c>
      <c r="AA20" s="575">
        <v>20</v>
      </c>
      <c r="AB20" s="576">
        <v>32</v>
      </c>
      <c r="AC20" s="575">
        <v>16</v>
      </c>
    </row>
    <row r="21" spans="1:29" ht="10.5">
      <c r="A21" s="575" t="s">
        <v>189</v>
      </c>
      <c r="B21" s="575">
        <v>22</v>
      </c>
      <c r="C21" s="575">
        <v>20</v>
      </c>
      <c r="D21" s="575">
        <v>13</v>
      </c>
      <c r="E21" s="575" t="str">
        <f>"LI-LITS2-"&amp;$G$14</f>
        <v>LI-LITS2-04</v>
      </c>
      <c r="F21" s="575" t="s">
        <v>190</v>
      </c>
      <c r="G21" s="575">
        <v>3</v>
      </c>
      <c r="H21" s="576">
        <v>5</v>
      </c>
      <c r="I21" s="576">
        <v>4</v>
      </c>
      <c r="J21" s="575">
        <v>6</v>
      </c>
      <c r="K21" s="575">
        <v>7</v>
      </c>
      <c r="L21" s="575">
        <v>8</v>
      </c>
      <c r="M21" s="575">
        <v>9</v>
      </c>
      <c r="N21" s="575">
        <v>12</v>
      </c>
      <c r="O21" s="575">
        <v>13</v>
      </c>
      <c r="P21" s="575">
        <v>16</v>
      </c>
      <c r="Q21" s="575">
        <v>19</v>
      </c>
      <c r="R21" s="575">
        <v>30</v>
      </c>
      <c r="S21" s="575">
        <v>0</v>
      </c>
      <c r="T21" s="575">
        <v>0</v>
      </c>
      <c r="U21" s="575">
        <v>0</v>
      </c>
      <c r="V21" s="575">
        <v>0</v>
      </c>
      <c r="W21" s="576">
        <v>20</v>
      </c>
      <c r="X21" s="575">
        <v>9</v>
      </c>
      <c r="Y21" s="575">
        <v>43</v>
      </c>
      <c r="Z21" s="576">
        <v>32</v>
      </c>
      <c r="AA21" s="575">
        <v>20</v>
      </c>
      <c r="AB21" s="576">
        <v>32</v>
      </c>
      <c r="AC21" s="575">
        <v>16</v>
      </c>
    </row>
    <row r="22" spans="1:29" ht="10.5">
      <c r="A22" s="575" t="s">
        <v>191</v>
      </c>
      <c r="B22" s="575">
        <v>22</v>
      </c>
      <c r="C22" s="575">
        <v>20</v>
      </c>
      <c r="D22" s="575">
        <v>13</v>
      </c>
      <c r="E22" s="575" t="str">
        <f>"LI-LINSA-"&amp;$G$14</f>
        <v>LI-LINSA-04</v>
      </c>
      <c r="F22" s="575" t="s">
        <v>192</v>
      </c>
      <c r="G22" s="575">
        <v>3</v>
      </c>
      <c r="H22" s="576">
        <v>5</v>
      </c>
      <c r="I22" s="576">
        <v>4</v>
      </c>
      <c r="J22" s="575">
        <v>6</v>
      </c>
      <c r="K22" s="575">
        <v>7</v>
      </c>
      <c r="L22" s="575">
        <v>8</v>
      </c>
      <c r="M22" s="575">
        <v>9</v>
      </c>
      <c r="N22" s="575">
        <v>12</v>
      </c>
      <c r="O22" s="575">
        <v>13</v>
      </c>
      <c r="P22" s="575">
        <v>16</v>
      </c>
      <c r="Q22" s="575">
        <v>19</v>
      </c>
      <c r="R22" s="575">
        <v>30</v>
      </c>
      <c r="S22" s="575">
        <v>0</v>
      </c>
      <c r="T22" s="575">
        <v>0</v>
      </c>
      <c r="U22" s="575">
        <v>0</v>
      </c>
      <c r="V22" s="575">
        <v>0</v>
      </c>
      <c r="W22" s="576">
        <v>21</v>
      </c>
      <c r="X22" s="575">
        <v>9</v>
      </c>
      <c r="Y22" s="575">
        <v>43</v>
      </c>
      <c r="Z22" s="576">
        <v>32</v>
      </c>
      <c r="AA22" s="575">
        <v>20</v>
      </c>
      <c r="AB22" s="576">
        <v>32</v>
      </c>
      <c r="AC22" s="575">
        <v>16</v>
      </c>
    </row>
    <row r="23" spans="1:29" ht="10.5">
      <c r="A23" s="575" t="s">
        <v>193</v>
      </c>
      <c r="B23" s="575">
        <v>22</v>
      </c>
      <c r="C23" s="576">
        <v>20</v>
      </c>
      <c r="D23" s="575">
        <v>13</v>
      </c>
      <c r="E23" s="575" t="str">
        <f>"LI-IV-"&amp;$G$14</f>
        <v>LI-IV-04</v>
      </c>
      <c r="F23" s="575" t="s">
        <v>194</v>
      </c>
      <c r="G23" s="575">
        <v>3</v>
      </c>
      <c r="H23" s="576">
        <v>5</v>
      </c>
      <c r="I23" s="576">
        <v>4</v>
      </c>
      <c r="J23" s="575">
        <v>6</v>
      </c>
      <c r="K23" s="575">
        <v>7</v>
      </c>
      <c r="L23" s="575">
        <v>8</v>
      </c>
      <c r="M23" s="575">
        <v>9</v>
      </c>
      <c r="N23" s="575">
        <v>12</v>
      </c>
      <c r="O23" s="575">
        <v>13</v>
      </c>
      <c r="P23" s="575">
        <v>16</v>
      </c>
      <c r="Q23" s="575">
        <v>19</v>
      </c>
      <c r="R23" s="575">
        <v>30</v>
      </c>
      <c r="S23" s="575">
        <v>0</v>
      </c>
      <c r="T23" s="575">
        <v>0</v>
      </c>
      <c r="U23" s="575">
        <v>0</v>
      </c>
      <c r="V23" s="575">
        <v>0</v>
      </c>
      <c r="W23" s="576">
        <v>22</v>
      </c>
      <c r="X23" s="576">
        <v>9</v>
      </c>
      <c r="Y23" s="575">
        <v>43</v>
      </c>
      <c r="Z23" s="576">
        <v>31</v>
      </c>
      <c r="AA23" s="575">
        <v>20</v>
      </c>
      <c r="AB23" s="576">
        <v>31</v>
      </c>
      <c r="AC23" s="575">
        <v>16</v>
      </c>
    </row>
    <row r="24" spans="1:29" ht="10.5">
      <c r="A24" s="576" t="s">
        <v>195</v>
      </c>
      <c r="B24" s="576">
        <v>20</v>
      </c>
      <c r="C24" s="576">
        <v>20</v>
      </c>
      <c r="D24" s="576">
        <v>13</v>
      </c>
      <c r="E24" s="576" t="str">
        <f>"LI-INTESAR-"&amp;$G$14</f>
        <v>LI-INTESAR-04</v>
      </c>
      <c r="F24" s="576" t="s">
        <v>196</v>
      </c>
      <c r="G24" s="576">
        <v>3</v>
      </c>
      <c r="H24" s="576">
        <v>5</v>
      </c>
      <c r="I24" s="576">
        <v>4</v>
      </c>
      <c r="J24" s="576">
        <v>6</v>
      </c>
      <c r="K24" s="576">
        <v>7</v>
      </c>
      <c r="L24" s="576">
        <v>8</v>
      </c>
      <c r="M24" s="576">
        <v>9</v>
      </c>
      <c r="N24" s="576">
        <v>12</v>
      </c>
      <c r="O24" s="576">
        <v>13</v>
      </c>
      <c r="P24" s="576">
        <v>16</v>
      </c>
      <c r="Q24" s="576">
        <v>19</v>
      </c>
      <c r="R24" s="576">
        <v>30</v>
      </c>
      <c r="S24" s="576">
        <v>0</v>
      </c>
      <c r="T24" s="576">
        <v>0</v>
      </c>
      <c r="U24" s="576">
        <v>0</v>
      </c>
      <c r="V24" s="576">
        <v>0</v>
      </c>
      <c r="W24" s="576">
        <v>23</v>
      </c>
      <c r="X24" s="576">
        <v>9</v>
      </c>
      <c r="Y24" s="576">
        <v>41</v>
      </c>
      <c r="Z24" s="576">
        <v>31</v>
      </c>
      <c r="AA24" s="575">
        <v>20</v>
      </c>
      <c r="AB24" s="576">
        <v>31</v>
      </c>
      <c r="AC24" s="576">
        <v>16</v>
      </c>
    </row>
    <row r="25" spans="1:29" ht="10.5">
      <c r="A25" s="576" t="s">
        <v>197</v>
      </c>
      <c r="B25" s="576">
        <v>20</v>
      </c>
      <c r="C25" s="576">
        <v>20</v>
      </c>
      <c r="D25" s="576">
        <v>13</v>
      </c>
      <c r="E25" s="576" t="str">
        <f>"LI-INTESA2-"&amp;$G$14</f>
        <v>LI-INTESA2-04</v>
      </c>
      <c r="F25" s="576" t="s">
        <v>198</v>
      </c>
      <c r="G25" s="576">
        <v>3</v>
      </c>
      <c r="H25" s="576">
        <v>5</v>
      </c>
      <c r="I25" s="576">
        <v>4</v>
      </c>
      <c r="J25" s="576">
        <v>6</v>
      </c>
      <c r="K25" s="576">
        <v>7</v>
      </c>
      <c r="L25" s="576">
        <v>8</v>
      </c>
      <c r="M25" s="576">
        <v>9</v>
      </c>
      <c r="N25" s="576">
        <v>12</v>
      </c>
      <c r="O25" s="576">
        <v>13</v>
      </c>
      <c r="P25" s="576">
        <v>16</v>
      </c>
      <c r="Q25" s="576">
        <v>19</v>
      </c>
      <c r="R25" s="576">
        <v>30</v>
      </c>
      <c r="S25" s="576">
        <v>0</v>
      </c>
      <c r="T25" s="576">
        <v>0</v>
      </c>
      <c r="U25" s="576">
        <v>0</v>
      </c>
      <c r="V25" s="576">
        <v>0</v>
      </c>
      <c r="W25" s="576">
        <v>24</v>
      </c>
      <c r="X25" s="576">
        <v>9</v>
      </c>
      <c r="Y25" s="576">
        <v>41</v>
      </c>
      <c r="Z25" s="576">
        <v>31</v>
      </c>
      <c r="AA25" s="575">
        <v>20</v>
      </c>
      <c r="AB25" s="576">
        <v>31</v>
      </c>
      <c r="AC25" s="576">
        <v>16</v>
      </c>
    </row>
    <row r="26" spans="1:29" ht="10.5">
      <c r="A26" s="576" t="s">
        <v>199</v>
      </c>
      <c r="B26" s="576">
        <v>20</v>
      </c>
      <c r="C26" s="576">
        <v>20</v>
      </c>
      <c r="D26" s="576">
        <v>13</v>
      </c>
      <c r="E26" s="576" t="str">
        <f>"LI-INTESA3-"&amp;$G$14</f>
        <v>LI-INTESA3-04</v>
      </c>
      <c r="F26" s="576" t="s">
        <v>200</v>
      </c>
      <c r="G26" s="576">
        <v>3</v>
      </c>
      <c r="H26" s="576">
        <v>5</v>
      </c>
      <c r="I26" s="576">
        <v>4</v>
      </c>
      <c r="J26" s="576">
        <v>6</v>
      </c>
      <c r="K26" s="576">
        <v>7</v>
      </c>
      <c r="L26" s="576">
        <v>8</v>
      </c>
      <c r="M26" s="576">
        <v>9</v>
      </c>
      <c r="N26" s="576">
        <v>12</v>
      </c>
      <c r="O26" s="576">
        <v>13</v>
      </c>
      <c r="P26" s="576">
        <v>16</v>
      </c>
      <c r="Q26" s="576">
        <v>19</v>
      </c>
      <c r="R26" s="576">
        <v>30</v>
      </c>
      <c r="S26" s="576">
        <v>0</v>
      </c>
      <c r="T26" s="576">
        <v>0</v>
      </c>
      <c r="U26" s="576">
        <v>0</v>
      </c>
      <c r="V26" s="576">
        <v>0</v>
      </c>
      <c r="W26" s="576">
        <v>25</v>
      </c>
      <c r="X26" s="576">
        <v>9</v>
      </c>
      <c r="Y26" s="576">
        <v>41</v>
      </c>
      <c r="Z26" s="576">
        <v>31</v>
      </c>
      <c r="AA26" s="575">
        <v>20</v>
      </c>
      <c r="AB26" s="576">
        <v>31</v>
      </c>
      <c r="AC26" s="576">
        <v>16</v>
      </c>
    </row>
    <row r="27" spans="1:29" ht="10.5">
      <c r="A27" s="576" t="s">
        <v>201</v>
      </c>
      <c r="B27" s="576">
        <v>20</v>
      </c>
      <c r="C27" s="576">
        <v>20</v>
      </c>
      <c r="D27" s="576">
        <v>13</v>
      </c>
      <c r="E27" s="576" t="str">
        <f>"LI-INTESA4-"&amp;$G$14</f>
        <v>LI-INTESA4-04</v>
      </c>
      <c r="F27" s="576" t="s">
        <v>202</v>
      </c>
      <c r="G27" s="576">
        <v>3</v>
      </c>
      <c r="H27" s="576">
        <v>5</v>
      </c>
      <c r="I27" s="576">
        <v>4</v>
      </c>
      <c r="J27" s="576">
        <v>6</v>
      </c>
      <c r="K27" s="576">
        <v>7</v>
      </c>
      <c r="L27" s="576">
        <v>8</v>
      </c>
      <c r="M27" s="576">
        <v>9</v>
      </c>
      <c r="N27" s="576">
        <v>12</v>
      </c>
      <c r="O27" s="576">
        <v>13</v>
      </c>
      <c r="P27" s="576">
        <v>16</v>
      </c>
      <c r="Q27" s="576">
        <v>19</v>
      </c>
      <c r="R27" s="576">
        <v>30</v>
      </c>
      <c r="S27" s="576">
        <v>0</v>
      </c>
      <c r="T27" s="576">
        <v>0</v>
      </c>
      <c r="U27" s="576">
        <v>0</v>
      </c>
      <c r="V27" s="576">
        <v>0</v>
      </c>
      <c r="W27" s="576">
        <v>26</v>
      </c>
      <c r="X27" s="576">
        <v>9</v>
      </c>
      <c r="Y27" s="576">
        <v>41</v>
      </c>
      <c r="Z27" s="576">
        <v>31</v>
      </c>
      <c r="AA27" s="575">
        <v>20</v>
      </c>
      <c r="AB27" s="576">
        <v>31</v>
      </c>
      <c r="AC27" s="576">
        <v>16</v>
      </c>
    </row>
    <row r="28" spans="1:29" ht="10.5">
      <c r="A28" s="576" t="s">
        <v>203</v>
      </c>
      <c r="B28" s="576">
        <v>20</v>
      </c>
      <c r="C28" s="576">
        <v>20</v>
      </c>
      <c r="D28" s="576">
        <v>13</v>
      </c>
      <c r="E28" s="576" t="str">
        <f>"LI-CUYANA-"&amp;$G$14</f>
        <v>LI-CUYANA-04</v>
      </c>
      <c r="F28" s="576" t="s">
        <v>204</v>
      </c>
      <c r="G28" s="576">
        <v>3</v>
      </c>
      <c r="H28" s="576">
        <v>5</v>
      </c>
      <c r="I28" s="576">
        <v>4</v>
      </c>
      <c r="J28" s="576">
        <v>6</v>
      </c>
      <c r="K28" s="576">
        <v>7</v>
      </c>
      <c r="L28" s="576">
        <v>8</v>
      </c>
      <c r="M28" s="576">
        <v>9</v>
      </c>
      <c r="N28" s="576">
        <v>12</v>
      </c>
      <c r="O28" s="576">
        <v>13</v>
      </c>
      <c r="P28" s="576">
        <v>16</v>
      </c>
      <c r="Q28" s="576">
        <v>19</v>
      </c>
      <c r="R28" s="576">
        <v>30</v>
      </c>
      <c r="S28" s="576">
        <v>0</v>
      </c>
      <c r="T28" s="576">
        <v>0</v>
      </c>
      <c r="U28" s="576">
        <v>0</v>
      </c>
      <c r="V28" s="576">
        <v>0</v>
      </c>
      <c r="W28" s="576">
        <v>27</v>
      </c>
      <c r="X28" s="576">
        <v>9</v>
      </c>
      <c r="Y28" s="576">
        <v>41</v>
      </c>
      <c r="Z28" s="576">
        <v>31</v>
      </c>
      <c r="AA28" s="575">
        <v>20</v>
      </c>
      <c r="AB28" s="576">
        <v>31</v>
      </c>
      <c r="AC28" s="576">
        <v>16</v>
      </c>
    </row>
    <row r="29" spans="1:29" ht="10.5">
      <c r="A29" s="576" t="s">
        <v>205</v>
      </c>
      <c r="B29" s="576">
        <v>20</v>
      </c>
      <c r="C29" s="576">
        <v>20</v>
      </c>
      <c r="D29" s="576">
        <v>13</v>
      </c>
      <c r="E29" s="576" t="str">
        <f>"LI-LIMSA-"&amp;$G$14</f>
        <v>LI-LIMSA-04</v>
      </c>
      <c r="F29" s="576" t="s">
        <v>206</v>
      </c>
      <c r="G29" s="576">
        <v>3</v>
      </c>
      <c r="H29" s="576">
        <v>5</v>
      </c>
      <c r="I29" s="576">
        <v>4</v>
      </c>
      <c r="J29" s="576">
        <v>6</v>
      </c>
      <c r="K29" s="576">
        <v>7</v>
      </c>
      <c r="L29" s="576">
        <v>8</v>
      </c>
      <c r="M29" s="576">
        <v>9</v>
      </c>
      <c r="N29" s="576">
        <v>12</v>
      </c>
      <c r="O29" s="576">
        <v>13</v>
      </c>
      <c r="P29" s="576">
        <v>16</v>
      </c>
      <c r="Q29" s="576">
        <v>19</v>
      </c>
      <c r="R29" s="576">
        <v>30</v>
      </c>
      <c r="S29" s="576">
        <v>0</v>
      </c>
      <c r="T29" s="576">
        <v>0</v>
      </c>
      <c r="U29" s="576">
        <v>0</v>
      </c>
      <c r="V29" s="576">
        <v>0</v>
      </c>
      <c r="W29" s="576">
        <v>28</v>
      </c>
      <c r="X29" s="576">
        <v>9</v>
      </c>
      <c r="Y29" s="576">
        <v>41</v>
      </c>
      <c r="Z29" s="576">
        <v>31</v>
      </c>
      <c r="AA29" s="575">
        <v>20</v>
      </c>
      <c r="AB29" s="576">
        <v>31</v>
      </c>
      <c r="AC29" s="576">
        <v>16</v>
      </c>
    </row>
    <row r="30" spans="1:29" ht="10.5">
      <c r="A30" s="576" t="s">
        <v>207</v>
      </c>
      <c r="B30" s="576">
        <v>20</v>
      </c>
      <c r="C30" s="576">
        <v>20</v>
      </c>
      <c r="D30" s="576">
        <v>13</v>
      </c>
      <c r="E30" s="576" t="str">
        <f>"LI-RIOJA-"&amp;$G$14</f>
        <v>LI-RIOJA-04</v>
      </c>
      <c r="F30" s="576" t="s">
        <v>208</v>
      </c>
      <c r="G30" s="576">
        <v>3</v>
      </c>
      <c r="H30" s="576">
        <v>5</v>
      </c>
      <c r="I30" s="576">
        <v>4</v>
      </c>
      <c r="J30" s="576">
        <v>6</v>
      </c>
      <c r="K30" s="576">
        <v>7</v>
      </c>
      <c r="L30" s="576">
        <v>8</v>
      </c>
      <c r="M30" s="576">
        <v>9</v>
      </c>
      <c r="N30" s="576">
        <v>12</v>
      </c>
      <c r="O30" s="576">
        <v>13</v>
      </c>
      <c r="P30" s="576">
        <v>16</v>
      </c>
      <c r="Q30" s="576">
        <v>19</v>
      </c>
      <c r="R30" s="576">
        <v>30</v>
      </c>
      <c r="S30" s="576">
        <v>0</v>
      </c>
      <c r="T30" s="576">
        <v>0</v>
      </c>
      <c r="U30" s="576">
        <v>0</v>
      </c>
      <c r="V30" s="576">
        <v>0</v>
      </c>
      <c r="W30" s="576">
        <v>29</v>
      </c>
      <c r="X30" s="576">
        <v>9</v>
      </c>
      <c r="Y30" s="576">
        <v>41</v>
      </c>
      <c r="Z30" s="576">
        <v>31</v>
      </c>
      <c r="AA30" s="575">
        <v>20</v>
      </c>
      <c r="AB30" s="576">
        <v>31</v>
      </c>
      <c r="AC30" s="576">
        <v>16</v>
      </c>
    </row>
    <row r="31" spans="1:29" ht="10.5">
      <c r="A31" s="577" t="s">
        <v>209</v>
      </c>
      <c r="B31" s="577">
        <v>22</v>
      </c>
      <c r="C31" s="578">
        <v>20</v>
      </c>
      <c r="D31" s="577">
        <v>14</v>
      </c>
      <c r="E31" s="577" t="str">
        <f>"TR-"&amp;$G$14</f>
        <v>TR-04</v>
      </c>
      <c r="F31" s="577" t="s">
        <v>210</v>
      </c>
      <c r="G31" s="576">
        <v>3</v>
      </c>
      <c r="H31" s="576">
        <v>5</v>
      </c>
      <c r="I31" s="576">
        <v>4</v>
      </c>
      <c r="J31" s="576">
        <v>6</v>
      </c>
      <c r="K31" s="576">
        <v>7</v>
      </c>
      <c r="L31" s="578">
        <v>8</v>
      </c>
      <c r="M31" s="578">
        <v>9</v>
      </c>
      <c r="N31" s="578">
        <v>11</v>
      </c>
      <c r="O31" s="578">
        <v>12</v>
      </c>
      <c r="P31" s="578">
        <v>15</v>
      </c>
      <c r="Q31" s="578">
        <v>17</v>
      </c>
      <c r="R31" s="578">
        <v>18</v>
      </c>
      <c r="S31" s="578">
        <v>28</v>
      </c>
      <c r="T31" s="578">
        <v>0</v>
      </c>
      <c r="U31" s="578">
        <v>0</v>
      </c>
      <c r="V31" s="578">
        <v>0</v>
      </c>
      <c r="W31" s="578">
        <v>33</v>
      </c>
      <c r="X31" s="576">
        <v>9</v>
      </c>
      <c r="Y31" s="577">
        <v>43</v>
      </c>
      <c r="Z31" s="577">
        <v>29</v>
      </c>
      <c r="AA31" s="577">
        <v>20</v>
      </c>
      <c r="AB31" s="577">
        <v>29</v>
      </c>
      <c r="AC31" s="577">
        <v>15</v>
      </c>
    </row>
    <row r="32" spans="1:29" ht="10.5">
      <c r="A32" s="575" t="s">
        <v>211</v>
      </c>
      <c r="B32" s="575">
        <v>22</v>
      </c>
      <c r="C32" s="576">
        <v>20</v>
      </c>
      <c r="D32" s="577">
        <v>14</v>
      </c>
      <c r="E32" s="575" t="str">
        <f>"TR-LITSA-"&amp;$G$14</f>
        <v>TR-LITSA-04</v>
      </c>
      <c r="F32" s="575" t="s">
        <v>212</v>
      </c>
      <c r="G32" s="576">
        <v>3</v>
      </c>
      <c r="H32" s="576">
        <v>5</v>
      </c>
      <c r="I32" s="576">
        <v>4</v>
      </c>
      <c r="J32" s="576">
        <v>6</v>
      </c>
      <c r="K32" s="576">
        <v>7</v>
      </c>
      <c r="L32" s="578">
        <v>8</v>
      </c>
      <c r="M32" s="578">
        <v>9</v>
      </c>
      <c r="N32" s="578">
        <v>11</v>
      </c>
      <c r="O32" s="578">
        <v>12</v>
      </c>
      <c r="P32" s="578">
        <v>15</v>
      </c>
      <c r="Q32" s="578">
        <v>17</v>
      </c>
      <c r="R32" s="578">
        <v>18</v>
      </c>
      <c r="S32" s="578">
        <v>28</v>
      </c>
      <c r="T32" s="578">
        <v>0</v>
      </c>
      <c r="U32" s="578">
        <v>0</v>
      </c>
      <c r="V32" s="578">
        <v>0</v>
      </c>
      <c r="W32" s="578">
        <v>34</v>
      </c>
      <c r="X32" s="576">
        <v>9</v>
      </c>
      <c r="Y32" s="577">
        <v>43</v>
      </c>
      <c r="Z32" s="577">
        <v>29</v>
      </c>
      <c r="AA32" s="577">
        <v>20</v>
      </c>
      <c r="AB32" s="577">
        <v>29</v>
      </c>
      <c r="AC32" s="577">
        <v>15</v>
      </c>
    </row>
    <row r="33" spans="1:29" ht="10.5">
      <c r="A33" s="575" t="s">
        <v>213</v>
      </c>
      <c r="B33" s="575">
        <v>22</v>
      </c>
      <c r="C33" s="576">
        <v>20</v>
      </c>
      <c r="D33" s="577">
        <v>14</v>
      </c>
      <c r="E33" s="575" t="str">
        <f>"TR-LITS2-"&amp;$G$14</f>
        <v>TR-LITS2-04</v>
      </c>
      <c r="F33" s="575" t="s">
        <v>214</v>
      </c>
      <c r="G33" s="576">
        <v>3</v>
      </c>
      <c r="H33" s="576">
        <v>5</v>
      </c>
      <c r="I33" s="576">
        <v>4</v>
      </c>
      <c r="J33" s="576">
        <v>6</v>
      </c>
      <c r="K33" s="576">
        <v>7</v>
      </c>
      <c r="L33" s="578">
        <v>8</v>
      </c>
      <c r="M33" s="578">
        <v>9</v>
      </c>
      <c r="N33" s="578">
        <v>11</v>
      </c>
      <c r="O33" s="578">
        <v>12</v>
      </c>
      <c r="P33" s="578">
        <v>15</v>
      </c>
      <c r="Q33" s="578">
        <v>17</v>
      </c>
      <c r="R33" s="578">
        <v>18</v>
      </c>
      <c r="S33" s="578">
        <v>28</v>
      </c>
      <c r="T33" s="578">
        <v>0</v>
      </c>
      <c r="U33" s="578">
        <v>0</v>
      </c>
      <c r="V33" s="578">
        <v>0</v>
      </c>
      <c r="W33" s="578">
        <v>35</v>
      </c>
      <c r="X33" s="576">
        <v>9</v>
      </c>
      <c r="Y33" s="577">
        <v>43</v>
      </c>
      <c r="Z33" s="577">
        <v>29</v>
      </c>
      <c r="AA33" s="577">
        <v>20</v>
      </c>
      <c r="AB33" s="577">
        <v>29</v>
      </c>
      <c r="AC33" s="577">
        <v>15</v>
      </c>
    </row>
    <row r="34" spans="1:29" ht="10.5">
      <c r="A34" s="575" t="s">
        <v>215</v>
      </c>
      <c r="B34" s="575">
        <v>22</v>
      </c>
      <c r="C34" s="576">
        <v>20</v>
      </c>
      <c r="D34" s="577">
        <v>14</v>
      </c>
      <c r="E34" s="575" t="str">
        <f>"TR-LINSA-"&amp;$G$14</f>
        <v>TR-LINSA-04</v>
      </c>
      <c r="F34" s="575" t="s">
        <v>216</v>
      </c>
      <c r="G34" s="576">
        <v>3</v>
      </c>
      <c r="H34" s="576">
        <v>5</v>
      </c>
      <c r="I34" s="576">
        <v>4</v>
      </c>
      <c r="J34" s="576">
        <v>6</v>
      </c>
      <c r="K34" s="576">
        <v>7</v>
      </c>
      <c r="L34" s="578">
        <v>8</v>
      </c>
      <c r="M34" s="578">
        <v>9</v>
      </c>
      <c r="N34" s="578">
        <v>11</v>
      </c>
      <c r="O34" s="578">
        <v>12</v>
      </c>
      <c r="P34" s="578">
        <v>15</v>
      </c>
      <c r="Q34" s="578">
        <v>17</v>
      </c>
      <c r="R34" s="578">
        <v>18</v>
      </c>
      <c r="S34" s="578">
        <v>28</v>
      </c>
      <c r="T34" s="578">
        <v>0</v>
      </c>
      <c r="U34" s="578">
        <v>0</v>
      </c>
      <c r="V34" s="578">
        <v>0</v>
      </c>
      <c r="W34" s="578">
        <v>36</v>
      </c>
      <c r="X34" s="576">
        <v>9</v>
      </c>
      <c r="Y34" s="577">
        <v>43</v>
      </c>
      <c r="Z34" s="577">
        <v>29</v>
      </c>
      <c r="AA34" s="577">
        <v>20</v>
      </c>
      <c r="AB34" s="577">
        <v>29</v>
      </c>
      <c r="AC34" s="577">
        <v>15</v>
      </c>
    </row>
    <row r="35" spans="1:29" ht="10.5">
      <c r="A35" s="575" t="s">
        <v>217</v>
      </c>
      <c r="B35" s="575">
        <v>20</v>
      </c>
      <c r="C35" s="576">
        <v>20</v>
      </c>
      <c r="D35" s="577">
        <v>14</v>
      </c>
      <c r="E35" s="575" t="str">
        <f>"TR-TIBA-"&amp;$G$14</f>
        <v>TR-TIBA-04</v>
      </c>
      <c r="F35" s="575" t="s">
        <v>218</v>
      </c>
      <c r="G35" s="576">
        <v>3</v>
      </c>
      <c r="H35" s="576">
        <v>5</v>
      </c>
      <c r="I35" s="576">
        <v>4</v>
      </c>
      <c r="J35" s="576">
        <v>6</v>
      </c>
      <c r="K35" s="576">
        <v>7</v>
      </c>
      <c r="L35" s="578">
        <v>8</v>
      </c>
      <c r="M35" s="578">
        <v>9</v>
      </c>
      <c r="N35" s="578">
        <v>11</v>
      </c>
      <c r="O35" s="578">
        <v>12</v>
      </c>
      <c r="P35" s="578">
        <v>15</v>
      </c>
      <c r="Q35" s="578">
        <v>17</v>
      </c>
      <c r="R35" s="578">
        <v>18</v>
      </c>
      <c r="S35" s="578">
        <v>28</v>
      </c>
      <c r="T35" s="578">
        <v>0</v>
      </c>
      <c r="U35" s="578">
        <v>0</v>
      </c>
      <c r="V35" s="578">
        <v>0</v>
      </c>
      <c r="W35" s="578">
        <v>37</v>
      </c>
      <c r="X35" s="576">
        <v>9</v>
      </c>
      <c r="Y35" s="577">
        <v>41</v>
      </c>
      <c r="Z35" s="577">
        <v>29</v>
      </c>
      <c r="AA35" s="577">
        <v>18</v>
      </c>
      <c r="AB35" s="577">
        <v>29</v>
      </c>
      <c r="AC35" s="577">
        <v>15</v>
      </c>
    </row>
    <row r="36" spans="1:29" ht="10.5">
      <c r="A36" s="575" t="s">
        <v>219</v>
      </c>
      <c r="B36" s="575">
        <v>20</v>
      </c>
      <c r="C36" s="576">
        <v>20</v>
      </c>
      <c r="D36" s="577">
        <v>14</v>
      </c>
      <c r="E36" s="575" t="str">
        <f>"TR-ENECOR-"&amp;$G$14</f>
        <v>TR-ENECOR-04</v>
      </c>
      <c r="F36" s="575" t="s">
        <v>220</v>
      </c>
      <c r="G36" s="576">
        <v>3</v>
      </c>
      <c r="H36" s="576">
        <v>5</v>
      </c>
      <c r="I36" s="576">
        <v>4</v>
      </c>
      <c r="J36" s="576">
        <v>6</v>
      </c>
      <c r="K36" s="576">
        <v>7</v>
      </c>
      <c r="L36" s="578">
        <v>8</v>
      </c>
      <c r="M36" s="578">
        <v>9</v>
      </c>
      <c r="N36" s="578">
        <v>11</v>
      </c>
      <c r="O36" s="578">
        <v>12</v>
      </c>
      <c r="P36" s="578">
        <v>15</v>
      </c>
      <c r="Q36" s="578">
        <v>17</v>
      </c>
      <c r="R36" s="578">
        <v>18</v>
      </c>
      <c r="S36" s="578">
        <v>28</v>
      </c>
      <c r="T36" s="578">
        <v>0</v>
      </c>
      <c r="U36" s="578">
        <v>0</v>
      </c>
      <c r="V36" s="578">
        <v>0</v>
      </c>
      <c r="W36" s="578">
        <v>38</v>
      </c>
      <c r="X36" s="576">
        <v>9</v>
      </c>
      <c r="Y36" s="577">
        <v>41</v>
      </c>
      <c r="Z36" s="577">
        <v>29</v>
      </c>
      <c r="AA36" s="577">
        <v>20</v>
      </c>
      <c r="AB36" s="577">
        <v>29</v>
      </c>
      <c r="AC36" s="577">
        <v>15</v>
      </c>
    </row>
    <row r="37" spans="1:29" ht="10.5">
      <c r="A37" s="576" t="s">
        <v>221</v>
      </c>
      <c r="B37" s="576">
        <v>20</v>
      </c>
      <c r="C37" s="576">
        <v>20</v>
      </c>
      <c r="D37" s="578">
        <v>14</v>
      </c>
      <c r="E37" s="576" t="str">
        <f>"TR-INTESAR-"&amp;$G$14</f>
        <v>TR-INTESAR-04</v>
      </c>
      <c r="F37" s="576" t="s">
        <v>222</v>
      </c>
      <c r="G37" s="576">
        <v>3</v>
      </c>
      <c r="H37" s="576">
        <v>5</v>
      </c>
      <c r="I37" s="576">
        <v>4</v>
      </c>
      <c r="J37" s="576">
        <v>6</v>
      </c>
      <c r="K37" s="576">
        <v>7</v>
      </c>
      <c r="L37" s="578">
        <v>8</v>
      </c>
      <c r="M37" s="578">
        <v>9</v>
      </c>
      <c r="N37" s="578">
        <v>11</v>
      </c>
      <c r="O37" s="578">
        <v>12</v>
      </c>
      <c r="P37" s="578">
        <v>15</v>
      </c>
      <c r="Q37" s="578">
        <v>17</v>
      </c>
      <c r="R37" s="578">
        <v>18</v>
      </c>
      <c r="S37" s="578">
        <v>28</v>
      </c>
      <c r="T37" s="578">
        <v>0</v>
      </c>
      <c r="U37" s="578">
        <v>0</v>
      </c>
      <c r="V37" s="578">
        <v>0</v>
      </c>
      <c r="W37" s="578">
        <v>39</v>
      </c>
      <c r="X37" s="576">
        <v>9</v>
      </c>
      <c r="Y37" s="577">
        <v>41</v>
      </c>
      <c r="Z37" s="578">
        <v>29</v>
      </c>
      <c r="AA37" s="578">
        <v>20</v>
      </c>
      <c r="AB37" s="578">
        <v>29</v>
      </c>
      <c r="AC37" s="578">
        <v>15</v>
      </c>
    </row>
    <row r="38" spans="1:29" ht="10.5">
      <c r="A38" s="576" t="s">
        <v>223</v>
      </c>
      <c r="B38" s="576">
        <v>20</v>
      </c>
      <c r="C38" s="576">
        <v>20</v>
      </c>
      <c r="D38" s="578">
        <v>14</v>
      </c>
      <c r="E38" s="576" t="str">
        <f>"TR-INTESA3-"&amp;$G$14</f>
        <v>TR-INTESA3-04</v>
      </c>
      <c r="F38" s="576" t="s">
        <v>224</v>
      </c>
      <c r="G38" s="576">
        <v>3</v>
      </c>
      <c r="H38" s="576">
        <v>5</v>
      </c>
      <c r="I38" s="576">
        <v>4</v>
      </c>
      <c r="J38" s="576">
        <v>6</v>
      </c>
      <c r="K38" s="576">
        <v>7</v>
      </c>
      <c r="L38" s="578">
        <v>8</v>
      </c>
      <c r="M38" s="578">
        <v>9</v>
      </c>
      <c r="N38" s="578">
        <v>11</v>
      </c>
      <c r="O38" s="578">
        <v>12</v>
      </c>
      <c r="P38" s="578">
        <v>15</v>
      </c>
      <c r="Q38" s="578">
        <v>17</v>
      </c>
      <c r="R38" s="578">
        <v>18</v>
      </c>
      <c r="S38" s="578">
        <v>28</v>
      </c>
      <c r="T38" s="578">
        <v>0</v>
      </c>
      <c r="U38" s="578">
        <v>0</v>
      </c>
      <c r="V38" s="578">
        <v>0</v>
      </c>
      <c r="W38" s="578">
        <v>40</v>
      </c>
      <c r="X38" s="576">
        <v>9</v>
      </c>
      <c r="Y38" s="577">
        <v>41</v>
      </c>
      <c r="Z38" s="578">
        <v>29</v>
      </c>
      <c r="AA38" s="578">
        <v>20</v>
      </c>
      <c r="AB38" s="578">
        <v>29</v>
      </c>
      <c r="AC38" s="578">
        <v>15</v>
      </c>
    </row>
    <row r="39" spans="1:29" ht="10.5">
      <c r="A39" s="576" t="s">
        <v>225</v>
      </c>
      <c r="B39" s="576">
        <v>20</v>
      </c>
      <c r="C39" s="576">
        <v>20</v>
      </c>
      <c r="D39" s="578">
        <v>14</v>
      </c>
      <c r="E39" s="576" t="str">
        <f>"TR-INTESA4-"&amp;$G$14</f>
        <v>TR-INTESA4-04</v>
      </c>
      <c r="F39" s="576" t="s">
        <v>226</v>
      </c>
      <c r="G39" s="576">
        <v>3</v>
      </c>
      <c r="H39" s="576">
        <v>5</v>
      </c>
      <c r="I39" s="576">
        <v>4</v>
      </c>
      <c r="J39" s="576">
        <v>6</v>
      </c>
      <c r="K39" s="576">
        <v>7</v>
      </c>
      <c r="L39" s="578">
        <v>8</v>
      </c>
      <c r="M39" s="578">
        <v>9</v>
      </c>
      <c r="N39" s="578">
        <v>11</v>
      </c>
      <c r="O39" s="578">
        <v>12</v>
      </c>
      <c r="P39" s="578">
        <v>15</v>
      </c>
      <c r="Q39" s="578">
        <v>17</v>
      </c>
      <c r="R39" s="578">
        <v>18</v>
      </c>
      <c r="S39" s="578">
        <v>28</v>
      </c>
      <c r="T39" s="578">
        <v>0</v>
      </c>
      <c r="U39" s="578">
        <v>0</v>
      </c>
      <c r="V39" s="578">
        <v>0</v>
      </c>
      <c r="W39" s="578">
        <v>41</v>
      </c>
      <c r="X39" s="576">
        <v>9</v>
      </c>
      <c r="Y39" s="577">
        <v>41</v>
      </c>
      <c r="Z39" s="578">
        <v>29</v>
      </c>
      <c r="AA39" s="578">
        <v>20</v>
      </c>
      <c r="AB39" s="578">
        <v>29</v>
      </c>
      <c r="AC39" s="578">
        <v>15</v>
      </c>
    </row>
    <row r="40" spans="1:29" ht="10.5">
      <c r="A40" s="576" t="s">
        <v>227</v>
      </c>
      <c r="B40" s="576">
        <v>20</v>
      </c>
      <c r="C40" s="576">
        <v>20</v>
      </c>
      <c r="D40" s="578">
        <v>14</v>
      </c>
      <c r="E40" s="576" t="str">
        <f>"TR-LIMSA-"&amp;$G$14</f>
        <v>TR-LIMSA-04</v>
      </c>
      <c r="F40" s="576" t="s">
        <v>228</v>
      </c>
      <c r="G40" s="576">
        <v>3</v>
      </c>
      <c r="H40" s="576">
        <v>5</v>
      </c>
      <c r="I40" s="576">
        <v>4</v>
      </c>
      <c r="J40" s="576">
        <v>6</v>
      </c>
      <c r="K40" s="576">
        <v>7</v>
      </c>
      <c r="L40" s="578">
        <v>8</v>
      </c>
      <c r="M40" s="578">
        <v>9</v>
      </c>
      <c r="N40" s="578">
        <v>11</v>
      </c>
      <c r="O40" s="578">
        <v>12</v>
      </c>
      <c r="P40" s="578">
        <v>15</v>
      </c>
      <c r="Q40" s="578">
        <v>17</v>
      </c>
      <c r="R40" s="578">
        <v>18</v>
      </c>
      <c r="S40" s="578">
        <v>28</v>
      </c>
      <c r="T40" s="578">
        <v>0</v>
      </c>
      <c r="U40" s="578">
        <v>0</v>
      </c>
      <c r="V40" s="578">
        <v>0</v>
      </c>
      <c r="W40" s="578">
        <v>42</v>
      </c>
      <c r="X40" s="576">
        <v>9</v>
      </c>
      <c r="Y40" s="577">
        <v>41</v>
      </c>
      <c r="Z40" s="578">
        <v>29</v>
      </c>
      <c r="AA40" s="578">
        <v>20</v>
      </c>
      <c r="AB40" s="578">
        <v>29</v>
      </c>
      <c r="AC40" s="578">
        <v>15</v>
      </c>
    </row>
    <row r="41" spans="1:29" ht="10.5">
      <c r="A41" s="576" t="s">
        <v>229</v>
      </c>
      <c r="B41" s="576">
        <v>20</v>
      </c>
      <c r="C41" s="576">
        <v>20</v>
      </c>
      <c r="D41" s="578">
        <v>14</v>
      </c>
      <c r="E41" s="576" t="str">
        <f>"TR-CUYANA-"&amp;$G$14</f>
        <v>TR-CUYANA-04</v>
      </c>
      <c r="F41" s="576" t="s">
        <v>230</v>
      </c>
      <c r="G41" s="576">
        <v>3</v>
      </c>
      <c r="H41" s="576">
        <v>5</v>
      </c>
      <c r="I41" s="576">
        <v>4</v>
      </c>
      <c r="J41" s="576">
        <v>6</v>
      </c>
      <c r="K41" s="576">
        <v>7</v>
      </c>
      <c r="L41" s="578">
        <v>8</v>
      </c>
      <c r="M41" s="578">
        <v>9</v>
      </c>
      <c r="N41" s="578">
        <v>11</v>
      </c>
      <c r="O41" s="578">
        <v>12</v>
      </c>
      <c r="P41" s="578">
        <v>15</v>
      </c>
      <c r="Q41" s="578">
        <v>17</v>
      </c>
      <c r="R41" s="578">
        <v>18</v>
      </c>
      <c r="S41" s="578">
        <v>28</v>
      </c>
      <c r="T41" s="578">
        <v>0</v>
      </c>
      <c r="U41" s="578">
        <v>0</v>
      </c>
      <c r="V41" s="578">
        <v>0</v>
      </c>
      <c r="W41" s="578">
        <v>43</v>
      </c>
      <c r="X41" s="576">
        <v>9</v>
      </c>
      <c r="Y41" s="577">
        <v>41</v>
      </c>
      <c r="Z41" s="578">
        <v>29</v>
      </c>
      <c r="AA41" s="578">
        <v>20</v>
      </c>
      <c r="AB41" s="578">
        <v>29</v>
      </c>
      <c r="AC41" s="578">
        <v>15</v>
      </c>
    </row>
    <row r="42" spans="1:29" ht="10.5">
      <c r="A42" s="576" t="s">
        <v>231</v>
      </c>
      <c r="B42" s="576">
        <v>20</v>
      </c>
      <c r="C42" s="576">
        <v>20</v>
      </c>
      <c r="D42" s="578">
        <v>14</v>
      </c>
      <c r="E42" s="576" t="str">
        <f>"TR-COBRA-"&amp;$G$14</f>
        <v>TR-COBRA-04</v>
      </c>
      <c r="F42" s="576" t="s">
        <v>232</v>
      </c>
      <c r="G42" s="576">
        <v>3</v>
      </c>
      <c r="H42" s="576">
        <v>5</v>
      </c>
      <c r="I42" s="576">
        <v>4</v>
      </c>
      <c r="J42" s="576">
        <v>6</v>
      </c>
      <c r="K42" s="576">
        <v>7</v>
      </c>
      <c r="L42" s="578">
        <v>8</v>
      </c>
      <c r="M42" s="578">
        <v>9</v>
      </c>
      <c r="N42" s="578">
        <v>11</v>
      </c>
      <c r="O42" s="578">
        <v>12</v>
      </c>
      <c r="P42" s="578">
        <v>15</v>
      </c>
      <c r="Q42" s="578">
        <v>17</v>
      </c>
      <c r="R42" s="578">
        <v>18</v>
      </c>
      <c r="S42" s="578">
        <v>28</v>
      </c>
      <c r="T42" s="578">
        <v>0</v>
      </c>
      <c r="U42" s="578">
        <v>0</v>
      </c>
      <c r="V42" s="578">
        <v>0</v>
      </c>
      <c r="W42" s="578">
        <v>44</v>
      </c>
      <c r="X42" s="576">
        <v>9</v>
      </c>
      <c r="Y42" s="577">
        <v>41</v>
      </c>
      <c r="Z42" s="578">
        <v>29</v>
      </c>
      <c r="AA42" s="578">
        <v>20</v>
      </c>
      <c r="AB42" s="578">
        <v>29</v>
      </c>
      <c r="AC42" s="578">
        <v>15</v>
      </c>
    </row>
    <row r="43" spans="1:29" ht="10.5">
      <c r="A43" s="575" t="s">
        <v>233</v>
      </c>
      <c r="B43" s="575">
        <v>24</v>
      </c>
      <c r="C43" s="576">
        <v>20</v>
      </c>
      <c r="D43" s="576">
        <v>11</v>
      </c>
      <c r="E43" s="575" t="str">
        <f>"SA-"&amp;$G$14</f>
        <v>SA-04</v>
      </c>
      <c r="F43" s="575" t="s">
        <v>234</v>
      </c>
      <c r="G43" s="575">
        <v>3</v>
      </c>
      <c r="H43" s="576">
        <v>5</v>
      </c>
      <c r="I43" s="576">
        <v>4</v>
      </c>
      <c r="J43" s="575">
        <v>6</v>
      </c>
      <c r="K43" s="575">
        <v>7</v>
      </c>
      <c r="L43" s="575">
        <v>8</v>
      </c>
      <c r="M43" s="575">
        <v>10</v>
      </c>
      <c r="N43" s="575">
        <v>11</v>
      </c>
      <c r="O43" s="575">
        <v>14</v>
      </c>
      <c r="P43" s="575">
        <v>15</v>
      </c>
      <c r="Q43" s="575">
        <v>21</v>
      </c>
      <c r="R43" s="575">
        <v>0</v>
      </c>
      <c r="S43" s="575">
        <v>0</v>
      </c>
      <c r="T43" s="575">
        <v>0</v>
      </c>
      <c r="U43" s="575">
        <v>0</v>
      </c>
      <c r="V43" s="575">
        <v>0</v>
      </c>
      <c r="W43" s="576">
        <v>46</v>
      </c>
      <c r="X43" s="576">
        <v>9</v>
      </c>
      <c r="Y43" s="575">
        <v>45</v>
      </c>
      <c r="Z43" s="575">
        <v>22</v>
      </c>
      <c r="AA43" s="575">
        <v>22</v>
      </c>
      <c r="AB43" s="575">
        <v>22</v>
      </c>
      <c r="AC43" s="576">
        <v>14</v>
      </c>
    </row>
    <row r="44" spans="1:29" ht="10.5">
      <c r="A44" s="575" t="s">
        <v>235</v>
      </c>
      <c r="B44" s="575">
        <v>22</v>
      </c>
      <c r="C44" s="576">
        <v>20</v>
      </c>
      <c r="D44" s="576">
        <v>11</v>
      </c>
      <c r="E44" s="575" t="str">
        <f>"SA-TIBA-"&amp;$G$14</f>
        <v>SA-TIBA-04</v>
      </c>
      <c r="F44" s="575" t="s">
        <v>236</v>
      </c>
      <c r="G44" s="575">
        <v>3</v>
      </c>
      <c r="H44" s="576">
        <v>5</v>
      </c>
      <c r="I44" s="576">
        <v>4</v>
      </c>
      <c r="J44" s="575">
        <v>6</v>
      </c>
      <c r="K44" s="575">
        <v>7</v>
      </c>
      <c r="L44" s="575">
        <v>8</v>
      </c>
      <c r="M44" s="575">
        <v>10</v>
      </c>
      <c r="N44" s="575">
        <v>11</v>
      </c>
      <c r="O44" s="575">
        <v>14</v>
      </c>
      <c r="P44" s="575">
        <v>15</v>
      </c>
      <c r="Q44" s="575">
        <v>21</v>
      </c>
      <c r="R44" s="575">
        <v>0</v>
      </c>
      <c r="S44" s="575">
        <v>0</v>
      </c>
      <c r="T44" s="575">
        <v>0</v>
      </c>
      <c r="U44" s="575">
        <v>0</v>
      </c>
      <c r="V44" s="575">
        <v>0</v>
      </c>
      <c r="W44" s="576">
        <v>47</v>
      </c>
      <c r="X44" s="576">
        <v>9</v>
      </c>
      <c r="Y44" s="575">
        <v>43</v>
      </c>
      <c r="Z44" s="575">
        <v>22</v>
      </c>
      <c r="AA44" s="575">
        <v>20</v>
      </c>
      <c r="AB44" s="575">
        <v>22</v>
      </c>
      <c r="AC44" s="576">
        <v>14</v>
      </c>
    </row>
    <row r="45" spans="1:29" ht="10.5">
      <c r="A45" s="575" t="s">
        <v>237</v>
      </c>
      <c r="B45" s="575">
        <v>22</v>
      </c>
      <c r="C45" s="576">
        <v>20</v>
      </c>
      <c r="D45" s="576">
        <v>11</v>
      </c>
      <c r="E45" s="575" t="str">
        <f>"SA-ENECOR-"&amp;$G$14</f>
        <v>SA-ENECOR-04</v>
      </c>
      <c r="F45" s="575" t="s">
        <v>238</v>
      </c>
      <c r="G45" s="575">
        <v>3</v>
      </c>
      <c r="H45" s="576">
        <v>5</v>
      </c>
      <c r="I45" s="576">
        <v>4</v>
      </c>
      <c r="J45" s="575">
        <v>6</v>
      </c>
      <c r="K45" s="575">
        <v>7</v>
      </c>
      <c r="L45" s="575">
        <v>8</v>
      </c>
      <c r="M45" s="575">
        <v>10</v>
      </c>
      <c r="N45" s="575">
        <v>11</v>
      </c>
      <c r="O45" s="575">
        <v>14</v>
      </c>
      <c r="P45" s="575">
        <v>15</v>
      </c>
      <c r="Q45" s="575">
        <v>21</v>
      </c>
      <c r="R45" s="575">
        <v>0</v>
      </c>
      <c r="S45" s="575">
        <v>0</v>
      </c>
      <c r="T45" s="575">
        <v>0</v>
      </c>
      <c r="U45" s="575">
        <v>0</v>
      </c>
      <c r="V45" s="575">
        <v>0</v>
      </c>
      <c r="W45" s="576">
        <v>48</v>
      </c>
      <c r="X45" s="576">
        <v>9</v>
      </c>
      <c r="Y45" s="575">
        <v>43</v>
      </c>
      <c r="Z45" s="575">
        <v>22</v>
      </c>
      <c r="AA45" s="575">
        <v>20</v>
      </c>
      <c r="AB45" s="575">
        <v>22</v>
      </c>
      <c r="AC45" s="576">
        <v>14</v>
      </c>
    </row>
    <row r="46" spans="1:29" ht="10.5">
      <c r="A46" s="575" t="s">
        <v>239</v>
      </c>
      <c r="B46" s="575">
        <v>24</v>
      </c>
      <c r="C46" s="576">
        <v>20</v>
      </c>
      <c r="D46" s="576">
        <v>11</v>
      </c>
      <c r="E46" s="575" t="str">
        <f>"SA-INTESA3-"&amp;$G$14</f>
        <v>SA-INTESA3-04</v>
      </c>
      <c r="F46" s="575" t="s">
        <v>240</v>
      </c>
      <c r="G46" s="575">
        <v>3</v>
      </c>
      <c r="H46" s="576">
        <v>5</v>
      </c>
      <c r="I46" s="576">
        <v>4</v>
      </c>
      <c r="J46" s="575">
        <v>6</v>
      </c>
      <c r="K46" s="575">
        <v>7</v>
      </c>
      <c r="L46" s="575">
        <v>8</v>
      </c>
      <c r="M46" s="575">
        <v>10</v>
      </c>
      <c r="N46" s="575">
        <v>11</v>
      </c>
      <c r="O46" s="575">
        <v>14</v>
      </c>
      <c r="P46" s="575">
        <v>15</v>
      </c>
      <c r="Q46" s="575">
        <v>21</v>
      </c>
      <c r="R46" s="575">
        <v>0</v>
      </c>
      <c r="S46" s="575">
        <v>0</v>
      </c>
      <c r="T46" s="575">
        <v>0</v>
      </c>
      <c r="U46" s="575">
        <v>0</v>
      </c>
      <c r="V46" s="575">
        <v>0</v>
      </c>
      <c r="W46" s="576">
        <v>49</v>
      </c>
      <c r="X46" s="576">
        <v>9</v>
      </c>
      <c r="Y46" s="575">
        <v>45</v>
      </c>
      <c r="Z46" s="575">
        <v>22</v>
      </c>
      <c r="AA46" s="575">
        <v>22</v>
      </c>
      <c r="AB46" s="575">
        <v>22</v>
      </c>
      <c r="AC46" s="576">
        <v>14</v>
      </c>
    </row>
    <row r="47" spans="1:29" ht="10.5">
      <c r="A47" s="575" t="s">
        <v>241</v>
      </c>
      <c r="B47" s="575">
        <v>24</v>
      </c>
      <c r="C47" s="576">
        <v>20</v>
      </c>
      <c r="D47" s="576">
        <v>11</v>
      </c>
      <c r="E47" s="575" t="str">
        <f>"SA-INTESA4-"&amp;$G$14</f>
        <v>SA-INTESA4-04</v>
      </c>
      <c r="F47" s="575" t="s">
        <v>242</v>
      </c>
      <c r="G47" s="575">
        <v>3</v>
      </c>
      <c r="H47" s="576">
        <v>5</v>
      </c>
      <c r="I47" s="576">
        <v>4</v>
      </c>
      <c r="J47" s="575">
        <v>6</v>
      </c>
      <c r="K47" s="575">
        <v>7</v>
      </c>
      <c r="L47" s="575">
        <v>8</v>
      </c>
      <c r="M47" s="575">
        <v>10</v>
      </c>
      <c r="N47" s="575">
        <v>11</v>
      </c>
      <c r="O47" s="575">
        <v>14</v>
      </c>
      <c r="P47" s="575">
        <v>15</v>
      </c>
      <c r="Q47" s="575">
        <v>21</v>
      </c>
      <c r="R47" s="575">
        <v>0</v>
      </c>
      <c r="S47" s="575">
        <v>0</v>
      </c>
      <c r="T47" s="575">
        <v>0</v>
      </c>
      <c r="U47" s="575">
        <v>0</v>
      </c>
      <c r="V47" s="575">
        <v>0</v>
      </c>
      <c r="W47" s="576">
        <v>50</v>
      </c>
      <c r="X47" s="576">
        <v>9</v>
      </c>
      <c r="Y47" s="575">
        <v>45</v>
      </c>
      <c r="Z47" s="575">
        <v>22</v>
      </c>
      <c r="AA47" s="575">
        <v>22</v>
      </c>
      <c r="AB47" s="575">
        <v>22</v>
      </c>
      <c r="AC47" s="576">
        <v>14</v>
      </c>
    </row>
    <row r="48" spans="1:29" ht="10.5">
      <c r="A48" s="576" t="s">
        <v>243</v>
      </c>
      <c r="B48" s="575">
        <v>24</v>
      </c>
      <c r="C48" s="575">
        <v>20</v>
      </c>
      <c r="D48" s="576">
        <v>11</v>
      </c>
      <c r="E48" s="576" t="str">
        <f>"SA-TESA-"&amp;$G$14</f>
        <v>SA-TESA-04</v>
      </c>
      <c r="F48" s="576" t="s">
        <v>244</v>
      </c>
      <c r="G48" s="576">
        <v>3</v>
      </c>
      <c r="H48" s="576">
        <v>5</v>
      </c>
      <c r="I48" s="576">
        <v>4</v>
      </c>
      <c r="J48" s="576">
        <v>6</v>
      </c>
      <c r="K48" s="576">
        <v>7</v>
      </c>
      <c r="L48" s="576">
        <v>8</v>
      </c>
      <c r="M48" s="576">
        <v>10</v>
      </c>
      <c r="N48" s="576">
        <v>11</v>
      </c>
      <c r="O48" s="576">
        <v>14</v>
      </c>
      <c r="P48" s="576">
        <v>15</v>
      </c>
      <c r="Q48" s="575">
        <v>21</v>
      </c>
      <c r="R48" s="576">
        <v>0</v>
      </c>
      <c r="S48" s="576">
        <v>0</v>
      </c>
      <c r="T48" s="576">
        <v>0</v>
      </c>
      <c r="U48" s="576">
        <v>0</v>
      </c>
      <c r="V48" s="576">
        <v>0</v>
      </c>
      <c r="W48" s="576">
        <v>51</v>
      </c>
      <c r="X48" s="576">
        <v>9</v>
      </c>
      <c r="Y48" s="575">
        <v>45</v>
      </c>
      <c r="Z48" s="576">
        <v>22</v>
      </c>
      <c r="AA48" s="576">
        <v>22</v>
      </c>
      <c r="AB48" s="576">
        <v>22</v>
      </c>
      <c r="AC48" s="576">
        <v>14</v>
      </c>
    </row>
    <row r="49" spans="1:29" ht="10.5">
      <c r="A49" s="576" t="s">
        <v>245</v>
      </c>
      <c r="B49" s="575">
        <v>24</v>
      </c>
      <c r="C49" s="575">
        <v>20</v>
      </c>
      <c r="D49" s="576">
        <v>11</v>
      </c>
      <c r="E49" s="576" t="str">
        <f>"SA-CTM-"&amp;$G$14</f>
        <v>SA-CTM-04</v>
      </c>
      <c r="F49" s="576" t="s">
        <v>246</v>
      </c>
      <c r="G49" s="576">
        <v>3</v>
      </c>
      <c r="H49" s="576">
        <v>5</v>
      </c>
      <c r="I49" s="576">
        <v>4</v>
      </c>
      <c r="J49" s="576">
        <v>6</v>
      </c>
      <c r="K49" s="576">
        <v>7</v>
      </c>
      <c r="L49" s="576">
        <v>8</v>
      </c>
      <c r="M49" s="576">
        <v>10</v>
      </c>
      <c r="N49" s="576">
        <v>11</v>
      </c>
      <c r="O49" s="576">
        <v>14</v>
      </c>
      <c r="P49" s="576">
        <v>15</v>
      </c>
      <c r="Q49" s="575">
        <v>21</v>
      </c>
      <c r="R49" s="576">
        <v>0</v>
      </c>
      <c r="S49" s="576">
        <v>0</v>
      </c>
      <c r="T49" s="576">
        <v>0</v>
      </c>
      <c r="U49" s="576">
        <v>0</v>
      </c>
      <c r="V49" s="576">
        <v>0</v>
      </c>
      <c r="W49" s="576">
        <v>52</v>
      </c>
      <c r="X49" s="576">
        <v>9</v>
      </c>
      <c r="Y49" s="575">
        <v>45</v>
      </c>
      <c r="Z49" s="576">
        <v>22</v>
      </c>
      <c r="AA49" s="576">
        <v>22</v>
      </c>
      <c r="AB49" s="576">
        <v>22</v>
      </c>
      <c r="AC49" s="576">
        <v>14</v>
      </c>
    </row>
    <row r="50" spans="1:29" ht="10.5">
      <c r="A50" s="575" t="s">
        <v>247</v>
      </c>
      <c r="B50" s="575">
        <v>24</v>
      </c>
      <c r="C50" s="576">
        <v>20</v>
      </c>
      <c r="D50" s="576">
        <v>11</v>
      </c>
      <c r="E50" s="575" t="str">
        <f>"SA-LIMSA-"&amp;$G$14</f>
        <v>SA-LIMSA-04</v>
      </c>
      <c r="F50" s="575" t="s">
        <v>248</v>
      </c>
      <c r="G50" s="575">
        <v>3</v>
      </c>
      <c r="H50" s="576">
        <v>5</v>
      </c>
      <c r="I50" s="576">
        <v>4</v>
      </c>
      <c r="J50" s="575">
        <v>6</v>
      </c>
      <c r="K50" s="575">
        <v>7</v>
      </c>
      <c r="L50" s="575">
        <v>8</v>
      </c>
      <c r="M50" s="575">
        <v>10</v>
      </c>
      <c r="N50" s="575">
        <v>11</v>
      </c>
      <c r="O50" s="575">
        <v>14</v>
      </c>
      <c r="P50" s="575">
        <v>15</v>
      </c>
      <c r="Q50" s="575">
        <v>21</v>
      </c>
      <c r="R50" s="575">
        <v>0</v>
      </c>
      <c r="S50" s="575">
        <v>0</v>
      </c>
      <c r="T50" s="575">
        <v>0</v>
      </c>
      <c r="U50" s="575">
        <v>0</v>
      </c>
      <c r="V50" s="575">
        <v>0</v>
      </c>
      <c r="W50" s="576">
        <v>53</v>
      </c>
      <c r="X50" s="576">
        <v>9</v>
      </c>
      <c r="Y50" s="575">
        <v>45</v>
      </c>
      <c r="Z50" s="575">
        <v>22</v>
      </c>
      <c r="AA50" s="575">
        <v>22</v>
      </c>
      <c r="AB50" s="575">
        <v>22</v>
      </c>
      <c r="AC50" s="576">
        <v>14</v>
      </c>
    </row>
    <row r="51" spans="1:29" ht="10.5">
      <c r="A51" s="575" t="s">
        <v>249</v>
      </c>
      <c r="B51" s="575">
        <v>24</v>
      </c>
      <c r="C51" s="576">
        <v>20</v>
      </c>
      <c r="D51" s="576">
        <v>11</v>
      </c>
      <c r="E51" s="575" t="str">
        <f>"SA-LITSA-"&amp;$G$14</f>
        <v>SA-LITSA-04</v>
      </c>
      <c r="F51" s="575" t="s">
        <v>250</v>
      </c>
      <c r="G51" s="575">
        <v>3</v>
      </c>
      <c r="H51" s="576">
        <v>5</v>
      </c>
      <c r="I51" s="576">
        <v>4</v>
      </c>
      <c r="J51" s="575">
        <v>6</v>
      </c>
      <c r="K51" s="575">
        <v>7</v>
      </c>
      <c r="L51" s="575">
        <v>8</v>
      </c>
      <c r="M51" s="575">
        <v>10</v>
      </c>
      <c r="N51" s="575">
        <v>11</v>
      </c>
      <c r="O51" s="575">
        <v>14</v>
      </c>
      <c r="P51" s="575">
        <v>15</v>
      </c>
      <c r="Q51" s="575">
        <v>21</v>
      </c>
      <c r="R51" s="575">
        <v>0</v>
      </c>
      <c r="S51" s="575">
        <v>0</v>
      </c>
      <c r="T51" s="575">
        <v>0</v>
      </c>
      <c r="U51" s="575">
        <v>0</v>
      </c>
      <c r="V51" s="575">
        <v>0</v>
      </c>
      <c r="W51" s="576">
        <v>54</v>
      </c>
      <c r="X51" s="576">
        <v>9</v>
      </c>
      <c r="Y51" s="575">
        <v>45</v>
      </c>
      <c r="Z51" s="575">
        <v>22</v>
      </c>
      <c r="AA51" s="575">
        <v>22</v>
      </c>
      <c r="AB51" s="575">
        <v>22</v>
      </c>
      <c r="AC51" s="576">
        <v>14</v>
      </c>
    </row>
    <row r="52" spans="1:29" ht="10.5">
      <c r="A52" s="575" t="s">
        <v>251</v>
      </c>
      <c r="B52" s="575">
        <v>24</v>
      </c>
      <c r="C52" s="576">
        <v>20</v>
      </c>
      <c r="D52" s="576">
        <v>11</v>
      </c>
      <c r="E52" s="575" t="str">
        <f>"SA-LITS2-"&amp;$G$14</f>
        <v>SA-LITS2-04</v>
      </c>
      <c r="F52" s="575" t="s">
        <v>252</v>
      </c>
      <c r="G52" s="575">
        <v>3</v>
      </c>
      <c r="H52" s="576">
        <v>5</v>
      </c>
      <c r="I52" s="576">
        <v>4</v>
      </c>
      <c r="J52" s="575">
        <v>6</v>
      </c>
      <c r="K52" s="575">
        <v>7</v>
      </c>
      <c r="L52" s="575">
        <v>8</v>
      </c>
      <c r="M52" s="575">
        <v>10</v>
      </c>
      <c r="N52" s="575">
        <v>11</v>
      </c>
      <c r="O52" s="575">
        <v>14</v>
      </c>
      <c r="P52" s="575">
        <v>15</v>
      </c>
      <c r="Q52" s="575">
        <v>21</v>
      </c>
      <c r="R52" s="575">
        <v>0</v>
      </c>
      <c r="S52" s="575">
        <v>0</v>
      </c>
      <c r="T52" s="575">
        <v>0</v>
      </c>
      <c r="U52" s="575">
        <v>0</v>
      </c>
      <c r="V52" s="575">
        <v>0</v>
      </c>
      <c r="W52" s="576">
        <v>55</v>
      </c>
      <c r="X52" s="576">
        <v>9</v>
      </c>
      <c r="Y52" s="575">
        <v>45</v>
      </c>
      <c r="Z52" s="575">
        <v>22</v>
      </c>
      <c r="AA52" s="575">
        <v>22</v>
      </c>
      <c r="AB52" s="575">
        <v>22</v>
      </c>
      <c r="AC52" s="576">
        <v>14</v>
      </c>
    </row>
    <row r="53" spans="1:29" ht="10.5">
      <c r="A53" s="575" t="s">
        <v>253</v>
      </c>
      <c r="B53" s="575">
        <v>24</v>
      </c>
      <c r="C53" s="576">
        <v>20</v>
      </c>
      <c r="D53" s="576">
        <v>11</v>
      </c>
      <c r="E53" s="575" t="str">
        <f>"SA-LINSA-"&amp;$G$14</f>
        <v>SA-LINSA-04</v>
      </c>
      <c r="F53" s="575" t="s">
        <v>254</v>
      </c>
      <c r="G53" s="575">
        <v>3</v>
      </c>
      <c r="H53" s="576">
        <v>5</v>
      </c>
      <c r="I53" s="576">
        <v>4</v>
      </c>
      <c r="J53" s="575">
        <v>6</v>
      </c>
      <c r="K53" s="575">
        <v>7</v>
      </c>
      <c r="L53" s="575">
        <v>8</v>
      </c>
      <c r="M53" s="575">
        <v>10</v>
      </c>
      <c r="N53" s="575">
        <v>11</v>
      </c>
      <c r="O53" s="575">
        <v>14</v>
      </c>
      <c r="P53" s="575">
        <v>15</v>
      </c>
      <c r="Q53" s="575">
        <v>21</v>
      </c>
      <c r="R53" s="575">
        <v>0</v>
      </c>
      <c r="S53" s="575">
        <v>0</v>
      </c>
      <c r="T53" s="575">
        <v>0</v>
      </c>
      <c r="U53" s="575">
        <v>0</v>
      </c>
      <c r="V53" s="575">
        <v>0</v>
      </c>
      <c r="W53" s="576">
        <v>56</v>
      </c>
      <c r="X53" s="576">
        <v>9</v>
      </c>
      <c r="Y53" s="575">
        <v>45</v>
      </c>
      <c r="Z53" s="575">
        <v>22</v>
      </c>
      <c r="AA53" s="575">
        <v>22</v>
      </c>
      <c r="AB53" s="575">
        <v>22</v>
      </c>
      <c r="AC53" s="576">
        <v>14</v>
      </c>
    </row>
    <row r="54" spans="1:29" ht="10.5">
      <c r="A54" s="575" t="s">
        <v>255</v>
      </c>
      <c r="B54" s="575">
        <v>22</v>
      </c>
      <c r="C54" s="575">
        <v>20</v>
      </c>
      <c r="D54" s="575">
        <v>12</v>
      </c>
      <c r="E54" s="575" t="str">
        <f>"RE-"&amp;$G$14</f>
        <v>RE-04</v>
      </c>
      <c r="F54" s="575" t="s">
        <v>256</v>
      </c>
      <c r="G54" s="575">
        <v>3</v>
      </c>
      <c r="H54" s="576">
        <v>5</v>
      </c>
      <c r="I54" s="576">
        <v>4</v>
      </c>
      <c r="J54" s="575">
        <v>6</v>
      </c>
      <c r="K54" s="575">
        <v>7</v>
      </c>
      <c r="L54" s="575">
        <v>8</v>
      </c>
      <c r="M54" s="575">
        <v>10</v>
      </c>
      <c r="N54" s="575">
        <v>11</v>
      </c>
      <c r="O54" s="575">
        <v>14</v>
      </c>
      <c r="P54" s="575">
        <v>16</v>
      </c>
      <c r="Q54" s="575">
        <v>25</v>
      </c>
      <c r="R54" s="575">
        <v>15</v>
      </c>
      <c r="S54" s="575">
        <v>0</v>
      </c>
      <c r="T54" s="575">
        <v>0</v>
      </c>
      <c r="U54" s="575">
        <v>0</v>
      </c>
      <c r="V54" s="575">
        <v>0</v>
      </c>
      <c r="W54" s="576">
        <v>59</v>
      </c>
      <c r="X54" s="576">
        <v>9</v>
      </c>
      <c r="Y54" s="575">
        <v>43</v>
      </c>
      <c r="Z54" s="575">
        <v>26</v>
      </c>
      <c r="AA54" s="575">
        <v>20</v>
      </c>
      <c r="AB54" s="575">
        <v>23</v>
      </c>
      <c r="AC54" s="575">
        <v>14</v>
      </c>
    </row>
    <row r="55" spans="1:29" ht="10.5">
      <c r="A55" s="575" t="s">
        <v>257</v>
      </c>
      <c r="B55" s="575">
        <v>22</v>
      </c>
      <c r="C55" s="575">
        <v>20</v>
      </c>
      <c r="D55" s="575">
        <v>12</v>
      </c>
      <c r="E55" s="575" t="str">
        <f>"RE-YACY-"&amp;$G$14</f>
        <v>RE-YACY-04</v>
      </c>
      <c r="F55" s="575" t="s">
        <v>258</v>
      </c>
      <c r="G55" s="575">
        <v>3</v>
      </c>
      <c r="H55" s="576">
        <v>5</v>
      </c>
      <c r="I55" s="576">
        <v>4</v>
      </c>
      <c r="J55" s="575">
        <v>6</v>
      </c>
      <c r="K55" s="575">
        <v>7</v>
      </c>
      <c r="L55" s="575">
        <v>8</v>
      </c>
      <c r="M55" s="575">
        <v>10</v>
      </c>
      <c r="N55" s="575">
        <v>11</v>
      </c>
      <c r="O55" s="575">
        <v>14</v>
      </c>
      <c r="P55" s="575">
        <v>16</v>
      </c>
      <c r="Q55" s="575">
        <v>25</v>
      </c>
      <c r="R55" s="575">
        <v>15</v>
      </c>
      <c r="S55" s="575">
        <v>0</v>
      </c>
      <c r="T55" s="575">
        <v>0</v>
      </c>
      <c r="U55" s="575">
        <v>0</v>
      </c>
      <c r="V55" s="575">
        <v>0</v>
      </c>
      <c r="W55" s="576">
        <v>61</v>
      </c>
      <c r="X55" s="576">
        <v>9</v>
      </c>
      <c r="Y55" s="575">
        <v>43</v>
      </c>
      <c r="Z55" s="575">
        <v>26</v>
      </c>
      <c r="AA55" s="575">
        <v>20</v>
      </c>
      <c r="AB55" s="575">
        <v>23</v>
      </c>
      <c r="AC55" s="575">
        <v>14</v>
      </c>
    </row>
    <row r="56" spans="1:29" ht="10.5">
      <c r="A56" s="575" t="s">
        <v>259</v>
      </c>
      <c r="B56" s="575">
        <v>24</v>
      </c>
      <c r="C56" s="575">
        <v>20</v>
      </c>
      <c r="D56" s="575">
        <v>12</v>
      </c>
      <c r="E56" s="575" t="s">
        <v>259</v>
      </c>
      <c r="F56" s="575" t="s">
        <v>260</v>
      </c>
      <c r="G56" s="575">
        <v>3</v>
      </c>
      <c r="H56" s="576">
        <v>5</v>
      </c>
      <c r="I56" s="576">
        <v>4</v>
      </c>
      <c r="J56" s="575">
        <v>6</v>
      </c>
      <c r="K56" s="575">
        <v>7</v>
      </c>
      <c r="L56" s="575">
        <v>8</v>
      </c>
      <c r="M56" s="575">
        <v>10</v>
      </c>
      <c r="N56" s="575">
        <v>11</v>
      </c>
      <c r="O56" s="575">
        <v>14</v>
      </c>
      <c r="P56" s="575">
        <v>16</v>
      </c>
      <c r="Q56" s="575">
        <v>22</v>
      </c>
      <c r="R56" s="575">
        <v>15</v>
      </c>
      <c r="S56" s="575">
        <v>0</v>
      </c>
      <c r="T56" s="575">
        <v>0</v>
      </c>
      <c r="U56" s="575">
        <v>0</v>
      </c>
      <c r="V56" s="575">
        <v>0</v>
      </c>
      <c r="W56" s="576">
        <v>62</v>
      </c>
      <c r="X56" s="576">
        <v>9</v>
      </c>
      <c r="Y56" s="575">
        <v>45</v>
      </c>
      <c r="Z56" s="575">
        <v>24</v>
      </c>
      <c r="AA56" s="575">
        <v>22</v>
      </c>
      <c r="AB56" s="575">
        <v>24</v>
      </c>
      <c r="AC56" s="575">
        <v>15</v>
      </c>
    </row>
    <row r="57" spans="1:29" ht="10.5">
      <c r="A57" s="575" t="s">
        <v>261</v>
      </c>
      <c r="B57" s="575">
        <v>24</v>
      </c>
      <c r="C57" s="575">
        <v>20</v>
      </c>
      <c r="D57" s="575">
        <v>12</v>
      </c>
      <c r="E57" s="575" t="s">
        <v>261</v>
      </c>
      <c r="F57" s="575" t="s">
        <v>262</v>
      </c>
      <c r="G57" s="575">
        <v>3</v>
      </c>
      <c r="H57" s="576">
        <v>5</v>
      </c>
      <c r="I57" s="576">
        <v>4</v>
      </c>
      <c r="J57" s="575">
        <v>6</v>
      </c>
      <c r="K57" s="575">
        <v>7</v>
      </c>
      <c r="L57" s="575">
        <v>8</v>
      </c>
      <c r="M57" s="575">
        <v>10</v>
      </c>
      <c r="N57" s="575">
        <v>11</v>
      </c>
      <c r="O57" s="575">
        <v>14</v>
      </c>
      <c r="P57" s="575">
        <v>16</v>
      </c>
      <c r="Q57" s="575">
        <v>22</v>
      </c>
      <c r="R57" s="575">
        <v>15</v>
      </c>
      <c r="S57" s="575">
        <v>0</v>
      </c>
      <c r="T57" s="575">
        <v>0</v>
      </c>
      <c r="U57" s="575">
        <v>0</v>
      </c>
      <c r="V57" s="575">
        <v>0</v>
      </c>
      <c r="W57" s="576">
        <v>63</v>
      </c>
      <c r="X57" s="576">
        <v>9</v>
      </c>
      <c r="Y57" s="575">
        <v>45</v>
      </c>
      <c r="Z57" s="575">
        <v>24</v>
      </c>
      <c r="AA57" s="575">
        <v>22</v>
      </c>
      <c r="AB57" s="575">
        <v>24</v>
      </c>
      <c r="AC57" s="575">
        <v>15</v>
      </c>
    </row>
    <row r="58" spans="1:29" ht="10.5">
      <c r="A58" s="575" t="s">
        <v>263</v>
      </c>
      <c r="B58" s="575">
        <v>24</v>
      </c>
      <c r="C58" s="575">
        <v>20</v>
      </c>
      <c r="D58" s="575">
        <v>12</v>
      </c>
      <c r="E58" s="575" t="s">
        <v>263</v>
      </c>
      <c r="F58" s="575" t="s">
        <v>264</v>
      </c>
      <c r="G58" s="575">
        <v>3</v>
      </c>
      <c r="H58" s="576">
        <v>5</v>
      </c>
      <c r="I58" s="576">
        <v>4</v>
      </c>
      <c r="J58" s="575">
        <v>6</v>
      </c>
      <c r="K58" s="575">
        <v>7</v>
      </c>
      <c r="L58" s="575">
        <v>8</v>
      </c>
      <c r="M58" s="575">
        <v>10</v>
      </c>
      <c r="N58" s="575">
        <v>11</v>
      </c>
      <c r="O58" s="575">
        <v>14</v>
      </c>
      <c r="P58" s="575">
        <v>16</v>
      </c>
      <c r="Q58" s="575">
        <v>22</v>
      </c>
      <c r="R58" s="575">
        <v>15</v>
      </c>
      <c r="S58" s="575">
        <v>0</v>
      </c>
      <c r="T58" s="575">
        <v>0</v>
      </c>
      <c r="U58" s="575">
        <v>0</v>
      </c>
      <c r="V58" s="575">
        <v>0</v>
      </c>
      <c r="W58" s="576">
        <v>64</v>
      </c>
      <c r="X58" s="576">
        <v>9</v>
      </c>
      <c r="Y58" s="575">
        <v>45</v>
      </c>
      <c r="Z58" s="575">
        <v>24</v>
      </c>
      <c r="AA58" s="575">
        <v>22</v>
      </c>
      <c r="AB58" s="575">
        <v>24</v>
      </c>
      <c r="AC58" s="575">
        <v>15</v>
      </c>
    </row>
    <row r="59" spans="1:29" ht="10.5">
      <c r="A59" s="575" t="s">
        <v>265</v>
      </c>
      <c r="B59" s="575">
        <v>24</v>
      </c>
      <c r="C59" s="575">
        <v>20</v>
      </c>
      <c r="D59" s="575">
        <v>12</v>
      </c>
      <c r="E59" s="575" t="str">
        <f>"RE-LITSA-"&amp;$G$14</f>
        <v>RE-LITSA-04</v>
      </c>
      <c r="F59" s="575" t="s">
        <v>266</v>
      </c>
      <c r="G59" s="575">
        <v>3</v>
      </c>
      <c r="H59" s="576">
        <v>5</v>
      </c>
      <c r="I59" s="576">
        <v>4</v>
      </c>
      <c r="J59" s="575">
        <v>6</v>
      </c>
      <c r="K59" s="575">
        <v>7</v>
      </c>
      <c r="L59" s="575">
        <v>8</v>
      </c>
      <c r="M59" s="575">
        <v>10</v>
      </c>
      <c r="N59" s="575">
        <v>11</v>
      </c>
      <c r="O59" s="575">
        <v>14</v>
      </c>
      <c r="P59" s="575">
        <v>16</v>
      </c>
      <c r="Q59" s="575">
        <v>22</v>
      </c>
      <c r="R59" s="575">
        <v>15</v>
      </c>
      <c r="S59" s="575">
        <v>0</v>
      </c>
      <c r="T59" s="575">
        <v>0</v>
      </c>
      <c r="U59" s="575">
        <v>0</v>
      </c>
      <c r="V59" s="575">
        <v>0</v>
      </c>
      <c r="W59" s="576">
        <v>65</v>
      </c>
      <c r="X59" s="576">
        <v>9</v>
      </c>
      <c r="Y59" s="575">
        <v>45</v>
      </c>
      <c r="Z59" s="575">
        <v>24</v>
      </c>
      <c r="AA59" s="575">
        <v>22</v>
      </c>
      <c r="AB59" s="575">
        <v>24</v>
      </c>
      <c r="AC59" s="575">
        <v>15</v>
      </c>
    </row>
    <row r="60" spans="1:29" ht="10.5">
      <c r="A60" s="575" t="s">
        <v>267</v>
      </c>
      <c r="B60" s="575">
        <v>24</v>
      </c>
      <c r="C60" s="575">
        <v>20</v>
      </c>
      <c r="D60" s="575">
        <v>12</v>
      </c>
      <c r="E60" s="575" t="str">
        <f>"RE-LITS2-"&amp;$G$14</f>
        <v>RE-LITS2-04</v>
      </c>
      <c r="F60" s="575" t="s">
        <v>268</v>
      </c>
      <c r="G60" s="575">
        <v>3</v>
      </c>
      <c r="H60" s="576">
        <v>5</v>
      </c>
      <c r="I60" s="576">
        <v>4</v>
      </c>
      <c r="J60" s="575">
        <v>6</v>
      </c>
      <c r="K60" s="575">
        <v>7</v>
      </c>
      <c r="L60" s="575">
        <v>8</v>
      </c>
      <c r="M60" s="575">
        <v>10</v>
      </c>
      <c r="N60" s="575">
        <v>11</v>
      </c>
      <c r="O60" s="575">
        <v>14</v>
      </c>
      <c r="P60" s="575">
        <v>16</v>
      </c>
      <c r="Q60" s="575">
        <v>22</v>
      </c>
      <c r="R60" s="575">
        <v>15</v>
      </c>
      <c r="S60" s="575">
        <v>0</v>
      </c>
      <c r="T60" s="575">
        <v>0</v>
      </c>
      <c r="U60" s="575">
        <v>0</v>
      </c>
      <c r="V60" s="575">
        <v>0</v>
      </c>
      <c r="W60" s="576">
        <v>66</v>
      </c>
      <c r="X60" s="576">
        <v>9</v>
      </c>
      <c r="Y60" s="575">
        <v>45</v>
      </c>
      <c r="Z60" s="575">
        <v>24</v>
      </c>
      <c r="AA60" s="575">
        <v>22</v>
      </c>
      <c r="AB60" s="575">
        <v>24</v>
      </c>
      <c r="AC60" s="575">
        <v>15</v>
      </c>
    </row>
    <row r="61" spans="1:29" ht="10.5">
      <c r="A61" s="575" t="s">
        <v>269</v>
      </c>
      <c r="B61" s="575">
        <v>24</v>
      </c>
      <c r="C61" s="575">
        <v>20</v>
      </c>
      <c r="D61" s="575">
        <v>12</v>
      </c>
      <c r="E61" s="575" t="str">
        <f>"RE-LINSA-"&amp;$G$14</f>
        <v>RE-LINSA-04</v>
      </c>
      <c r="F61" s="575" t="s">
        <v>270</v>
      </c>
      <c r="G61" s="575">
        <v>3</v>
      </c>
      <c r="H61" s="576">
        <v>5</v>
      </c>
      <c r="I61" s="576">
        <v>4</v>
      </c>
      <c r="J61" s="575">
        <v>6</v>
      </c>
      <c r="K61" s="575">
        <v>7</v>
      </c>
      <c r="L61" s="575">
        <v>8</v>
      </c>
      <c r="M61" s="575">
        <v>10</v>
      </c>
      <c r="N61" s="575">
        <v>11</v>
      </c>
      <c r="O61" s="575">
        <v>14</v>
      </c>
      <c r="P61" s="575">
        <v>16</v>
      </c>
      <c r="Q61" s="575">
        <v>22</v>
      </c>
      <c r="R61" s="575">
        <v>15</v>
      </c>
      <c r="S61" s="575">
        <v>0</v>
      </c>
      <c r="T61" s="575">
        <v>0</v>
      </c>
      <c r="U61" s="575">
        <v>0</v>
      </c>
      <c r="V61" s="575">
        <v>0</v>
      </c>
      <c r="W61" s="576">
        <v>67</v>
      </c>
      <c r="X61" s="576">
        <v>9</v>
      </c>
      <c r="Y61" s="575">
        <v>45</v>
      </c>
      <c r="Z61" s="575">
        <v>24</v>
      </c>
      <c r="AA61" s="575">
        <v>22</v>
      </c>
      <c r="AB61" s="575">
        <v>24</v>
      </c>
      <c r="AC61" s="575">
        <v>15</v>
      </c>
    </row>
    <row r="62" spans="1:29" ht="10.5">
      <c r="A62" s="575" t="s">
        <v>271</v>
      </c>
      <c r="B62" s="575">
        <v>22</v>
      </c>
      <c r="C62" s="575">
        <v>20</v>
      </c>
      <c r="D62" s="575">
        <v>12</v>
      </c>
      <c r="E62" s="575" t="str">
        <f>"RE-IV-"&amp;$G$14</f>
        <v>RE-IV-04</v>
      </c>
      <c r="F62" s="575" t="s">
        <v>272</v>
      </c>
      <c r="G62" s="575">
        <v>3</v>
      </c>
      <c r="H62" s="576">
        <v>5</v>
      </c>
      <c r="I62" s="576">
        <v>4</v>
      </c>
      <c r="J62" s="575">
        <v>6</v>
      </c>
      <c r="K62" s="575">
        <v>7</v>
      </c>
      <c r="L62" s="575">
        <v>8</v>
      </c>
      <c r="M62" s="575">
        <v>10</v>
      </c>
      <c r="N62" s="575">
        <v>11</v>
      </c>
      <c r="O62" s="575">
        <v>14</v>
      </c>
      <c r="P62" s="575">
        <v>16</v>
      </c>
      <c r="Q62" s="575">
        <v>22</v>
      </c>
      <c r="R62" s="575">
        <v>15</v>
      </c>
      <c r="S62" s="575">
        <v>0</v>
      </c>
      <c r="T62" s="575">
        <v>0</v>
      </c>
      <c r="U62" s="575">
        <v>0</v>
      </c>
      <c r="V62" s="575">
        <v>0</v>
      </c>
      <c r="W62" s="576">
        <v>68</v>
      </c>
      <c r="X62" s="575">
        <v>9</v>
      </c>
      <c r="Y62" s="575">
        <v>43</v>
      </c>
      <c r="Z62" s="575">
        <v>24</v>
      </c>
      <c r="AA62" s="575">
        <v>20</v>
      </c>
      <c r="AB62" s="575">
        <v>23</v>
      </c>
      <c r="AC62" s="575">
        <v>14</v>
      </c>
    </row>
    <row r="63" spans="1:29" ht="10.5">
      <c r="A63" s="575" t="s">
        <v>273</v>
      </c>
      <c r="B63" s="575">
        <v>22</v>
      </c>
      <c r="C63" s="575">
        <v>20</v>
      </c>
      <c r="D63" s="575">
        <v>12</v>
      </c>
      <c r="E63" s="575" t="str">
        <f>"RE-LIMSA-"&amp;$G$14</f>
        <v>RE-LIMSA-04</v>
      </c>
      <c r="F63" s="575" t="s">
        <v>274</v>
      </c>
      <c r="G63" s="575">
        <v>3</v>
      </c>
      <c r="H63" s="576">
        <v>5</v>
      </c>
      <c r="I63" s="576">
        <v>4</v>
      </c>
      <c r="J63" s="575">
        <v>6</v>
      </c>
      <c r="K63" s="575">
        <v>7</v>
      </c>
      <c r="L63" s="575">
        <v>8</v>
      </c>
      <c r="M63" s="575">
        <v>10</v>
      </c>
      <c r="N63" s="575">
        <v>11</v>
      </c>
      <c r="O63" s="575">
        <v>14</v>
      </c>
      <c r="P63" s="575">
        <v>16</v>
      </c>
      <c r="Q63" s="575">
        <v>25</v>
      </c>
      <c r="R63" s="575">
        <v>15</v>
      </c>
      <c r="S63" s="575">
        <v>0</v>
      </c>
      <c r="T63" s="575">
        <v>0</v>
      </c>
      <c r="U63" s="575">
        <v>0</v>
      </c>
      <c r="V63" s="575">
        <v>0</v>
      </c>
      <c r="W63" s="576">
        <v>69</v>
      </c>
      <c r="X63" s="576">
        <v>9</v>
      </c>
      <c r="Y63" s="575">
        <v>43</v>
      </c>
      <c r="Z63" s="575">
        <v>26</v>
      </c>
      <c r="AA63" s="575">
        <v>20</v>
      </c>
      <c r="AB63" s="575">
        <v>23</v>
      </c>
      <c r="AC63" s="575">
        <v>14</v>
      </c>
    </row>
    <row r="64" spans="1:29" ht="10.5">
      <c r="A64" s="579" t="s">
        <v>275</v>
      </c>
      <c r="B64" s="580">
        <v>32</v>
      </c>
      <c r="C64" s="580">
        <v>25</v>
      </c>
      <c r="D64" s="580">
        <v>11</v>
      </c>
      <c r="E64" s="579" t="s">
        <v>275</v>
      </c>
      <c r="F64" s="580" t="s">
        <v>186</v>
      </c>
      <c r="G64" s="580">
        <v>0</v>
      </c>
      <c r="H64" s="580">
        <v>0</v>
      </c>
      <c r="I64" s="580">
        <v>0</v>
      </c>
      <c r="J64" s="580">
        <v>4</v>
      </c>
      <c r="K64" s="580">
        <v>5</v>
      </c>
      <c r="L64" s="580">
        <v>6</v>
      </c>
      <c r="M64" s="580">
        <v>7</v>
      </c>
      <c r="N64" s="580">
        <v>10</v>
      </c>
      <c r="O64" s="580">
        <v>11</v>
      </c>
      <c r="P64" s="580">
        <v>14</v>
      </c>
      <c r="Q64" s="580">
        <v>17</v>
      </c>
      <c r="R64" s="580">
        <v>28</v>
      </c>
      <c r="S64" s="580">
        <v>0</v>
      </c>
      <c r="T64" s="580">
        <v>0</v>
      </c>
      <c r="U64" s="580">
        <v>0</v>
      </c>
      <c r="V64" s="580">
        <v>0</v>
      </c>
      <c r="W64" s="580">
        <v>0</v>
      </c>
      <c r="X64" s="580">
        <v>0</v>
      </c>
      <c r="Y64" s="580">
        <v>0</v>
      </c>
      <c r="Z64" s="580">
        <v>0</v>
      </c>
      <c r="AA64" s="580">
        <v>0</v>
      </c>
      <c r="AB64" s="580">
        <v>0</v>
      </c>
      <c r="AC64" s="580">
        <v>0</v>
      </c>
    </row>
    <row r="65" spans="1:29" s="581" customFormat="1" ht="10.5">
      <c r="A65" s="579" t="s">
        <v>275</v>
      </c>
      <c r="B65" s="579">
        <v>70</v>
      </c>
      <c r="C65" s="579">
        <v>4</v>
      </c>
      <c r="D65" s="579">
        <v>11</v>
      </c>
      <c r="E65" s="579" t="s">
        <v>275</v>
      </c>
      <c r="F65" s="580" t="s">
        <v>258</v>
      </c>
      <c r="G65" s="579">
        <v>0</v>
      </c>
      <c r="H65" s="579">
        <v>0</v>
      </c>
      <c r="I65" s="579">
        <v>0</v>
      </c>
      <c r="J65" s="579">
        <v>4</v>
      </c>
      <c r="K65" s="579">
        <v>5</v>
      </c>
      <c r="L65" s="579">
        <v>6</v>
      </c>
      <c r="M65" s="579">
        <v>10</v>
      </c>
      <c r="N65" s="579">
        <v>11</v>
      </c>
      <c r="O65" s="579">
        <v>14</v>
      </c>
      <c r="P65" s="579">
        <v>16</v>
      </c>
      <c r="Q65" s="579">
        <v>28</v>
      </c>
      <c r="R65" s="579">
        <v>0</v>
      </c>
      <c r="S65" s="579">
        <v>0</v>
      </c>
      <c r="T65" s="579">
        <v>0</v>
      </c>
      <c r="U65" s="579">
        <v>0</v>
      </c>
      <c r="V65" s="579">
        <v>0</v>
      </c>
      <c r="W65" s="579">
        <v>0</v>
      </c>
      <c r="X65" s="579">
        <v>0</v>
      </c>
      <c r="Y65" s="579">
        <v>0</v>
      </c>
      <c r="Z65" s="579">
        <v>0</v>
      </c>
      <c r="AA65" s="579">
        <v>0</v>
      </c>
      <c r="AB65" s="579">
        <v>0</v>
      </c>
      <c r="AC65" s="579">
        <v>0</v>
      </c>
    </row>
    <row r="66" spans="1:29" ht="10.5">
      <c r="A66" s="579" t="s">
        <v>276</v>
      </c>
      <c r="B66" s="580">
        <v>90</v>
      </c>
      <c r="C66" s="580">
        <v>10</v>
      </c>
      <c r="D66" s="582">
        <v>12</v>
      </c>
      <c r="E66" s="579" t="s">
        <v>276</v>
      </c>
      <c r="F66" s="580" t="s">
        <v>250</v>
      </c>
      <c r="G66" s="580">
        <v>0</v>
      </c>
      <c r="H66" s="580">
        <v>0</v>
      </c>
      <c r="I66" s="580">
        <v>0</v>
      </c>
      <c r="J66" s="580">
        <v>4</v>
      </c>
      <c r="K66" s="580">
        <v>5</v>
      </c>
      <c r="L66" s="580">
        <v>6</v>
      </c>
      <c r="M66" s="580">
        <v>10</v>
      </c>
      <c r="N66" s="580">
        <v>11</v>
      </c>
      <c r="O66" s="580">
        <v>14</v>
      </c>
      <c r="P66" s="580">
        <v>15</v>
      </c>
      <c r="Q66" s="580">
        <v>28</v>
      </c>
      <c r="R66" s="580">
        <v>0</v>
      </c>
      <c r="S66" s="580">
        <v>0</v>
      </c>
      <c r="T66" s="580">
        <v>0</v>
      </c>
      <c r="U66" s="580">
        <v>0</v>
      </c>
      <c r="V66" s="580">
        <v>0</v>
      </c>
      <c r="W66" s="580">
        <v>0</v>
      </c>
      <c r="X66" s="580">
        <v>0</v>
      </c>
      <c r="Y66" s="580">
        <v>0</v>
      </c>
      <c r="Z66" s="580">
        <v>0</v>
      </c>
      <c r="AA66" s="580">
        <v>0</v>
      </c>
      <c r="AB66" s="580">
        <v>0</v>
      </c>
      <c r="AC66" s="580">
        <v>0</v>
      </c>
    </row>
    <row r="67" spans="1:29" ht="10.5">
      <c r="A67" s="579" t="s">
        <v>276</v>
      </c>
      <c r="B67" s="580">
        <v>61</v>
      </c>
      <c r="C67" s="580">
        <v>24</v>
      </c>
      <c r="D67" s="582">
        <v>12</v>
      </c>
      <c r="E67" s="579" t="s">
        <v>276</v>
      </c>
      <c r="F67" s="580" t="s">
        <v>212</v>
      </c>
      <c r="G67" s="580">
        <v>0</v>
      </c>
      <c r="H67" s="580">
        <v>0</v>
      </c>
      <c r="I67" s="580">
        <v>0</v>
      </c>
      <c r="J67" s="580">
        <v>4</v>
      </c>
      <c r="K67" s="580">
        <v>5</v>
      </c>
      <c r="L67" s="580">
        <v>6</v>
      </c>
      <c r="M67" s="580">
        <v>8</v>
      </c>
      <c r="N67" s="580">
        <v>9</v>
      </c>
      <c r="O67" s="580">
        <v>10</v>
      </c>
      <c r="P67" s="580">
        <v>13</v>
      </c>
      <c r="Q67" s="580">
        <v>15</v>
      </c>
      <c r="R67" s="580">
        <v>16</v>
      </c>
      <c r="S67" s="580">
        <v>0</v>
      </c>
      <c r="T67" s="580">
        <v>0</v>
      </c>
      <c r="U67" s="580">
        <v>0</v>
      </c>
      <c r="V67" s="580">
        <v>0</v>
      </c>
      <c r="W67" s="580">
        <v>0</v>
      </c>
      <c r="X67" s="580">
        <v>0</v>
      </c>
      <c r="Y67" s="580">
        <v>0</v>
      </c>
      <c r="Z67" s="580">
        <v>0</v>
      </c>
      <c r="AA67" s="580">
        <v>0</v>
      </c>
      <c r="AB67" s="580">
        <v>0</v>
      </c>
      <c r="AC67" s="580">
        <v>0</v>
      </c>
    </row>
    <row r="68" spans="1:29" ht="10.5">
      <c r="A68" s="579" t="s">
        <v>276</v>
      </c>
      <c r="B68" s="580">
        <v>32</v>
      </c>
      <c r="C68" s="580">
        <v>24</v>
      </c>
      <c r="D68" s="580">
        <v>11</v>
      </c>
      <c r="E68" s="579" t="s">
        <v>276</v>
      </c>
      <c r="F68" s="580" t="s">
        <v>188</v>
      </c>
      <c r="G68" s="580">
        <v>0</v>
      </c>
      <c r="H68" s="580">
        <v>0</v>
      </c>
      <c r="I68" s="580">
        <v>0</v>
      </c>
      <c r="J68" s="580">
        <v>4</v>
      </c>
      <c r="K68" s="580">
        <v>5</v>
      </c>
      <c r="L68" s="580">
        <v>6</v>
      </c>
      <c r="M68" s="580">
        <v>7</v>
      </c>
      <c r="N68" s="580">
        <v>10</v>
      </c>
      <c r="O68" s="580">
        <v>11</v>
      </c>
      <c r="P68" s="580">
        <v>14</v>
      </c>
      <c r="Q68" s="580">
        <v>17</v>
      </c>
      <c r="R68" s="580">
        <v>28</v>
      </c>
      <c r="S68" s="580">
        <v>0</v>
      </c>
      <c r="T68" s="580">
        <v>0</v>
      </c>
      <c r="U68" s="580">
        <v>0</v>
      </c>
      <c r="V68" s="580">
        <v>0</v>
      </c>
      <c r="W68" s="580">
        <v>0</v>
      </c>
      <c r="X68" s="580">
        <v>0</v>
      </c>
      <c r="Y68" s="580">
        <v>0</v>
      </c>
      <c r="Z68" s="580">
        <v>0</v>
      </c>
      <c r="AA68" s="580">
        <v>0</v>
      </c>
      <c r="AB68" s="580">
        <v>0</v>
      </c>
      <c r="AC68" s="580">
        <v>0</v>
      </c>
    </row>
    <row r="69" spans="1:29" s="581" customFormat="1" ht="10.5">
      <c r="A69" s="579" t="s">
        <v>276</v>
      </c>
      <c r="B69" s="579">
        <v>105</v>
      </c>
      <c r="C69" s="579">
        <v>8</v>
      </c>
      <c r="D69" s="579">
        <v>11</v>
      </c>
      <c r="E69" s="579" t="s">
        <v>276</v>
      </c>
      <c r="F69" s="580" t="s">
        <v>266</v>
      </c>
      <c r="G69" s="579">
        <v>0</v>
      </c>
      <c r="H69" s="579">
        <v>0</v>
      </c>
      <c r="I69" s="579">
        <v>0</v>
      </c>
      <c r="J69" s="579">
        <v>4</v>
      </c>
      <c r="K69" s="579">
        <v>5</v>
      </c>
      <c r="L69" s="579">
        <v>6</v>
      </c>
      <c r="M69" s="579">
        <v>10</v>
      </c>
      <c r="N69" s="579">
        <v>11</v>
      </c>
      <c r="O69" s="579">
        <v>14</v>
      </c>
      <c r="P69" s="579">
        <v>16</v>
      </c>
      <c r="Q69" s="579">
        <v>28</v>
      </c>
      <c r="R69" s="579">
        <v>0</v>
      </c>
      <c r="S69" s="579">
        <v>0</v>
      </c>
      <c r="T69" s="579">
        <v>0</v>
      </c>
      <c r="U69" s="579">
        <v>0</v>
      </c>
      <c r="V69" s="579">
        <v>0</v>
      </c>
      <c r="W69" s="579">
        <v>0</v>
      </c>
      <c r="X69" s="579">
        <v>0</v>
      </c>
      <c r="Y69" s="579">
        <v>0</v>
      </c>
      <c r="Z69" s="579">
        <v>0</v>
      </c>
      <c r="AA69" s="579">
        <v>0</v>
      </c>
      <c r="AB69" s="579">
        <v>0</v>
      </c>
      <c r="AC69" s="579">
        <v>0</v>
      </c>
    </row>
    <row r="70" spans="1:29" ht="10.5">
      <c r="A70" s="579" t="s">
        <v>277</v>
      </c>
      <c r="B70" s="580">
        <v>90</v>
      </c>
      <c r="C70" s="580">
        <v>10</v>
      </c>
      <c r="D70" s="582">
        <v>12</v>
      </c>
      <c r="E70" s="579" t="s">
        <v>277</v>
      </c>
      <c r="F70" s="580" t="s">
        <v>252</v>
      </c>
      <c r="G70" s="580">
        <v>0</v>
      </c>
      <c r="H70" s="580">
        <v>0</v>
      </c>
      <c r="I70" s="580">
        <v>0</v>
      </c>
      <c r="J70" s="580">
        <v>4</v>
      </c>
      <c r="K70" s="580">
        <v>5</v>
      </c>
      <c r="L70" s="580">
        <v>6</v>
      </c>
      <c r="M70" s="580">
        <v>10</v>
      </c>
      <c r="N70" s="580">
        <v>11</v>
      </c>
      <c r="O70" s="580">
        <v>14</v>
      </c>
      <c r="P70" s="580">
        <v>15</v>
      </c>
      <c r="Q70" s="580">
        <v>28</v>
      </c>
      <c r="R70" s="580">
        <v>0</v>
      </c>
      <c r="S70" s="580">
        <v>0</v>
      </c>
      <c r="T70" s="580">
        <v>0</v>
      </c>
      <c r="U70" s="580">
        <v>0</v>
      </c>
      <c r="V70" s="580">
        <v>0</v>
      </c>
      <c r="W70" s="580">
        <v>0</v>
      </c>
      <c r="X70" s="580">
        <v>0</v>
      </c>
      <c r="Y70" s="580">
        <v>0</v>
      </c>
      <c r="Z70" s="580">
        <v>0</v>
      </c>
      <c r="AA70" s="580">
        <v>0</v>
      </c>
      <c r="AB70" s="580">
        <v>0</v>
      </c>
      <c r="AC70" s="580">
        <v>0</v>
      </c>
    </row>
    <row r="71" spans="1:29" ht="10.5">
      <c r="A71" s="579" t="s">
        <v>277</v>
      </c>
      <c r="B71" s="580">
        <v>61</v>
      </c>
      <c r="C71" s="580">
        <v>24</v>
      </c>
      <c r="D71" s="582">
        <v>12</v>
      </c>
      <c r="E71" s="579" t="s">
        <v>277</v>
      </c>
      <c r="F71" s="580" t="s">
        <v>214</v>
      </c>
      <c r="G71" s="580">
        <v>0</v>
      </c>
      <c r="H71" s="580">
        <v>0</v>
      </c>
      <c r="I71" s="580">
        <v>0</v>
      </c>
      <c r="J71" s="580">
        <v>4</v>
      </c>
      <c r="K71" s="580">
        <v>5</v>
      </c>
      <c r="L71" s="580">
        <v>6</v>
      </c>
      <c r="M71" s="580">
        <v>8</v>
      </c>
      <c r="N71" s="580">
        <v>9</v>
      </c>
      <c r="O71" s="580">
        <v>10</v>
      </c>
      <c r="P71" s="580">
        <v>13</v>
      </c>
      <c r="Q71" s="580">
        <v>15</v>
      </c>
      <c r="R71" s="580">
        <v>16</v>
      </c>
      <c r="S71" s="580">
        <v>0</v>
      </c>
      <c r="T71" s="580">
        <v>0</v>
      </c>
      <c r="U71" s="580">
        <v>0</v>
      </c>
      <c r="V71" s="580">
        <v>0</v>
      </c>
      <c r="W71" s="580">
        <v>0</v>
      </c>
      <c r="X71" s="580">
        <v>0</v>
      </c>
      <c r="Y71" s="580">
        <v>0</v>
      </c>
      <c r="Z71" s="580">
        <v>0</v>
      </c>
      <c r="AA71" s="580">
        <v>0</v>
      </c>
      <c r="AB71" s="580">
        <v>0</v>
      </c>
      <c r="AC71" s="580">
        <v>0</v>
      </c>
    </row>
    <row r="72" spans="1:29" ht="10.5">
      <c r="A72" s="579" t="s">
        <v>277</v>
      </c>
      <c r="B72" s="580">
        <v>32</v>
      </c>
      <c r="C72" s="580">
        <v>24</v>
      </c>
      <c r="D72" s="580">
        <v>11</v>
      </c>
      <c r="E72" s="579" t="s">
        <v>277</v>
      </c>
      <c r="F72" s="580" t="s">
        <v>190</v>
      </c>
      <c r="G72" s="580">
        <v>0</v>
      </c>
      <c r="H72" s="580">
        <v>0</v>
      </c>
      <c r="I72" s="580">
        <v>0</v>
      </c>
      <c r="J72" s="580">
        <v>4</v>
      </c>
      <c r="K72" s="580">
        <v>5</v>
      </c>
      <c r="L72" s="580">
        <v>6</v>
      </c>
      <c r="M72" s="580">
        <v>7</v>
      </c>
      <c r="N72" s="580">
        <v>10</v>
      </c>
      <c r="O72" s="580">
        <v>11</v>
      </c>
      <c r="P72" s="580">
        <v>14</v>
      </c>
      <c r="Q72" s="580">
        <v>17</v>
      </c>
      <c r="R72" s="580">
        <v>28</v>
      </c>
      <c r="S72" s="580">
        <v>0</v>
      </c>
      <c r="T72" s="580">
        <v>0</v>
      </c>
      <c r="U72" s="580">
        <v>0</v>
      </c>
      <c r="V72" s="580">
        <v>0</v>
      </c>
      <c r="W72" s="580">
        <v>0</v>
      </c>
      <c r="X72" s="580">
        <v>0</v>
      </c>
      <c r="Y72" s="580">
        <v>0</v>
      </c>
      <c r="Z72" s="580">
        <v>0</v>
      </c>
      <c r="AA72" s="580">
        <v>0</v>
      </c>
      <c r="AB72" s="580">
        <v>0</v>
      </c>
      <c r="AC72" s="580">
        <v>0</v>
      </c>
    </row>
    <row r="73" spans="1:29" s="581" customFormat="1" ht="10.5">
      <c r="A73" s="579" t="s">
        <v>277</v>
      </c>
      <c r="B73" s="579">
        <v>105</v>
      </c>
      <c r="C73" s="579">
        <v>8</v>
      </c>
      <c r="D73" s="579">
        <v>11</v>
      </c>
      <c r="E73" s="579" t="s">
        <v>277</v>
      </c>
      <c r="F73" s="580" t="s">
        <v>268</v>
      </c>
      <c r="G73" s="579">
        <v>0</v>
      </c>
      <c r="H73" s="579">
        <v>0</v>
      </c>
      <c r="I73" s="579">
        <v>0</v>
      </c>
      <c r="J73" s="579">
        <v>4</v>
      </c>
      <c r="K73" s="579">
        <v>5</v>
      </c>
      <c r="L73" s="579">
        <v>6</v>
      </c>
      <c r="M73" s="579">
        <v>10</v>
      </c>
      <c r="N73" s="579">
        <v>11</v>
      </c>
      <c r="O73" s="579">
        <v>14</v>
      </c>
      <c r="P73" s="579">
        <v>16</v>
      </c>
      <c r="Q73" s="579">
        <v>28</v>
      </c>
      <c r="R73" s="579">
        <v>0</v>
      </c>
      <c r="S73" s="579">
        <v>0</v>
      </c>
      <c r="T73" s="579">
        <v>0</v>
      </c>
      <c r="U73" s="579">
        <v>0</v>
      </c>
      <c r="V73" s="579">
        <v>0</v>
      </c>
      <c r="W73" s="579">
        <v>0</v>
      </c>
      <c r="X73" s="579">
        <v>0</v>
      </c>
      <c r="Y73" s="579">
        <v>0</v>
      </c>
      <c r="Z73" s="579">
        <v>0</v>
      </c>
      <c r="AA73" s="579">
        <v>0</v>
      </c>
      <c r="AB73" s="579">
        <v>0</v>
      </c>
      <c r="AC73" s="579">
        <v>0</v>
      </c>
    </row>
    <row r="74" spans="1:29" ht="10.5">
      <c r="A74" s="579" t="s">
        <v>278</v>
      </c>
      <c r="B74" s="580">
        <v>60</v>
      </c>
      <c r="C74" s="580">
        <v>36</v>
      </c>
      <c r="D74" s="580">
        <v>9</v>
      </c>
      <c r="E74" s="579" t="s">
        <v>278</v>
      </c>
      <c r="F74" s="580" t="s">
        <v>236</v>
      </c>
      <c r="G74" s="580">
        <v>0</v>
      </c>
      <c r="H74" s="580">
        <v>0</v>
      </c>
      <c r="I74" s="580">
        <v>0</v>
      </c>
      <c r="J74" s="580">
        <v>4</v>
      </c>
      <c r="K74" s="580">
        <v>5</v>
      </c>
      <c r="L74" s="580">
        <v>7</v>
      </c>
      <c r="M74" s="580">
        <v>9</v>
      </c>
      <c r="N74" s="580">
        <v>10</v>
      </c>
      <c r="O74" s="580">
        <v>13</v>
      </c>
      <c r="P74" s="580">
        <v>14</v>
      </c>
      <c r="Q74" s="580">
        <v>21</v>
      </c>
      <c r="R74" s="580">
        <v>0</v>
      </c>
      <c r="S74" s="580">
        <v>0</v>
      </c>
      <c r="T74" s="580">
        <v>0</v>
      </c>
      <c r="U74" s="580">
        <v>0</v>
      </c>
      <c r="V74" s="580">
        <v>0</v>
      </c>
      <c r="W74" s="580">
        <v>0</v>
      </c>
      <c r="X74" s="580">
        <v>0</v>
      </c>
      <c r="Y74" s="580">
        <v>0</v>
      </c>
      <c r="Z74" s="580">
        <v>0</v>
      </c>
      <c r="AA74" s="580">
        <v>0</v>
      </c>
      <c r="AB74" s="580">
        <v>0</v>
      </c>
      <c r="AC74" s="580">
        <v>0</v>
      </c>
    </row>
    <row r="75" spans="1:29" ht="10.5">
      <c r="A75" s="579" t="s">
        <v>278</v>
      </c>
      <c r="B75" s="580">
        <v>31</v>
      </c>
      <c r="C75" s="580">
        <v>25</v>
      </c>
      <c r="D75" s="582">
        <v>12</v>
      </c>
      <c r="E75" s="579" t="s">
        <v>278</v>
      </c>
      <c r="F75" s="580" t="s">
        <v>218</v>
      </c>
      <c r="G75" s="580">
        <v>0</v>
      </c>
      <c r="H75" s="580">
        <v>0</v>
      </c>
      <c r="I75" s="580">
        <v>0</v>
      </c>
      <c r="J75" s="580">
        <v>4</v>
      </c>
      <c r="K75" s="580">
        <v>5</v>
      </c>
      <c r="L75" s="580">
        <v>6</v>
      </c>
      <c r="M75" s="580">
        <v>7</v>
      </c>
      <c r="N75" s="580">
        <v>9</v>
      </c>
      <c r="O75" s="580">
        <v>10</v>
      </c>
      <c r="P75" s="580">
        <v>13</v>
      </c>
      <c r="Q75" s="580">
        <v>15</v>
      </c>
      <c r="R75" s="580">
        <v>16</v>
      </c>
      <c r="S75" s="580">
        <v>0</v>
      </c>
      <c r="T75" s="580">
        <v>0</v>
      </c>
      <c r="U75" s="580">
        <v>0</v>
      </c>
      <c r="V75" s="580">
        <v>0</v>
      </c>
      <c r="W75" s="580">
        <v>0</v>
      </c>
      <c r="X75" s="580">
        <v>0</v>
      </c>
      <c r="Y75" s="580">
        <v>0</v>
      </c>
      <c r="Z75" s="580">
        <v>0</v>
      </c>
      <c r="AA75" s="580">
        <v>0</v>
      </c>
      <c r="AB75" s="580">
        <v>0</v>
      </c>
      <c r="AC75" s="580">
        <v>0</v>
      </c>
    </row>
    <row r="76" spans="1:29" ht="10.5">
      <c r="A76" s="579" t="s">
        <v>279</v>
      </c>
      <c r="B76" s="580">
        <v>60</v>
      </c>
      <c r="C76" s="580">
        <v>25</v>
      </c>
      <c r="D76" s="580">
        <v>9</v>
      </c>
      <c r="E76" s="579" t="s">
        <v>279</v>
      </c>
      <c r="F76" s="580" t="s">
        <v>238</v>
      </c>
      <c r="G76" s="580">
        <v>0</v>
      </c>
      <c r="H76" s="580">
        <v>0</v>
      </c>
      <c r="I76" s="580">
        <v>0</v>
      </c>
      <c r="J76" s="580">
        <v>4</v>
      </c>
      <c r="K76" s="580">
        <v>5</v>
      </c>
      <c r="L76" s="580">
        <v>7</v>
      </c>
      <c r="M76" s="580">
        <v>9</v>
      </c>
      <c r="N76" s="580">
        <v>10</v>
      </c>
      <c r="O76" s="580">
        <v>13</v>
      </c>
      <c r="P76" s="580">
        <v>14</v>
      </c>
      <c r="Q76" s="580">
        <v>21</v>
      </c>
      <c r="R76" s="580">
        <v>0</v>
      </c>
      <c r="S76" s="580">
        <v>0</v>
      </c>
      <c r="T76" s="580">
        <v>0</v>
      </c>
      <c r="U76" s="580">
        <v>0</v>
      </c>
      <c r="V76" s="580">
        <v>0</v>
      </c>
      <c r="W76" s="580">
        <v>0</v>
      </c>
      <c r="X76" s="580">
        <v>0</v>
      </c>
      <c r="Y76" s="580">
        <v>0</v>
      </c>
      <c r="Z76" s="580">
        <v>0</v>
      </c>
      <c r="AA76" s="580">
        <v>0</v>
      </c>
      <c r="AB76" s="580">
        <v>0</v>
      </c>
      <c r="AC76" s="580">
        <v>0</v>
      </c>
    </row>
    <row r="77" spans="1:29" ht="10.5">
      <c r="A77" s="579" t="s">
        <v>279</v>
      </c>
      <c r="B77" s="580">
        <v>31</v>
      </c>
      <c r="C77" s="580">
        <v>25</v>
      </c>
      <c r="D77" s="582">
        <v>12</v>
      </c>
      <c r="E77" s="579" t="s">
        <v>279</v>
      </c>
      <c r="F77" s="580" t="s">
        <v>220</v>
      </c>
      <c r="G77" s="580">
        <v>0</v>
      </c>
      <c r="H77" s="580">
        <v>0</v>
      </c>
      <c r="I77" s="580">
        <v>0</v>
      </c>
      <c r="J77" s="580">
        <v>4</v>
      </c>
      <c r="K77" s="580">
        <v>5</v>
      </c>
      <c r="L77" s="580">
        <v>6</v>
      </c>
      <c r="M77" s="580">
        <v>7</v>
      </c>
      <c r="N77" s="580">
        <v>9</v>
      </c>
      <c r="O77" s="580">
        <v>10</v>
      </c>
      <c r="P77" s="580">
        <v>13</v>
      </c>
      <c r="Q77" s="580">
        <v>15</v>
      </c>
      <c r="R77" s="580">
        <v>16</v>
      </c>
      <c r="S77" s="580">
        <v>0</v>
      </c>
      <c r="T77" s="580">
        <v>0</v>
      </c>
      <c r="U77" s="580">
        <v>0</v>
      </c>
      <c r="V77" s="580">
        <v>0</v>
      </c>
      <c r="W77" s="580">
        <v>0</v>
      </c>
      <c r="X77" s="580">
        <v>0</v>
      </c>
      <c r="Y77" s="580">
        <v>0</v>
      </c>
      <c r="Z77" s="580">
        <v>0</v>
      </c>
      <c r="AA77" s="580">
        <v>0</v>
      </c>
      <c r="AB77" s="580">
        <v>0</v>
      </c>
      <c r="AC77" s="580">
        <v>0</v>
      </c>
    </row>
    <row r="78" spans="1:29" ht="10.5">
      <c r="A78" s="579" t="s">
        <v>280</v>
      </c>
      <c r="B78" s="579">
        <v>32</v>
      </c>
      <c r="C78" s="579">
        <v>3</v>
      </c>
      <c r="D78" s="579">
        <v>9</v>
      </c>
      <c r="E78" s="579" t="s">
        <v>280</v>
      </c>
      <c r="F78" s="579" t="s">
        <v>244</v>
      </c>
      <c r="G78" s="579">
        <v>0</v>
      </c>
      <c r="H78" s="579">
        <v>0</v>
      </c>
      <c r="I78" s="579">
        <v>0</v>
      </c>
      <c r="J78" s="579">
        <v>4</v>
      </c>
      <c r="K78" s="579">
        <v>5</v>
      </c>
      <c r="L78" s="579">
        <v>7</v>
      </c>
      <c r="M78" s="579">
        <v>9</v>
      </c>
      <c r="N78" s="579">
        <v>10</v>
      </c>
      <c r="O78" s="579">
        <v>13</v>
      </c>
      <c r="P78" s="579">
        <v>14</v>
      </c>
      <c r="Q78" s="579">
        <v>21</v>
      </c>
      <c r="R78" s="579">
        <v>0</v>
      </c>
      <c r="S78" s="579">
        <v>0</v>
      </c>
      <c r="T78" s="579">
        <v>0</v>
      </c>
      <c r="U78" s="579">
        <v>0</v>
      </c>
      <c r="V78" s="579">
        <v>0</v>
      </c>
      <c r="W78" s="579">
        <v>0</v>
      </c>
      <c r="X78" s="579">
        <v>0</v>
      </c>
      <c r="Y78" s="579">
        <v>0</v>
      </c>
      <c r="Z78" s="579">
        <v>0</v>
      </c>
      <c r="AA78" s="579">
        <v>0</v>
      </c>
      <c r="AB78" s="579">
        <v>0</v>
      </c>
      <c r="AC78" s="579">
        <v>0</v>
      </c>
    </row>
    <row r="79" spans="1:29" ht="10.5">
      <c r="A79" s="579" t="s">
        <v>281</v>
      </c>
      <c r="B79" s="579">
        <v>32</v>
      </c>
      <c r="C79" s="579">
        <v>3</v>
      </c>
      <c r="D79" s="579">
        <v>9</v>
      </c>
      <c r="E79" s="579" t="s">
        <v>281</v>
      </c>
      <c r="F79" s="579" t="s">
        <v>246</v>
      </c>
      <c r="G79" s="579">
        <v>0</v>
      </c>
      <c r="H79" s="579">
        <v>0</v>
      </c>
      <c r="I79" s="579">
        <v>0</v>
      </c>
      <c r="J79" s="579">
        <v>4</v>
      </c>
      <c r="K79" s="579">
        <v>5</v>
      </c>
      <c r="L79" s="579">
        <v>7</v>
      </c>
      <c r="M79" s="579">
        <v>9</v>
      </c>
      <c r="N79" s="579">
        <v>10</v>
      </c>
      <c r="O79" s="579">
        <v>13</v>
      </c>
      <c r="P79" s="579">
        <v>14</v>
      </c>
      <c r="Q79" s="579">
        <v>21</v>
      </c>
      <c r="R79" s="579">
        <v>0</v>
      </c>
      <c r="S79" s="579">
        <v>0</v>
      </c>
      <c r="T79" s="579">
        <v>0</v>
      </c>
      <c r="U79" s="579">
        <v>0</v>
      </c>
      <c r="V79" s="579">
        <v>0</v>
      </c>
      <c r="W79" s="579">
        <v>0</v>
      </c>
      <c r="X79" s="579">
        <v>0</v>
      </c>
      <c r="Y79" s="579">
        <v>0</v>
      </c>
      <c r="Z79" s="579">
        <v>0</v>
      </c>
      <c r="AA79" s="579">
        <v>0</v>
      </c>
      <c r="AB79" s="579">
        <v>0</v>
      </c>
      <c r="AC79" s="579">
        <v>0</v>
      </c>
    </row>
    <row r="80" spans="1:29" ht="10.5">
      <c r="A80" s="579" t="s">
        <v>282</v>
      </c>
      <c r="B80" s="579">
        <v>32</v>
      </c>
      <c r="C80" s="579">
        <v>4</v>
      </c>
      <c r="D80" s="579">
        <v>11</v>
      </c>
      <c r="E80" s="579" t="s">
        <v>282</v>
      </c>
      <c r="F80" s="579" t="s">
        <v>196</v>
      </c>
      <c r="G80" s="579">
        <v>0</v>
      </c>
      <c r="H80" s="579">
        <v>0</v>
      </c>
      <c r="I80" s="579">
        <v>0</v>
      </c>
      <c r="J80" s="579">
        <v>4</v>
      </c>
      <c r="K80" s="579">
        <v>5</v>
      </c>
      <c r="L80" s="579">
        <v>6</v>
      </c>
      <c r="M80" s="579">
        <v>7</v>
      </c>
      <c r="N80" s="579">
        <v>10</v>
      </c>
      <c r="O80" s="579">
        <v>11</v>
      </c>
      <c r="P80" s="579">
        <v>14</v>
      </c>
      <c r="Q80" s="579">
        <v>17</v>
      </c>
      <c r="R80" s="579">
        <v>28</v>
      </c>
      <c r="S80" s="579">
        <v>0</v>
      </c>
      <c r="T80" s="579">
        <v>0</v>
      </c>
      <c r="U80" s="579">
        <v>0</v>
      </c>
      <c r="V80" s="579">
        <v>0</v>
      </c>
      <c r="W80" s="579">
        <v>0</v>
      </c>
      <c r="X80" s="579">
        <v>0</v>
      </c>
      <c r="Y80" s="579">
        <v>0</v>
      </c>
      <c r="Z80" s="579">
        <v>0</v>
      </c>
      <c r="AA80" s="579">
        <v>0</v>
      </c>
      <c r="AB80" s="579">
        <v>0</v>
      </c>
      <c r="AC80" s="579">
        <v>0</v>
      </c>
    </row>
    <row r="81" spans="1:29" ht="10.5">
      <c r="A81" s="579" t="s">
        <v>282</v>
      </c>
      <c r="B81" s="579">
        <v>40</v>
      </c>
      <c r="C81" s="579">
        <v>4</v>
      </c>
      <c r="D81" s="579">
        <v>12</v>
      </c>
      <c r="E81" s="579" t="s">
        <v>282</v>
      </c>
      <c r="F81" s="579" t="s">
        <v>222</v>
      </c>
      <c r="G81" s="579">
        <v>0</v>
      </c>
      <c r="H81" s="579">
        <v>0</v>
      </c>
      <c r="I81" s="579">
        <v>0</v>
      </c>
      <c r="J81" s="579">
        <v>4</v>
      </c>
      <c r="K81" s="579">
        <v>5</v>
      </c>
      <c r="L81" s="579">
        <v>6</v>
      </c>
      <c r="M81" s="579">
        <v>8</v>
      </c>
      <c r="N81" s="579">
        <v>9</v>
      </c>
      <c r="O81" s="579">
        <v>10</v>
      </c>
      <c r="P81" s="579">
        <v>13</v>
      </c>
      <c r="Q81" s="579">
        <v>15</v>
      </c>
      <c r="R81" s="579">
        <v>16</v>
      </c>
      <c r="S81" s="579">
        <v>0</v>
      </c>
      <c r="T81" s="579">
        <v>0</v>
      </c>
      <c r="U81" s="579">
        <v>0</v>
      </c>
      <c r="V81" s="579">
        <v>0</v>
      </c>
      <c r="W81" s="579">
        <v>0</v>
      </c>
      <c r="X81" s="579">
        <v>0</v>
      </c>
      <c r="Y81" s="579">
        <v>0</v>
      </c>
      <c r="Z81" s="579">
        <v>0</v>
      </c>
      <c r="AA81" s="579">
        <v>0</v>
      </c>
      <c r="AB81" s="579">
        <v>0</v>
      </c>
      <c r="AC81" s="579">
        <v>0</v>
      </c>
    </row>
    <row r="82" spans="1:29" ht="10.5">
      <c r="A82" s="579" t="s">
        <v>283</v>
      </c>
      <c r="B82" s="579">
        <v>32</v>
      </c>
      <c r="C82" s="579">
        <v>4</v>
      </c>
      <c r="D82" s="579">
        <v>11</v>
      </c>
      <c r="E82" s="579" t="s">
        <v>283</v>
      </c>
      <c r="F82" s="579" t="s">
        <v>198</v>
      </c>
      <c r="G82" s="579">
        <v>0</v>
      </c>
      <c r="H82" s="579">
        <v>0</v>
      </c>
      <c r="I82" s="579">
        <v>0</v>
      </c>
      <c r="J82" s="579">
        <v>4</v>
      </c>
      <c r="K82" s="579">
        <v>5</v>
      </c>
      <c r="L82" s="579">
        <v>6</v>
      </c>
      <c r="M82" s="579">
        <v>7</v>
      </c>
      <c r="N82" s="579">
        <v>10</v>
      </c>
      <c r="O82" s="579">
        <v>11</v>
      </c>
      <c r="P82" s="579">
        <v>14</v>
      </c>
      <c r="Q82" s="579">
        <v>17</v>
      </c>
      <c r="R82" s="579">
        <v>28</v>
      </c>
      <c r="S82" s="579">
        <v>0</v>
      </c>
      <c r="T82" s="579">
        <v>0</v>
      </c>
      <c r="U82" s="579">
        <v>0</v>
      </c>
      <c r="V82" s="579">
        <v>0</v>
      </c>
      <c r="W82" s="579">
        <v>0</v>
      </c>
      <c r="X82" s="579">
        <v>0</v>
      </c>
      <c r="Y82" s="579">
        <v>0</v>
      </c>
      <c r="Z82" s="579">
        <v>0</v>
      </c>
      <c r="AA82" s="579">
        <v>0</v>
      </c>
      <c r="AB82" s="579">
        <v>0</v>
      </c>
      <c r="AC82" s="579">
        <v>0</v>
      </c>
    </row>
    <row r="83" spans="1:29" ht="10.5">
      <c r="A83" s="579" t="s">
        <v>283</v>
      </c>
      <c r="B83" s="579">
        <v>40</v>
      </c>
      <c r="C83" s="579">
        <v>4</v>
      </c>
      <c r="D83" s="579">
        <v>12</v>
      </c>
      <c r="E83" s="579" t="s">
        <v>283</v>
      </c>
      <c r="F83" s="579" t="s">
        <v>284</v>
      </c>
      <c r="G83" s="579">
        <v>0</v>
      </c>
      <c r="H83" s="579">
        <v>0</v>
      </c>
      <c r="I83" s="579">
        <v>0</v>
      </c>
      <c r="J83" s="579">
        <v>4</v>
      </c>
      <c r="K83" s="579">
        <v>5</v>
      </c>
      <c r="L83" s="579">
        <v>6</v>
      </c>
      <c r="M83" s="579">
        <v>8</v>
      </c>
      <c r="N83" s="579">
        <v>9</v>
      </c>
      <c r="O83" s="579">
        <v>10</v>
      </c>
      <c r="P83" s="579">
        <v>13</v>
      </c>
      <c r="Q83" s="579">
        <v>15</v>
      </c>
      <c r="R83" s="579">
        <v>16</v>
      </c>
      <c r="S83" s="579">
        <v>0</v>
      </c>
      <c r="T83" s="579">
        <v>0</v>
      </c>
      <c r="U83" s="579">
        <v>0</v>
      </c>
      <c r="V83" s="579">
        <v>0</v>
      </c>
      <c r="W83" s="579">
        <v>0</v>
      </c>
      <c r="X83" s="579">
        <v>0</v>
      </c>
      <c r="Y83" s="579">
        <v>0</v>
      </c>
      <c r="Z83" s="579">
        <v>0</v>
      </c>
      <c r="AA83" s="579">
        <v>0</v>
      </c>
      <c r="AB83" s="579">
        <v>0</v>
      </c>
      <c r="AC83" s="579">
        <v>0</v>
      </c>
    </row>
    <row r="84" spans="1:29" ht="10.5">
      <c r="A84" s="579" t="s">
        <v>285</v>
      </c>
      <c r="B84" s="579">
        <v>32</v>
      </c>
      <c r="C84" s="579">
        <v>4</v>
      </c>
      <c r="D84" s="579">
        <v>11</v>
      </c>
      <c r="E84" s="579" t="s">
        <v>285</v>
      </c>
      <c r="F84" s="579" t="s">
        <v>200</v>
      </c>
      <c r="G84" s="579">
        <v>0</v>
      </c>
      <c r="H84" s="579">
        <v>0</v>
      </c>
      <c r="I84" s="579">
        <v>0</v>
      </c>
      <c r="J84" s="579">
        <v>4</v>
      </c>
      <c r="K84" s="579">
        <v>5</v>
      </c>
      <c r="L84" s="579">
        <v>6</v>
      </c>
      <c r="M84" s="579">
        <v>7</v>
      </c>
      <c r="N84" s="579">
        <v>10</v>
      </c>
      <c r="O84" s="579">
        <v>11</v>
      </c>
      <c r="P84" s="579">
        <v>14</v>
      </c>
      <c r="Q84" s="579">
        <v>17</v>
      </c>
      <c r="R84" s="579">
        <v>28</v>
      </c>
      <c r="S84" s="579">
        <v>0</v>
      </c>
      <c r="T84" s="579">
        <v>0</v>
      </c>
      <c r="U84" s="579">
        <v>0</v>
      </c>
      <c r="V84" s="579">
        <v>0</v>
      </c>
      <c r="W84" s="579">
        <v>0</v>
      </c>
      <c r="X84" s="579">
        <v>0</v>
      </c>
      <c r="Y84" s="579">
        <v>0</v>
      </c>
      <c r="Z84" s="579">
        <v>0</v>
      </c>
      <c r="AA84" s="579">
        <v>0</v>
      </c>
      <c r="AB84" s="579">
        <v>0</v>
      </c>
      <c r="AC84" s="579">
        <v>0</v>
      </c>
    </row>
    <row r="85" spans="1:29" ht="10.5">
      <c r="A85" s="579" t="s">
        <v>285</v>
      </c>
      <c r="B85" s="579">
        <v>40</v>
      </c>
      <c r="C85" s="579">
        <v>4</v>
      </c>
      <c r="D85" s="579">
        <v>12</v>
      </c>
      <c r="E85" s="579" t="s">
        <v>285</v>
      </c>
      <c r="F85" s="579" t="s">
        <v>224</v>
      </c>
      <c r="G85" s="579">
        <v>0</v>
      </c>
      <c r="H85" s="579">
        <v>0</v>
      </c>
      <c r="I85" s="579">
        <v>0</v>
      </c>
      <c r="J85" s="579">
        <v>4</v>
      </c>
      <c r="K85" s="579">
        <v>5</v>
      </c>
      <c r="L85" s="579">
        <v>6</v>
      </c>
      <c r="M85" s="579">
        <v>8</v>
      </c>
      <c r="N85" s="579">
        <v>9</v>
      </c>
      <c r="O85" s="579">
        <v>10</v>
      </c>
      <c r="P85" s="579">
        <v>13</v>
      </c>
      <c r="Q85" s="579">
        <v>15</v>
      </c>
      <c r="R85" s="579">
        <v>16</v>
      </c>
      <c r="S85" s="579">
        <v>0</v>
      </c>
      <c r="T85" s="579">
        <v>0</v>
      </c>
      <c r="U85" s="579">
        <v>0</v>
      </c>
      <c r="V85" s="579">
        <v>0</v>
      </c>
      <c r="W85" s="579">
        <v>0</v>
      </c>
      <c r="X85" s="579">
        <v>0</v>
      </c>
      <c r="Y85" s="579">
        <v>0</v>
      </c>
      <c r="Z85" s="579">
        <v>0</v>
      </c>
      <c r="AA85" s="579">
        <v>0</v>
      </c>
      <c r="AB85" s="579">
        <v>0</v>
      </c>
      <c r="AC85" s="579">
        <v>0</v>
      </c>
    </row>
    <row r="86" spans="1:29" ht="10.5">
      <c r="A86" s="579" t="s">
        <v>286</v>
      </c>
      <c r="B86" s="579">
        <v>32</v>
      </c>
      <c r="C86" s="579">
        <v>4</v>
      </c>
      <c r="D86" s="579">
        <v>11</v>
      </c>
      <c r="E86" s="579" t="s">
        <v>286</v>
      </c>
      <c r="F86" s="579" t="s">
        <v>202</v>
      </c>
      <c r="G86" s="579">
        <v>0</v>
      </c>
      <c r="H86" s="579">
        <v>0</v>
      </c>
      <c r="I86" s="579">
        <v>0</v>
      </c>
      <c r="J86" s="579">
        <v>4</v>
      </c>
      <c r="K86" s="579">
        <v>5</v>
      </c>
      <c r="L86" s="579">
        <v>6</v>
      </c>
      <c r="M86" s="579">
        <v>7</v>
      </c>
      <c r="N86" s="579">
        <v>10</v>
      </c>
      <c r="O86" s="579">
        <v>11</v>
      </c>
      <c r="P86" s="579">
        <v>14</v>
      </c>
      <c r="Q86" s="579">
        <v>17</v>
      </c>
      <c r="R86" s="579">
        <v>28</v>
      </c>
      <c r="S86" s="579">
        <v>0</v>
      </c>
      <c r="T86" s="579">
        <v>0</v>
      </c>
      <c r="U86" s="579">
        <v>0</v>
      </c>
      <c r="V86" s="579">
        <v>0</v>
      </c>
      <c r="W86" s="579">
        <v>0</v>
      </c>
      <c r="X86" s="579">
        <v>0</v>
      </c>
      <c r="Y86" s="579">
        <v>0</v>
      </c>
      <c r="Z86" s="579">
        <v>0</v>
      </c>
      <c r="AA86" s="579">
        <v>0</v>
      </c>
      <c r="AB86" s="579">
        <v>0</v>
      </c>
      <c r="AC86" s="579">
        <v>0</v>
      </c>
    </row>
    <row r="87" spans="1:29" ht="10.5">
      <c r="A87" s="579" t="s">
        <v>286</v>
      </c>
      <c r="B87" s="579">
        <v>40</v>
      </c>
      <c r="C87" s="579">
        <v>4</v>
      </c>
      <c r="D87" s="579">
        <v>12</v>
      </c>
      <c r="E87" s="579" t="s">
        <v>286</v>
      </c>
      <c r="F87" s="579" t="s">
        <v>226</v>
      </c>
      <c r="G87" s="579">
        <v>0</v>
      </c>
      <c r="H87" s="579">
        <v>0</v>
      </c>
      <c r="I87" s="579">
        <v>0</v>
      </c>
      <c r="J87" s="579">
        <v>4</v>
      </c>
      <c r="K87" s="579">
        <v>5</v>
      </c>
      <c r="L87" s="579">
        <v>6</v>
      </c>
      <c r="M87" s="579">
        <v>8</v>
      </c>
      <c r="N87" s="579">
        <v>9</v>
      </c>
      <c r="O87" s="579">
        <v>10</v>
      </c>
      <c r="P87" s="579">
        <v>13</v>
      </c>
      <c r="Q87" s="579">
        <v>15</v>
      </c>
      <c r="R87" s="579">
        <v>16</v>
      </c>
      <c r="S87" s="579">
        <v>0</v>
      </c>
      <c r="T87" s="579">
        <v>0</v>
      </c>
      <c r="U87" s="579">
        <v>0</v>
      </c>
      <c r="V87" s="579">
        <v>0</v>
      </c>
      <c r="W87" s="579">
        <v>0</v>
      </c>
      <c r="X87" s="579">
        <v>0</v>
      </c>
      <c r="Y87" s="579">
        <v>0</v>
      </c>
      <c r="Z87" s="579">
        <v>0</v>
      </c>
      <c r="AA87" s="579">
        <v>0</v>
      </c>
      <c r="AB87" s="579">
        <v>0</v>
      </c>
      <c r="AC87" s="579">
        <v>0</v>
      </c>
    </row>
    <row r="88" spans="1:29" ht="10.5">
      <c r="A88" s="579" t="s">
        <v>287</v>
      </c>
      <c r="B88" s="579">
        <v>32</v>
      </c>
      <c r="C88" s="579">
        <v>4</v>
      </c>
      <c r="D88" s="579">
        <v>11</v>
      </c>
      <c r="E88" s="579" t="s">
        <v>287</v>
      </c>
      <c r="F88" s="579" t="s">
        <v>204</v>
      </c>
      <c r="G88" s="579">
        <v>0</v>
      </c>
      <c r="H88" s="579">
        <v>0</v>
      </c>
      <c r="I88" s="579">
        <v>0</v>
      </c>
      <c r="J88" s="579">
        <v>4</v>
      </c>
      <c r="K88" s="579">
        <v>5</v>
      </c>
      <c r="L88" s="579">
        <v>6</v>
      </c>
      <c r="M88" s="579">
        <v>7</v>
      </c>
      <c r="N88" s="579">
        <v>10</v>
      </c>
      <c r="O88" s="579">
        <v>11</v>
      </c>
      <c r="P88" s="579">
        <v>14</v>
      </c>
      <c r="Q88" s="579">
        <v>17</v>
      </c>
      <c r="R88" s="579">
        <v>28</v>
      </c>
      <c r="S88" s="579">
        <v>0</v>
      </c>
      <c r="T88" s="579">
        <v>0</v>
      </c>
      <c r="U88" s="579">
        <v>0</v>
      </c>
      <c r="V88" s="579">
        <v>0</v>
      </c>
      <c r="W88" s="579">
        <v>0</v>
      </c>
      <c r="X88" s="579">
        <v>0</v>
      </c>
      <c r="Y88" s="579">
        <v>0</v>
      </c>
      <c r="Z88" s="579">
        <v>0</v>
      </c>
      <c r="AA88" s="579">
        <v>0</v>
      </c>
      <c r="AB88" s="579">
        <v>0</v>
      </c>
      <c r="AC88" s="579">
        <v>0</v>
      </c>
    </row>
    <row r="89" spans="1:29" ht="10.5">
      <c r="A89" s="579" t="s">
        <v>287</v>
      </c>
      <c r="B89" s="579">
        <v>40</v>
      </c>
      <c r="C89" s="579">
        <v>4</v>
      </c>
      <c r="D89" s="583">
        <v>12</v>
      </c>
      <c r="E89" s="579" t="s">
        <v>287</v>
      </c>
      <c r="F89" s="579" t="s">
        <v>230</v>
      </c>
      <c r="G89" s="579">
        <v>0</v>
      </c>
      <c r="H89" s="579">
        <v>0</v>
      </c>
      <c r="I89" s="579">
        <v>0</v>
      </c>
      <c r="J89" s="579">
        <v>4</v>
      </c>
      <c r="K89" s="579">
        <v>5</v>
      </c>
      <c r="L89" s="579">
        <v>6</v>
      </c>
      <c r="M89" s="579">
        <v>8</v>
      </c>
      <c r="N89" s="579">
        <v>9</v>
      </c>
      <c r="O89" s="579">
        <v>10</v>
      </c>
      <c r="P89" s="579">
        <v>13</v>
      </c>
      <c r="Q89" s="579">
        <v>15</v>
      </c>
      <c r="R89" s="579">
        <v>16</v>
      </c>
      <c r="S89" s="579">
        <v>0</v>
      </c>
      <c r="T89" s="579">
        <v>0</v>
      </c>
      <c r="U89" s="579">
        <v>0</v>
      </c>
      <c r="V89" s="579">
        <v>0</v>
      </c>
      <c r="W89" s="579">
        <v>0</v>
      </c>
      <c r="X89" s="579">
        <v>0</v>
      </c>
      <c r="Y89" s="579">
        <v>0</v>
      </c>
      <c r="Z89" s="579">
        <v>0</v>
      </c>
      <c r="AA89" s="579">
        <v>0</v>
      </c>
      <c r="AB89" s="579">
        <v>0</v>
      </c>
      <c r="AC89" s="579">
        <v>0</v>
      </c>
    </row>
    <row r="90" spans="1:29" ht="10.5">
      <c r="A90" s="579" t="s">
        <v>288</v>
      </c>
      <c r="B90" s="579">
        <v>52</v>
      </c>
      <c r="C90" s="579">
        <v>10</v>
      </c>
      <c r="D90" s="583">
        <v>12</v>
      </c>
      <c r="E90" s="579" t="s">
        <v>288</v>
      </c>
      <c r="F90" s="579" t="s">
        <v>248</v>
      </c>
      <c r="G90" s="579">
        <v>0</v>
      </c>
      <c r="H90" s="579">
        <v>0</v>
      </c>
      <c r="I90" s="579">
        <v>0</v>
      </c>
      <c r="J90" s="580">
        <v>4</v>
      </c>
      <c r="K90" s="580">
        <v>5</v>
      </c>
      <c r="L90" s="580">
        <v>6</v>
      </c>
      <c r="M90" s="580">
        <v>10</v>
      </c>
      <c r="N90" s="580">
        <v>11</v>
      </c>
      <c r="O90" s="580">
        <v>14</v>
      </c>
      <c r="P90" s="580">
        <v>15</v>
      </c>
      <c r="Q90" s="580">
        <v>28</v>
      </c>
      <c r="R90" s="579">
        <v>0</v>
      </c>
      <c r="S90" s="579">
        <v>0</v>
      </c>
      <c r="T90" s="579">
        <v>0</v>
      </c>
      <c r="U90" s="579">
        <v>0</v>
      </c>
      <c r="V90" s="579">
        <v>0</v>
      </c>
      <c r="W90" s="579">
        <v>0</v>
      </c>
      <c r="X90" s="579">
        <v>0</v>
      </c>
      <c r="Y90" s="579">
        <v>0</v>
      </c>
      <c r="Z90" s="579">
        <v>0</v>
      </c>
      <c r="AA90" s="579">
        <v>0</v>
      </c>
      <c r="AB90" s="579">
        <v>0</v>
      </c>
      <c r="AC90" s="579">
        <v>0</v>
      </c>
    </row>
    <row r="91" spans="1:29" ht="10.5">
      <c r="A91" s="579" t="s">
        <v>288</v>
      </c>
      <c r="B91" s="579">
        <v>45</v>
      </c>
      <c r="C91" s="579">
        <v>2</v>
      </c>
      <c r="D91" s="583">
        <v>12</v>
      </c>
      <c r="E91" s="579" t="s">
        <v>288</v>
      </c>
      <c r="F91" s="579" t="s">
        <v>228</v>
      </c>
      <c r="G91" s="579">
        <v>0</v>
      </c>
      <c r="H91" s="579">
        <v>0</v>
      </c>
      <c r="I91" s="579">
        <v>0</v>
      </c>
      <c r="J91" s="579">
        <v>4</v>
      </c>
      <c r="K91" s="579">
        <v>5</v>
      </c>
      <c r="L91" s="579">
        <v>6</v>
      </c>
      <c r="M91" s="579">
        <v>8</v>
      </c>
      <c r="N91" s="579">
        <v>9</v>
      </c>
      <c r="O91" s="579">
        <v>10</v>
      </c>
      <c r="P91" s="579">
        <v>13</v>
      </c>
      <c r="Q91" s="579">
        <v>15</v>
      </c>
      <c r="R91" s="579">
        <v>16</v>
      </c>
      <c r="S91" s="579">
        <v>0</v>
      </c>
      <c r="T91" s="579">
        <v>0</v>
      </c>
      <c r="U91" s="579">
        <v>0</v>
      </c>
      <c r="V91" s="579">
        <v>0</v>
      </c>
      <c r="W91" s="579">
        <v>0</v>
      </c>
      <c r="X91" s="579">
        <v>0</v>
      </c>
      <c r="Y91" s="579">
        <v>0</v>
      </c>
      <c r="Z91" s="579">
        <v>0</v>
      </c>
      <c r="AA91" s="579">
        <v>0</v>
      </c>
      <c r="AB91" s="579">
        <v>0</v>
      </c>
      <c r="AC91" s="579">
        <v>0</v>
      </c>
    </row>
    <row r="92" spans="1:29" ht="10.5">
      <c r="A92" s="579" t="s">
        <v>288</v>
      </c>
      <c r="B92" s="579">
        <v>33</v>
      </c>
      <c r="C92" s="579">
        <v>7</v>
      </c>
      <c r="D92" s="579">
        <v>11</v>
      </c>
      <c r="E92" s="579" t="s">
        <v>288</v>
      </c>
      <c r="F92" s="579" t="s">
        <v>206</v>
      </c>
      <c r="G92" s="579">
        <v>0</v>
      </c>
      <c r="H92" s="579">
        <v>0</v>
      </c>
      <c r="I92" s="579">
        <v>0</v>
      </c>
      <c r="J92" s="579">
        <v>4</v>
      </c>
      <c r="K92" s="579">
        <v>5</v>
      </c>
      <c r="L92" s="579">
        <v>6</v>
      </c>
      <c r="M92" s="579">
        <v>7</v>
      </c>
      <c r="N92" s="579">
        <v>10</v>
      </c>
      <c r="O92" s="579">
        <v>11</v>
      </c>
      <c r="P92" s="579">
        <v>14</v>
      </c>
      <c r="Q92" s="579">
        <v>17</v>
      </c>
      <c r="R92" s="579">
        <v>28</v>
      </c>
      <c r="S92" s="579">
        <v>0</v>
      </c>
      <c r="T92" s="579">
        <v>0</v>
      </c>
      <c r="U92" s="579">
        <v>0</v>
      </c>
      <c r="V92" s="579">
        <v>0</v>
      </c>
      <c r="W92" s="579">
        <v>0</v>
      </c>
      <c r="X92" s="579">
        <v>0</v>
      </c>
      <c r="Y92" s="579">
        <v>0</v>
      </c>
      <c r="Z92" s="579">
        <v>0</v>
      </c>
      <c r="AA92" s="579">
        <v>0</v>
      </c>
      <c r="AB92" s="579">
        <v>0</v>
      </c>
      <c r="AC92" s="579">
        <v>0</v>
      </c>
    </row>
    <row r="93" spans="1:29" s="581" customFormat="1" ht="10.5">
      <c r="A93" s="579" t="s">
        <v>288</v>
      </c>
      <c r="B93" s="579">
        <v>67</v>
      </c>
      <c r="C93" s="579">
        <v>8</v>
      </c>
      <c r="D93" s="579">
        <v>11</v>
      </c>
      <c r="E93" s="579" t="s">
        <v>288</v>
      </c>
      <c r="F93" s="580" t="s">
        <v>274</v>
      </c>
      <c r="G93" s="579">
        <v>0</v>
      </c>
      <c r="H93" s="579">
        <v>0</v>
      </c>
      <c r="I93" s="579">
        <v>0</v>
      </c>
      <c r="J93" s="579">
        <v>4</v>
      </c>
      <c r="K93" s="579">
        <v>5</v>
      </c>
      <c r="L93" s="579">
        <v>6</v>
      </c>
      <c r="M93" s="579">
        <v>10</v>
      </c>
      <c r="N93" s="579">
        <v>11</v>
      </c>
      <c r="O93" s="579">
        <v>14</v>
      </c>
      <c r="P93" s="579">
        <v>16</v>
      </c>
      <c r="Q93" s="579">
        <v>28</v>
      </c>
      <c r="R93" s="579">
        <v>0</v>
      </c>
      <c r="S93" s="579">
        <v>0</v>
      </c>
      <c r="T93" s="579">
        <v>0</v>
      </c>
      <c r="U93" s="579">
        <v>0</v>
      </c>
      <c r="V93" s="579">
        <v>0</v>
      </c>
      <c r="W93" s="579">
        <v>0</v>
      </c>
      <c r="X93" s="579">
        <v>0</v>
      </c>
      <c r="Y93" s="579">
        <v>0</v>
      </c>
      <c r="Z93" s="579">
        <v>0</v>
      </c>
      <c r="AA93" s="579">
        <v>0</v>
      </c>
      <c r="AB93" s="579">
        <v>0</v>
      </c>
      <c r="AC93" s="579">
        <v>0</v>
      </c>
    </row>
    <row r="94" spans="1:29" ht="10.5">
      <c r="A94" s="579" t="s">
        <v>289</v>
      </c>
      <c r="B94" s="579">
        <v>52</v>
      </c>
      <c r="C94" s="579">
        <v>10</v>
      </c>
      <c r="D94" s="583">
        <v>12</v>
      </c>
      <c r="E94" s="579" t="s">
        <v>289</v>
      </c>
      <c r="F94" s="579" t="s">
        <v>254</v>
      </c>
      <c r="G94" s="579">
        <v>0</v>
      </c>
      <c r="H94" s="579">
        <v>0</v>
      </c>
      <c r="I94" s="579">
        <v>0</v>
      </c>
      <c r="J94" s="580">
        <v>4</v>
      </c>
      <c r="K94" s="580">
        <v>5</v>
      </c>
      <c r="L94" s="580">
        <v>6</v>
      </c>
      <c r="M94" s="580">
        <v>10</v>
      </c>
      <c r="N94" s="580">
        <v>11</v>
      </c>
      <c r="O94" s="580">
        <v>14</v>
      </c>
      <c r="P94" s="580">
        <v>15</v>
      </c>
      <c r="Q94" s="580">
        <v>28</v>
      </c>
      <c r="R94" s="579">
        <v>0</v>
      </c>
      <c r="S94" s="579">
        <v>0</v>
      </c>
      <c r="T94" s="579">
        <v>0</v>
      </c>
      <c r="U94" s="579">
        <v>0</v>
      </c>
      <c r="V94" s="579">
        <v>0</v>
      </c>
      <c r="W94" s="579">
        <v>0</v>
      </c>
      <c r="X94" s="579">
        <v>0</v>
      </c>
      <c r="Y94" s="579">
        <v>0</v>
      </c>
      <c r="Z94" s="579">
        <v>0</v>
      </c>
      <c r="AA94" s="579">
        <v>0</v>
      </c>
      <c r="AB94" s="579">
        <v>0</v>
      </c>
      <c r="AC94" s="579">
        <v>0</v>
      </c>
    </row>
    <row r="95" spans="1:29" ht="10.5">
      <c r="A95" s="579" t="s">
        <v>289</v>
      </c>
      <c r="B95" s="579">
        <v>45</v>
      </c>
      <c r="C95" s="579">
        <v>2</v>
      </c>
      <c r="D95" s="583">
        <v>12</v>
      </c>
      <c r="E95" s="579" t="s">
        <v>289</v>
      </c>
      <c r="F95" s="579" t="s">
        <v>216</v>
      </c>
      <c r="G95" s="579">
        <v>0</v>
      </c>
      <c r="H95" s="579">
        <v>0</v>
      </c>
      <c r="I95" s="579">
        <v>0</v>
      </c>
      <c r="J95" s="579">
        <v>4</v>
      </c>
      <c r="K95" s="579">
        <v>5</v>
      </c>
      <c r="L95" s="579">
        <v>6</v>
      </c>
      <c r="M95" s="579">
        <v>8</v>
      </c>
      <c r="N95" s="579">
        <v>9</v>
      </c>
      <c r="O95" s="579">
        <v>10</v>
      </c>
      <c r="P95" s="579">
        <v>13</v>
      </c>
      <c r="Q95" s="579">
        <v>15</v>
      </c>
      <c r="R95" s="579">
        <v>16</v>
      </c>
      <c r="S95" s="579">
        <v>0</v>
      </c>
      <c r="T95" s="579">
        <v>0</v>
      </c>
      <c r="U95" s="579">
        <v>0</v>
      </c>
      <c r="V95" s="579">
        <v>0</v>
      </c>
      <c r="W95" s="579">
        <v>0</v>
      </c>
      <c r="X95" s="579">
        <v>0</v>
      </c>
      <c r="Y95" s="579">
        <v>0</v>
      </c>
      <c r="Z95" s="579">
        <v>0</v>
      </c>
      <c r="AA95" s="579">
        <v>0</v>
      </c>
      <c r="AB95" s="579">
        <v>0</v>
      </c>
      <c r="AC95" s="579">
        <v>0</v>
      </c>
    </row>
    <row r="96" spans="1:29" ht="10.5">
      <c r="A96" s="579" t="s">
        <v>289</v>
      </c>
      <c r="B96" s="579">
        <v>33</v>
      </c>
      <c r="C96" s="579">
        <v>7</v>
      </c>
      <c r="D96" s="579">
        <v>11</v>
      </c>
      <c r="E96" s="579" t="s">
        <v>289</v>
      </c>
      <c r="F96" s="579" t="s">
        <v>192</v>
      </c>
      <c r="G96" s="579">
        <v>0</v>
      </c>
      <c r="H96" s="579">
        <v>0</v>
      </c>
      <c r="I96" s="579">
        <v>0</v>
      </c>
      <c r="J96" s="579">
        <v>4</v>
      </c>
      <c r="K96" s="579">
        <v>5</v>
      </c>
      <c r="L96" s="579">
        <v>6</v>
      </c>
      <c r="M96" s="579">
        <v>7</v>
      </c>
      <c r="N96" s="579">
        <v>10</v>
      </c>
      <c r="O96" s="579">
        <v>11</v>
      </c>
      <c r="P96" s="579">
        <v>14</v>
      </c>
      <c r="Q96" s="579">
        <v>17</v>
      </c>
      <c r="R96" s="579">
        <v>28</v>
      </c>
      <c r="S96" s="579">
        <v>0</v>
      </c>
      <c r="T96" s="579">
        <v>0</v>
      </c>
      <c r="U96" s="579">
        <v>0</v>
      </c>
      <c r="V96" s="579">
        <v>0</v>
      </c>
      <c r="W96" s="579">
        <v>0</v>
      </c>
      <c r="X96" s="579">
        <v>0</v>
      </c>
      <c r="Y96" s="579">
        <v>0</v>
      </c>
      <c r="Z96" s="579">
        <v>0</v>
      </c>
      <c r="AA96" s="579">
        <v>0</v>
      </c>
      <c r="AB96" s="579">
        <v>0</v>
      </c>
      <c r="AC96" s="579">
        <v>0</v>
      </c>
    </row>
    <row r="97" spans="1:29" s="581" customFormat="1" ht="10.5">
      <c r="A97" s="579" t="s">
        <v>289</v>
      </c>
      <c r="B97" s="579">
        <v>67</v>
      </c>
      <c r="C97" s="579">
        <v>8</v>
      </c>
      <c r="D97" s="579">
        <v>11</v>
      </c>
      <c r="E97" s="579" t="s">
        <v>289</v>
      </c>
      <c r="F97" s="580" t="s">
        <v>270</v>
      </c>
      <c r="G97" s="579">
        <v>0</v>
      </c>
      <c r="H97" s="579">
        <v>0</v>
      </c>
      <c r="I97" s="579">
        <v>0</v>
      </c>
      <c r="J97" s="579">
        <v>4</v>
      </c>
      <c r="K97" s="579">
        <v>5</v>
      </c>
      <c r="L97" s="579">
        <v>6</v>
      </c>
      <c r="M97" s="579">
        <v>10</v>
      </c>
      <c r="N97" s="579">
        <v>11</v>
      </c>
      <c r="O97" s="579">
        <v>14</v>
      </c>
      <c r="P97" s="579">
        <v>16</v>
      </c>
      <c r="Q97" s="579">
        <v>28</v>
      </c>
      <c r="R97" s="579">
        <v>0</v>
      </c>
      <c r="S97" s="579">
        <v>0</v>
      </c>
      <c r="T97" s="579">
        <v>0</v>
      </c>
      <c r="U97" s="579">
        <v>0</v>
      </c>
      <c r="V97" s="579">
        <v>0</v>
      </c>
      <c r="W97" s="579">
        <v>0</v>
      </c>
      <c r="X97" s="579">
        <v>0</v>
      </c>
      <c r="Y97" s="579">
        <v>0</v>
      </c>
      <c r="Z97" s="579">
        <v>0</v>
      </c>
      <c r="AA97" s="579">
        <v>0</v>
      </c>
      <c r="AB97" s="579">
        <v>0</v>
      </c>
      <c r="AC97" s="579">
        <v>0</v>
      </c>
    </row>
    <row r="98" spans="1:29" ht="10.5">
      <c r="A98" s="579" t="s">
        <v>290</v>
      </c>
      <c r="B98" s="579">
        <v>32</v>
      </c>
      <c r="C98" s="579">
        <v>4</v>
      </c>
      <c r="D98" s="579">
        <v>11</v>
      </c>
      <c r="E98" s="579" t="s">
        <v>290</v>
      </c>
      <c r="F98" s="579" t="s">
        <v>208</v>
      </c>
      <c r="G98" s="579">
        <v>0</v>
      </c>
      <c r="H98" s="579">
        <v>0</v>
      </c>
      <c r="I98" s="579">
        <v>0</v>
      </c>
      <c r="J98" s="579">
        <v>4</v>
      </c>
      <c r="K98" s="579">
        <v>5</v>
      </c>
      <c r="L98" s="579">
        <v>6</v>
      </c>
      <c r="M98" s="579">
        <v>7</v>
      </c>
      <c r="N98" s="579">
        <v>10</v>
      </c>
      <c r="O98" s="579">
        <v>11</v>
      </c>
      <c r="P98" s="579">
        <v>14</v>
      </c>
      <c r="Q98" s="579">
        <v>17</v>
      </c>
      <c r="R98" s="579">
        <v>28</v>
      </c>
      <c r="S98" s="579">
        <v>0</v>
      </c>
      <c r="T98" s="579">
        <v>0</v>
      </c>
      <c r="U98" s="579">
        <v>0</v>
      </c>
      <c r="V98" s="579">
        <v>0</v>
      </c>
      <c r="W98" s="579">
        <v>0</v>
      </c>
      <c r="X98" s="579">
        <v>0</v>
      </c>
      <c r="Y98" s="579">
        <v>0</v>
      </c>
      <c r="Z98" s="579">
        <v>0</v>
      </c>
      <c r="AA98" s="579">
        <v>0</v>
      </c>
      <c r="AB98" s="579">
        <v>0</v>
      </c>
      <c r="AC98" s="579">
        <v>0</v>
      </c>
    </row>
    <row r="99" spans="1:29" ht="10.5">
      <c r="A99" s="579" t="s">
        <v>291</v>
      </c>
      <c r="B99" s="579">
        <v>40</v>
      </c>
      <c r="C99" s="579">
        <v>4</v>
      </c>
      <c r="D99" s="579">
        <v>12</v>
      </c>
      <c r="E99" s="579" t="s">
        <v>291</v>
      </c>
      <c r="F99" s="579" t="s">
        <v>232</v>
      </c>
      <c r="G99" s="579">
        <v>0</v>
      </c>
      <c r="H99" s="579">
        <v>0</v>
      </c>
      <c r="I99" s="579">
        <v>0</v>
      </c>
      <c r="J99" s="579">
        <v>4</v>
      </c>
      <c r="K99" s="579">
        <v>5</v>
      </c>
      <c r="L99" s="579">
        <v>6</v>
      </c>
      <c r="M99" s="579">
        <v>8</v>
      </c>
      <c r="N99" s="579">
        <v>9</v>
      </c>
      <c r="O99" s="579">
        <v>10</v>
      </c>
      <c r="P99" s="579">
        <v>13</v>
      </c>
      <c r="Q99" s="579">
        <v>15</v>
      </c>
      <c r="R99" s="579">
        <v>16</v>
      </c>
      <c r="S99" s="579">
        <v>0</v>
      </c>
      <c r="T99" s="579">
        <v>0</v>
      </c>
      <c r="U99" s="579">
        <v>0</v>
      </c>
      <c r="V99" s="579">
        <v>0</v>
      </c>
      <c r="W99" s="579">
        <v>0</v>
      </c>
      <c r="X99" s="579">
        <v>0</v>
      </c>
      <c r="Y99" s="579">
        <v>0</v>
      </c>
      <c r="Z99" s="579">
        <v>0</v>
      </c>
      <c r="AA99" s="579">
        <v>0</v>
      </c>
      <c r="AB99" s="579">
        <v>0</v>
      </c>
      <c r="AC99" s="579">
        <v>0</v>
      </c>
    </row>
    <row r="100" spans="1:29" ht="10.5">
      <c r="A100" s="579" t="s">
        <v>292</v>
      </c>
      <c r="B100" s="579">
        <v>19</v>
      </c>
      <c r="C100" s="579">
        <v>24</v>
      </c>
      <c r="D100" s="583">
        <v>4</v>
      </c>
      <c r="E100" s="579" t="str">
        <f>"CAUSAS-VST-"&amp;$G$14</f>
        <v>CAUSAS-VST-04</v>
      </c>
      <c r="F100" s="579" t="s">
        <v>293</v>
      </c>
      <c r="G100" s="579">
        <v>3</v>
      </c>
      <c r="H100" s="579">
        <v>4</v>
      </c>
      <c r="I100" s="579">
        <v>5</v>
      </c>
      <c r="J100" s="579">
        <v>6</v>
      </c>
      <c r="K100" s="579">
        <v>7</v>
      </c>
      <c r="L100" s="579">
        <v>0</v>
      </c>
      <c r="M100" s="579">
        <v>0</v>
      </c>
      <c r="N100" s="579">
        <v>0</v>
      </c>
      <c r="O100" s="579">
        <v>0</v>
      </c>
      <c r="P100" s="579">
        <v>0</v>
      </c>
      <c r="Q100" s="579">
        <v>0</v>
      </c>
      <c r="R100" s="579">
        <v>0</v>
      </c>
      <c r="S100" s="579">
        <v>0</v>
      </c>
      <c r="T100" s="579">
        <v>0</v>
      </c>
      <c r="U100" s="579">
        <v>0</v>
      </c>
      <c r="V100" s="579">
        <v>0</v>
      </c>
      <c r="W100" s="579">
        <v>999</v>
      </c>
      <c r="X100" s="579">
        <v>999</v>
      </c>
      <c r="Y100" s="579">
        <v>0</v>
      </c>
      <c r="Z100" s="579">
        <v>0</v>
      </c>
      <c r="AA100" s="579">
        <v>0</v>
      </c>
      <c r="AB100" s="579">
        <v>0</v>
      </c>
      <c r="AC100" s="579">
        <v>0</v>
      </c>
    </row>
    <row r="101" spans="1:29" ht="10.5">
      <c r="A101" s="584"/>
      <c r="B101" s="584">
        <v>30</v>
      </c>
      <c r="C101" s="584">
        <v>10</v>
      </c>
      <c r="D101" s="585">
        <v>11</v>
      </c>
      <c r="E101" s="584" t="s">
        <v>294</v>
      </c>
      <c r="F101" s="586" t="s">
        <v>295</v>
      </c>
      <c r="G101" s="584">
        <v>3</v>
      </c>
      <c r="H101" s="584">
        <v>5</v>
      </c>
      <c r="I101" s="586">
        <v>0</v>
      </c>
      <c r="J101" s="586">
        <v>4</v>
      </c>
      <c r="K101" s="586">
        <v>5</v>
      </c>
      <c r="L101" s="586">
        <v>6</v>
      </c>
      <c r="M101" s="586">
        <v>8</v>
      </c>
      <c r="N101" s="586">
        <v>9</v>
      </c>
      <c r="O101" s="586">
        <v>10</v>
      </c>
      <c r="P101" s="586">
        <v>13</v>
      </c>
      <c r="Q101" s="586">
        <v>15</v>
      </c>
      <c r="R101" s="586">
        <v>16</v>
      </c>
      <c r="S101" s="586">
        <v>0</v>
      </c>
      <c r="T101" s="586">
        <v>0</v>
      </c>
      <c r="U101" s="586">
        <v>0</v>
      </c>
      <c r="V101" s="586">
        <v>0</v>
      </c>
      <c r="W101" s="584">
        <v>0</v>
      </c>
      <c r="X101" s="584">
        <v>0</v>
      </c>
      <c r="Y101" s="584">
        <v>0</v>
      </c>
      <c r="Z101" s="584">
        <v>0</v>
      </c>
      <c r="AA101" s="584">
        <v>0</v>
      </c>
      <c r="AB101" s="584">
        <v>0</v>
      </c>
      <c r="AC101" s="584">
        <v>0</v>
      </c>
    </row>
    <row r="104" spans="6:9" ht="12.75">
      <c r="F104" s="587"/>
      <c r="G104" s="587"/>
      <c r="H104" s="587"/>
      <c r="I104" s="58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21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18" customFormat="1" ht="20.25">
      <c r="B10" s="96"/>
      <c r="C10" s="23"/>
      <c r="D10" s="23"/>
      <c r="E10" s="23"/>
      <c r="F10" s="98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9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0"/>
    </row>
    <row r="12" spans="2:32" s="18" customFormat="1" ht="20.25">
      <c r="B12" s="96"/>
      <c r="C12" s="23"/>
      <c r="D12" s="23"/>
      <c r="E12" s="23"/>
      <c r="F12" s="98" t="s">
        <v>23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8"/>
      <c r="S12" s="9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9"/>
    </row>
    <row r="13" spans="2:32" s="8" customFormat="1" ht="12.75">
      <c r="B13" s="55"/>
      <c r="C13" s="11"/>
      <c r="D13" s="11"/>
      <c r="E13" s="11"/>
      <c r="F13" s="1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34" customFormat="1" ht="19.5">
      <c r="B14" s="35" t="str">
        <f>'TOT-0412'!B14</f>
        <v>Desde el 01 al 30 de abril de 2013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2"/>
      <c r="Q14" s="102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3"/>
    </row>
    <row r="15" spans="2:32" s="8" customFormat="1" ht="16.5" customHeight="1" thickBot="1">
      <c r="B15" s="55"/>
      <c r="C15" s="11"/>
      <c r="D15" s="11"/>
      <c r="E15" s="11"/>
      <c r="F15" s="11"/>
      <c r="G15" s="86"/>
      <c r="H15" s="86"/>
      <c r="I15" s="11"/>
      <c r="J15" s="11"/>
      <c r="K15" s="11"/>
      <c r="L15" s="104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0"/>
    </row>
    <row r="16" spans="2:32" s="8" customFormat="1" ht="16.5" customHeight="1" thickBot="1" thickTop="1">
      <c r="B16" s="55"/>
      <c r="C16" s="11"/>
      <c r="D16" s="11"/>
      <c r="E16" s="11"/>
      <c r="F16" s="105" t="s">
        <v>24</v>
      </c>
      <c r="G16" s="106">
        <v>272.761</v>
      </c>
      <c r="H16" s="10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0"/>
    </row>
    <row r="17" spans="2:32" s="8" customFormat="1" ht="16.5" customHeight="1" thickBot="1" thickTop="1">
      <c r="B17" s="55"/>
      <c r="C17" s="11"/>
      <c r="D17" s="11"/>
      <c r="E17" s="11"/>
      <c r="F17" s="105" t="s">
        <v>25</v>
      </c>
      <c r="G17" s="106">
        <v>227.305</v>
      </c>
      <c r="H17" s="107"/>
      <c r="I17" s="11"/>
      <c r="J17" s="11"/>
      <c r="K17" s="11"/>
      <c r="L17" s="108"/>
      <c r="M17" s="10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0"/>
      <c r="Y17" s="110"/>
      <c r="Z17" s="110"/>
      <c r="AA17" s="110"/>
      <c r="AB17" s="110"/>
      <c r="AC17" s="110"/>
      <c r="AD17" s="110"/>
      <c r="AF17" s="100"/>
    </row>
    <row r="18" spans="2:32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111">
        <v>27</v>
      </c>
      <c r="AB18" s="111">
        <v>28</v>
      </c>
      <c r="AC18" s="111">
        <v>29</v>
      </c>
      <c r="AD18" s="111">
        <v>30</v>
      </c>
      <c r="AE18" s="111">
        <v>31</v>
      </c>
      <c r="AF18" s="100"/>
    </row>
    <row r="19" spans="2:32" s="8" customFormat="1" ht="33.75" customHeight="1" thickBot="1" thickTop="1">
      <c r="B19" s="55"/>
      <c r="C19" s="112" t="s">
        <v>26</v>
      </c>
      <c r="D19" s="112" t="s">
        <v>27</v>
      </c>
      <c r="E19" s="112" t="s">
        <v>28</v>
      </c>
      <c r="F19" s="113" t="s">
        <v>5</v>
      </c>
      <c r="G19" s="114" t="s">
        <v>29</v>
      </c>
      <c r="H19" s="115" t="s">
        <v>30</v>
      </c>
      <c r="I19" s="116" t="s">
        <v>31</v>
      </c>
      <c r="J19" s="117" t="s">
        <v>32</v>
      </c>
      <c r="K19" s="118" t="s">
        <v>33</v>
      </c>
      <c r="L19" s="113" t="s">
        <v>34</v>
      </c>
      <c r="M19" s="119" t="s">
        <v>35</v>
      </c>
      <c r="N19" s="120" t="s">
        <v>36</v>
      </c>
      <c r="O19" s="115" t="s">
        <v>37</v>
      </c>
      <c r="P19" s="120" t="s">
        <v>296</v>
      </c>
      <c r="Q19" s="115" t="s">
        <v>38</v>
      </c>
      <c r="R19" s="119" t="s">
        <v>39</v>
      </c>
      <c r="S19" s="113" t="s">
        <v>40</v>
      </c>
      <c r="T19" s="121" t="s">
        <v>41</v>
      </c>
      <c r="U19" s="122" t="s">
        <v>42</v>
      </c>
      <c r="V19" s="123" t="s">
        <v>43</v>
      </c>
      <c r="W19" s="124"/>
      <c r="X19" s="125"/>
      <c r="Y19" s="126" t="s">
        <v>44</v>
      </c>
      <c r="Z19" s="127"/>
      <c r="AA19" s="128"/>
      <c r="AB19" s="129" t="s">
        <v>45</v>
      </c>
      <c r="AC19" s="130" t="s">
        <v>46</v>
      </c>
      <c r="AD19" s="131" t="s">
        <v>47</v>
      </c>
      <c r="AE19" s="131" t="s">
        <v>48</v>
      </c>
      <c r="AF19" s="132"/>
    </row>
    <row r="20" spans="2:32" s="8" customFormat="1" ht="16.5" customHeight="1" thickTop="1">
      <c r="B20" s="55"/>
      <c r="C20" s="133"/>
      <c r="D20" s="133"/>
      <c r="E20" s="133"/>
      <c r="F20" s="134"/>
      <c r="G20" s="134"/>
      <c r="H20" s="135"/>
      <c r="I20" s="136"/>
      <c r="J20" s="137"/>
      <c r="K20" s="138"/>
      <c r="L20" s="139"/>
      <c r="M20" s="139"/>
      <c r="N20" s="136"/>
      <c r="O20" s="136"/>
      <c r="P20" s="136"/>
      <c r="Q20" s="136"/>
      <c r="R20" s="136"/>
      <c r="S20" s="136"/>
      <c r="T20" s="140"/>
      <c r="U20" s="141"/>
      <c r="V20" s="142"/>
      <c r="W20" s="143"/>
      <c r="X20" s="144"/>
      <c r="Y20" s="145"/>
      <c r="Z20" s="146"/>
      <c r="AA20" s="147"/>
      <c r="AB20" s="148"/>
      <c r="AC20" s="149"/>
      <c r="AD20" s="136"/>
      <c r="AE20" s="150"/>
      <c r="AF20" s="100"/>
    </row>
    <row r="21" spans="2:32" s="8" customFormat="1" ht="16.5" customHeight="1">
      <c r="B21" s="55"/>
      <c r="C21" s="151"/>
      <c r="D21" s="151"/>
      <c r="E21" s="151"/>
      <c r="F21" s="152"/>
      <c r="G21" s="153"/>
      <c r="H21" s="154"/>
      <c r="I21" s="152"/>
      <c r="J21" s="155"/>
      <c r="K21" s="156"/>
      <c r="L21" s="157"/>
      <c r="M21" s="110"/>
      <c r="N21" s="152"/>
      <c r="O21" s="152"/>
      <c r="P21" s="158"/>
      <c r="Q21" s="152"/>
      <c r="R21" s="152"/>
      <c r="S21" s="152"/>
      <c r="T21" s="159"/>
      <c r="U21" s="160"/>
      <c r="V21" s="161"/>
      <c r="W21" s="162"/>
      <c r="X21" s="163"/>
      <c r="Y21" s="164"/>
      <c r="Z21" s="165"/>
      <c r="AA21" s="166"/>
      <c r="AB21" s="167"/>
      <c r="AC21" s="168"/>
      <c r="AD21" s="152"/>
      <c r="AE21" s="169"/>
      <c r="AF21" s="100"/>
    </row>
    <row r="22" spans="2:32" s="8" customFormat="1" ht="16.5" customHeight="1">
      <c r="B22" s="55"/>
      <c r="C22" s="170">
        <v>1</v>
      </c>
      <c r="D22" s="170">
        <v>259522</v>
      </c>
      <c r="E22" s="170">
        <v>19</v>
      </c>
      <c r="F22" s="170" t="s">
        <v>307</v>
      </c>
      <c r="G22" s="171">
        <v>132</v>
      </c>
      <c r="H22" s="172">
        <v>6</v>
      </c>
      <c r="I22" s="171" t="s">
        <v>308</v>
      </c>
      <c r="J22" s="173">
        <f aca="true" t="shared" si="0" ref="J22:J41">IF(I22="A",200,IF(I22="B",60,20))</f>
        <v>20</v>
      </c>
      <c r="K22" s="174">
        <f aca="true" t="shared" si="1" ref="K22:K41">IF(G22=500,IF(H22&lt;100,100*$G$16/100,H22*$G$16/100),IF(H22&lt;100,100*$G$17/100,H22*$G$17/100))</f>
        <v>227.305</v>
      </c>
      <c r="L22" s="175">
        <v>41376.37291666667</v>
      </c>
      <c r="M22" s="176">
        <v>41376.52222222222</v>
      </c>
      <c r="N22" s="177">
        <f aca="true" t="shared" si="2" ref="N22:N41">IF(F22="","",(M22-L22)*24)</f>
        <v>3.583333333313931</v>
      </c>
      <c r="O22" s="178">
        <f aca="true" t="shared" si="3" ref="O22:O41">IF(F22="","",ROUND((M22-L22)*24*60,0))</f>
        <v>215</v>
      </c>
      <c r="P22" s="179" t="s">
        <v>309</v>
      </c>
      <c r="Q22" s="180" t="str">
        <f aca="true" t="shared" si="4" ref="Q22:Q41">IF(F22="","","--")</f>
        <v>--</v>
      </c>
      <c r="R22" s="181" t="str">
        <f aca="true" t="shared" si="5" ref="R22:R41">IF(F22="","","NO")</f>
        <v>NO</v>
      </c>
      <c r="S22" s="181" t="str">
        <f aca="true" t="shared" si="6" ref="S22:S41">IF(F22="","",IF(OR(P22="P",P22="RP"),"--","NO"))</f>
        <v>--</v>
      </c>
      <c r="T22" s="182">
        <f aca="true" t="shared" si="7" ref="T22:T41">IF(P22="P",K22*J22*ROUND(O22/60,2)*0.01,"--")</f>
        <v>162.75038000000004</v>
      </c>
      <c r="U22" s="183" t="str">
        <f aca="true" t="shared" si="8" ref="U22:U41">IF(P22="RP",K22*J22*ROUND(O22/60,2)*0.01*Q22/100,"--")</f>
        <v>--</v>
      </c>
      <c r="V22" s="184" t="str">
        <f aca="true" t="shared" si="9" ref="V22:V41">IF(AND(P22="F",S22="NO"),K22*J22*IF(R22="SI",1.2,1),"--")</f>
        <v>--</v>
      </c>
      <c r="W22" s="185" t="str">
        <f aca="true" t="shared" si="10" ref="W22:W41">IF(AND(P22="F",O22&gt;=10),K22*J22*IF(R22="SI",1.2,1)*IF(O22&lt;=300,ROUND(O22/60,2),5),"--")</f>
        <v>--</v>
      </c>
      <c r="X22" s="186" t="str">
        <f aca="true" t="shared" si="11" ref="X22:X41">IF(AND(P22="F",O22&gt;300),(ROUND(O22/60,2)-5)*K22*J22*0.1*IF(R22="SI",1.2,1),"--")</f>
        <v>--</v>
      </c>
      <c r="Y22" s="187" t="str">
        <f aca="true" t="shared" si="12" ref="Y22:Y41">IF(AND(P22="R",S22="NO"),K22*J22*Q22/100*IF(R22="SI",1.2,1),"--")</f>
        <v>--</v>
      </c>
      <c r="Z22" s="188" t="str">
        <f aca="true" t="shared" si="13" ref="Z22:Z41">IF(AND(P22="R",O22&gt;=10),K22*J22*Q22/100*IF(R22="SI",1.2,1)*IF(O22&lt;=300,ROUND(O22/60,2),5),"--")</f>
        <v>--</v>
      </c>
      <c r="AA22" s="189" t="str">
        <f aca="true" t="shared" si="14" ref="AA22:AA41">IF(AND(P22="R",O22&gt;300),(ROUND(O22/60,2)-5)*K22*J22*0.1*Q22/100*IF(R22="SI",1.2,1),"--")</f>
        <v>--</v>
      </c>
      <c r="AB22" s="190" t="str">
        <f aca="true" t="shared" si="15" ref="AB22:AB41">IF(P22="RF",ROUND(O22/60,2)*K22*J22*0.1*IF(R22="SI",1.2,1),"--")</f>
        <v>--</v>
      </c>
      <c r="AC22" s="191" t="str">
        <f aca="true" t="shared" si="16" ref="AC22:AC41">IF(P22="RR",ROUND(O22/60,2)*K22*J22*0.1*Q22/100*IF(R22="SI",1.2,1),"--")</f>
        <v>--</v>
      </c>
      <c r="AD22" s="192" t="s">
        <v>80</v>
      </c>
      <c r="AE22" s="193">
        <v>0</v>
      </c>
      <c r="AF22" s="194"/>
    </row>
    <row r="23" spans="2:32" s="8" customFormat="1" ht="16.5" customHeight="1">
      <c r="B23" s="55"/>
      <c r="C23" s="151">
        <v>2</v>
      </c>
      <c r="D23" s="151">
        <v>259529</v>
      </c>
      <c r="E23" s="151">
        <v>5166</v>
      </c>
      <c r="F23" s="170" t="s">
        <v>404</v>
      </c>
      <c r="G23" s="171">
        <v>500</v>
      </c>
      <c r="H23" s="172">
        <v>90.23</v>
      </c>
      <c r="I23" s="171" t="s">
        <v>316</v>
      </c>
      <c r="J23" s="173">
        <f t="shared" si="0"/>
        <v>200</v>
      </c>
      <c r="K23" s="174">
        <f t="shared" si="1"/>
        <v>272.761</v>
      </c>
      <c r="L23" s="175">
        <v>41378.44027777778</v>
      </c>
      <c r="M23" s="176">
        <v>41378.520833333336</v>
      </c>
      <c r="N23" s="177">
        <f t="shared" si="2"/>
        <v>1.9333333333488554</v>
      </c>
      <c r="O23" s="178">
        <f t="shared" si="3"/>
        <v>116</v>
      </c>
      <c r="P23" s="179" t="s">
        <v>309</v>
      </c>
      <c r="Q23" s="180" t="str">
        <f t="shared" si="4"/>
        <v>--</v>
      </c>
      <c r="R23" s="181" t="str">
        <f t="shared" si="5"/>
        <v>NO</v>
      </c>
      <c r="S23" s="181" t="str">
        <f t="shared" si="6"/>
        <v>--</v>
      </c>
      <c r="T23" s="182">
        <f t="shared" si="7"/>
        <v>1052.85746</v>
      </c>
      <c r="U23" s="183" t="str">
        <f t="shared" si="8"/>
        <v>--</v>
      </c>
      <c r="V23" s="184" t="str">
        <f t="shared" si="9"/>
        <v>--</v>
      </c>
      <c r="W23" s="185" t="str">
        <f t="shared" si="10"/>
        <v>--</v>
      </c>
      <c r="X23" s="186" t="str">
        <f t="shared" si="11"/>
        <v>--</v>
      </c>
      <c r="Y23" s="187" t="str">
        <f t="shared" si="12"/>
        <v>--</v>
      </c>
      <c r="Z23" s="188" t="str">
        <f t="shared" si="13"/>
        <v>--</v>
      </c>
      <c r="AA23" s="189" t="str">
        <f t="shared" si="14"/>
        <v>--</v>
      </c>
      <c r="AB23" s="190" t="str">
        <f t="shared" si="15"/>
        <v>--</v>
      </c>
      <c r="AC23" s="191" t="str">
        <f t="shared" si="16"/>
        <v>--</v>
      </c>
      <c r="AD23" s="192" t="s">
        <v>80</v>
      </c>
      <c r="AE23" s="193">
        <f aca="true" t="shared" si="17" ref="AE23:AE41">IF(F23="","",SUM(T23:AC23)*IF(AD23="SI",1,2))</f>
        <v>1052.85746</v>
      </c>
      <c r="AF23" s="194"/>
    </row>
    <row r="24" spans="2:32" s="8" customFormat="1" ht="16.5" customHeight="1">
      <c r="B24" s="55"/>
      <c r="C24" s="170">
        <v>3</v>
      </c>
      <c r="D24" s="170">
        <v>259530</v>
      </c>
      <c r="E24" s="170">
        <v>5166</v>
      </c>
      <c r="F24" s="170" t="s">
        <v>404</v>
      </c>
      <c r="G24" s="171">
        <v>500</v>
      </c>
      <c r="H24" s="197">
        <v>90.23</v>
      </c>
      <c r="I24" s="196" t="s">
        <v>316</v>
      </c>
      <c r="J24" s="173">
        <f t="shared" si="0"/>
        <v>200</v>
      </c>
      <c r="K24" s="174">
        <f t="shared" si="1"/>
        <v>272.761</v>
      </c>
      <c r="L24" s="198">
        <v>41378.521527777775</v>
      </c>
      <c r="M24" s="199">
        <v>41378.57361111111</v>
      </c>
      <c r="N24" s="177">
        <f t="shared" si="2"/>
        <v>1.2500000000582077</v>
      </c>
      <c r="O24" s="178">
        <f t="shared" si="3"/>
        <v>75</v>
      </c>
      <c r="P24" s="179" t="s">
        <v>310</v>
      </c>
      <c r="Q24" s="180" t="str">
        <f t="shared" si="4"/>
        <v>--</v>
      </c>
      <c r="R24" s="181" t="str">
        <f t="shared" si="5"/>
        <v>NO</v>
      </c>
      <c r="S24" s="181" t="s">
        <v>80</v>
      </c>
      <c r="T24" s="182" t="str">
        <f t="shared" si="7"/>
        <v>--</v>
      </c>
      <c r="U24" s="183" t="str">
        <f t="shared" si="8"/>
        <v>--</v>
      </c>
      <c r="V24" s="184" t="str">
        <f t="shared" si="9"/>
        <v>--</v>
      </c>
      <c r="W24" s="185">
        <f t="shared" si="10"/>
        <v>68190.25</v>
      </c>
      <c r="X24" s="186" t="str">
        <f t="shared" si="11"/>
        <v>--</v>
      </c>
      <c r="Y24" s="187" t="str">
        <f t="shared" si="12"/>
        <v>--</v>
      </c>
      <c r="Z24" s="188" t="str">
        <f t="shared" si="13"/>
        <v>--</v>
      </c>
      <c r="AA24" s="189" t="str">
        <f t="shared" si="14"/>
        <v>--</v>
      </c>
      <c r="AB24" s="190" t="str">
        <f t="shared" si="15"/>
        <v>--</v>
      </c>
      <c r="AC24" s="191" t="str">
        <f t="shared" si="16"/>
        <v>--</v>
      </c>
      <c r="AD24" s="192" t="s">
        <v>80</v>
      </c>
      <c r="AE24" s="193">
        <f t="shared" si="17"/>
        <v>68190.25</v>
      </c>
      <c r="AF24" s="194"/>
    </row>
    <row r="25" spans="2:32" s="8" customFormat="1" ht="16.5" customHeight="1">
      <c r="B25" s="55"/>
      <c r="C25" s="151">
        <v>4</v>
      </c>
      <c r="D25" s="151">
        <v>259676</v>
      </c>
      <c r="E25" s="151">
        <v>50</v>
      </c>
      <c r="F25" s="195" t="s">
        <v>311</v>
      </c>
      <c r="G25" s="196">
        <v>220</v>
      </c>
      <c r="H25" s="197">
        <v>114</v>
      </c>
      <c r="I25" s="196" t="s">
        <v>308</v>
      </c>
      <c r="J25" s="173">
        <f t="shared" si="0"/>
        <v>20</v>
      </c>
      <c r="K25" s="174">
        <f t="shared" si="1"/>
        <v>259.1277</v>
      </c>
      <c r="L25" s="198">
        <v>41379.88402777778</v>
      </c>
      <c r="M25" s="199">
        <v>41380.70138888889</v>
      </c>
      <c r="N25" s="177">
        <f t="shared" si="2"/>
        <v>19.61666666669771</v>
      </c>
      <c r="O25" s="178">
        <f t="shared" si="3"/>
        <v>1177</v>
      </c>
      <c r="P25" s="179" t="s">
        <v>310</v>
      </c>
      <c r="Q25" s="180" t="str">
        <f t="shared" si="4"/>
        <v>--</v>
      </c>
      <c r="R25" s="181" t="str">
        <f t="shared" si="5"/>
        <v>NO</v>
      </c>
      <c r="S25" s="181" t="str">
        <f t="shared" si="6"/>
        <v>NO</v>
      </c>
      <c r="T25" s="182" t="str">
        <f t="shared" si="7"/>
        <v>--</v>
      </c>
      <c r="U25" s="183" t="str">
        <f t="shared" si="8"/>
        <v>--</v>
      </c>
      <c r="V25" s="184">
        <f t="shared" si="9"/>
        <v>5182.554</v>
      </c>
      <c r="W25" s="185">
        <f t="shared" si="10"/>
        <v>25912.77</v>
      </c>
      <c r="X25" s="186">
        <f t="shared" si="11"/>
        <v>7576.893948000001</v>
      </c>
      <c r="Y25" s="187" t="str">
        <f t="shared" si="12"/>
        <v>--</v>
      </c>
      <c r="Z25" s="188" t="str">
        <f t="shared" si="13"/>
        <v>--</v>
      </c>
      <c r="AA25" s="189" t="str">
        <f t="shared" si="14"/>
        <v>--</v>
      </c>
      <c r="AB25" s="190" t="str">
        <f t="shared" si="15"/>
        <v>--</v>
      </c>
      <c r="AC25" s="191" t="str">
        <f t="shared" si="16"/>
        <v>--</v>
      </c>
      <c r="AD25" s="192" t="s">
        <v>80</v>
      </c>
      <c r="AE25" s="193">
        <f t="shared" si="17"/>
        <v>38672.217948000005</v>
      </c>
      <c r="AF25" s="194"/>
    </row>
    <row r="26" spans="2:32" s="8" customFormat="1" ht="16.5" customHeight="1">
      <c r="B26" s="55"/>
      <c r="C26" s="170">
        <v>5</v>
      </c>
      <c r="D26" s="170">
        <v>259679</v>
      </c>
      <c r="E26" s="170">
        <v>54</v>
      </c>
      <c r="F26" s="170" t="s">
        <v>312</v>
      </c>
      <c r="G26" s="171">
        <v>220</v>
      </c>
      <c r="H26" s="172">
        <v>26</v>
      </c>
      <c r="I26" s="171" t="s">
        <v>308</v>
      </c>
      <c r="J26" s="173">
        <f t="shared" si="0"/>
        <v>20</v>
      </c>
      <c r="K26" s="174">
        <f t="shared" si="1"/>
        <v>227.305</v>
      </c>
      <c r="L26" s="175">
        <v>41380.70138888889</v>
      </c>
      <c r="M26" s="176">
        <v>41380.71666666667</v>
      </c>
      <c r="N26" s="177">
        <f t="shared" si="2"/>
        <v>0.3666666666395031</v>
      </c>
      <c r="O26" s="178">
        <f t="shared" si="3"/>
        <v>22</v>
      </c>
      <c r="P26" s="179" t="s">
        <v>310</v>
      </c>
      <c r="Q26" s="180" t="str">
        <f t="shared" si="4"/>
        <v>--</v>
      </c>
      <c r="R26" s="181" t="str">
        <f t="shared" si="5"/>
        <v>NO</v>
      </c>
      <c r="S26" s="181" t="str">
        <f t="shared" si="6"/>
        <v>NO</v>
      </c>
      <c r="T26" s="182" t="str">
        <f t="shared" si="7"/>
        <v>--</v>
      </c>
      <c r="U26" s="183" t="str">
        <f t="shared" si="8"/>
        <v>--</v>
      </c>
      <c r="V26" s="184">
        <f t="shared" si="9"/>
        <v>4546.1</v>
      </c>
      <c r="W26" s="185">
        <f t="shared" si="10"/>
        <v>1682.057</v>
      </c>
      <c r="X26" s="186" t="str">
        <f t="shared" si="11"/>
        <v>--</v>
      </c>
      <c r="Y26" s="187" t="str">
        <f t="shared" si="12"/>
        <v>--</v>
      </c>
      <c r="Z26" s="188" t="str">
        <f t="shared" si="13"/>
        <v>--</v>
      </c>
      <c r="AA26" s="189" t="str">
        <f t="shared" si="14"/>
        <v>--</v>
      </c>
      <c r="AB26" s="190" t="str">
        <f t="shared" si="15"/>
        <v>--</v>
      </c>
      <c r="AC26" s="191" t="str">
        <f t="shared" si="16"/>
        <v>--</v>
      </c>
      <c r="AD26" s="192" t="s">
        <v>80</v>
      </c>
      <c r="AE26" s="193">
        <f t="shared" si="17"/>
        <v>6228.157</v>
      </c>
      <c r="AF26" s="194"/>
    </row>
    <row r="27" spans="2:32" s="8" customFormat="1" ht="16.5" customHeight="1">
      <c r="B27" s="55"/>
      <c r="C27" s="151">
        <v>6</v>
      </c>
      <c r="D27" s="151">
        <v>259680</v>
      </c>
      <c r="E27" s="151">
        <v>51</v>
      </c>
      <c r="F27" s="170" t="s">
        <v>313</v>
      </c>
      <c r="G27" s="171">
        <v>220</v>
      </c>
      <c r="H27" s="172">
        <v>61</v>
      </c>
      <c r="I27" s="171" t="s">
        <v>308</v>
      </c>
      <c r="J27" s="173">
        <f t="shared" si="0"/>
        <v>20</v>
      </c>
      <c r="K27" s="174">
        <f t="shared" si="1"/>
        <v>227.305</v>
      </c>
      <c r="L27" s="175">
        <v>41380.70138888889</v>
      </c>
      <c r="M27" s="176">
        <v>41380.73125</v>
      </c>
      <c r="N27" s="177">
        <f t="shared" si="2"/>
        <v>0.7166666665580124</v>
      </c>
      <c r="O27" s="178">
        <f t="shared" si="3"/>
        <v>43</v>
      </c>
      <c r="P27" s="179" t="s">
        <v>310</v>
      </c>
      <c r="Q27" s="180" t="str">
        <f t="shared" si="4"/>
        <v>--</v>
      </c>
      <c r="R27" s="181" t="str">
        <f t="shared" si="5"/>
        <v>NO</v>
      </c>
      <c r="S27" s="181" t="str">
        <f t="shared" si="6"/>
        <v>NO</v>
      </c>
      <c r="T27" s="182" t="str">
        <f t="shared" si="7"/>
        <v>--</v>
      </c>
      <c r="U27" s="183" t="str">
        <f t="shared" si="8"/>
        <v>--</v>
      </c>
      <c r="V27" s="184">
        <f t="shared" si="9"/>
        <v>4546.1</v>
      </c>
      <c r="W27" s="185">
        <f t="shared" si="10"/>
        <v>3273.192</v>
      </c>
      <c r="X27" s="186" t="str">
        <f t="shared" si="11"/>
        <v>--</v>
      </c>
      <c r="Y27" s="187" t="str">
        <f t="shared" si="12"/>
        <v>--</v>
      </c>
      <c r="Z27" s="188" t="str">
        <f t="shared" si="13"/>
        <v>--</v>
      </c>
      <c r="AA27" s="189" t="str">
        <f t="shared" si="14"/>
        <v>--</v>
      </c>
      <c r="AB27" s="190" t="str">
        <f t="shared" si="15"/>
        <v>--</v>
      </c>
      <c r="AC27" s="191" t="str">
        <f t="shared" si="16"/>
        <v>--</v>
      </c>
      <c r="AD27" s="192" t="s">
        <v>80</v>
      </c>
      <c r="AE27" s="193">
        <f t="shared" si="17"/>
        <v>7819.292</v>
      </c>
      <c r="AF27" s="194"/>
    </row>
    <row r="28" spans="2:32" s="8" customFormat="1" ht="16.5" customHeight="1">
      <c r="B28" s="55"/>
      <c r="C28" s="170">
        <v>7</v>
      </c>
      <c r="D28" s="170">
        <v>259682</v>
      </c>
      <c r="E28" s="170">
        <v>50</v>
      </c>
      <c r="F28" s="200" t="s">
        <v>311</v>
      </c>
      <c r="G28" s="201">
        <v>220</v>
      </c>
      <c r="H28" s="202">
        <v>114</v>
      </c>
      <c r="I28" s="201" t="s">
        <v>308</v>
      </c>
      <c r="J28" s="173">
        <f t="shared" si="0"/>
        <v>20</v>
      </c>
      <c r="K28" s="174">
        <f t="shared" si="1"/>
        <v>259.1277</v>
      </c>
      <c r="L28" s="203">
        <v>41380.71388888889</v>
      </c>
      <c r="M28" s="204">
        <v>41381.07013888889</v>
      </c>
      <c r="N28" s="177">
        <f t="shared" si="2"/>
        <v>8.550000000104774</v>
      </c>
      <c r="O28" s="178">
        <f t="shared" si="3"/>
        <v>513</v>
      </c>
      <c r="P28" s="179" t="s">
        <v>310</v>
      </c>
      <c r="Q28" s="180" t="str">
        <f t="shared" si="4"/>
        <v>--</v>
      </c>
      <c r="R28" s="181" t="str">
        <f t="shared" si="5"/>
        <v>NO</v>
      </c>
      <c r="S28" s="181" t="str">
        <f t="shared" si="6"/>
        <v>NO</v>
      </c>
      <c r="T28" s="182" t="str">
        <f t="shared" si="7"/>
        <v>--</v>
      </c>
      <c r="U28" s="183" t="str">
        <f t="shared" si="8"/>
        <v>--</v>
      </c>
      <c r="V28" s="184">
        <f t="shared" si="9"/>
        <v>5182.554</v>
      </c>
      <c r="W28" s="185">
        <f t="shared" si="10"/>
        <v>25912.77</v>
      </c>
      <c r="X28" s="186">
        <f t="shared" si="11"/>
        <v>1839.8066700000004</v>
      </c>
      <c r="Y28" s="187" t="str">
        <f t="shared" si="12"/>
        <v>--</v>
      </c>
      <c r="Z28" s="188" t="str">
        <f t="shared" si="13"/>
        <v>--</v>
      </c>
      <c r="AA28" s="189" t="str">
        <f t="shared" si="14"/>
        <v>--</v>
      </c>
      <c r="AB28" s="190" t="str">
        <f t="shared" si="15"/>
        <v>--</v>
      </c>
      <c r="AC28" s="191" t="str">
        <f t="shared" si="16"/>
        <v>--</v>
      </c>
      <c r="AD28" s="192" t="s">
        <v>80</v>
      </c>
      <c r="AE28" s="193">
        <f t="shared" si="17"/>
        <v>32935.13067</v>
      </c>
      <c r="AF28" s="194"/>
    </row>
    <row r="29" spans="2:32" s="8" customFormat="1" ht="16.5" customHeight="1">
      <c r="B29" s="55"/>
      <c r="C29" s="151">
        <v>8</v>
      </c>
      <c r="D29" s="151">
        <v>259878</v>
      </c>
      <c r="E29" s="151">
        <v>31</v>
      </c>
      <c r="F29" s="200" t="s">
        <v>314</v>
      </c>
      <c r="G29" s="201">
        <v>500</v>
      </c>
      <c r="H29" s="202">
        <v>4.5</v>
      </c>
      <c r="I29" s="201" t="s">
        <v>308</v>
      </c>
      <c r="J29" s="173">
        <f t="shared" si="0"/>
        <v>20</v>
      </c>
      <c r="K29" s="174">
        <f t="shared" si="1"/>
        <v>272.761</v>
      </c>
      <c r="L29" s="203">
        <v>41386.37222222222</v>
      </c>
      <c r="M29" s="204">
        <v>41386.76597222222</v>
      </c>
      <c r="N29" s="177">
        <f t="shared" si="2"/>
        <v>9.45000000006985</v>
      </c>
      <c r="O29" s="178">
        <f t="shared" si="3"/>
        <v>567</v>
      </c>
      <c r="P29" s="179" t="s">
        <v>309</v>
      </c>
      <c r="Q29" s="180" t="str">
        <f t="shared" si="4"/>
        <v>--</v>
      </c>
      <c r="R29" s="181" t="str">
        <f t="shared" si="5"/>
        <v>NO</v>
      </c>
      <c r="S29" s="181" t="str">
        <f t="shared" si="6"/>
        <v>--</v>
      </c>
      <c r="T29" s="182">
        <f t="shared" si="7"/>
        <v>515.51829</v>
      </c>
      <c r="U29" s="183" t="str">
        <f t="shared" si="8"/>
        <v>--</v>
      </c>
      <c r="V29" s="184" t="str">
        <f t="shared" si="9"/>
        <v>--</v>
      </c>
      <c r="W29" s="185" t="str">
        <f t="shared" si="10"/>
        <v>--</v>
      </c>
      <c r="X29" s="186" t="str">
        <f t="shared" si="11"/>
        <v>--</v>
      </c>
      <c r="Y29" s="187" t="str">
        <f t="shared" si="12"/>
        <v>--</v>
      </c>
      <c r="Z29" s="188" t="str">
        <f t="shared" si="13"/>
        <v>--</v>
      </c>
      <c r="AA29" s="189" t="str">
        <f t="shared" si="14"/>
        <v>--</v>
      </c>
      <c r="AB29" s="190" t="str">
        <f t="shared" si="15"/>
        <v>--</v>
      </c>
      <c r="AC29" s="191" t="str">
        <f t="shared" si="16"/>
        <v>--</v>
      </c>
      <c r="AD29" s="192" t="s">
        <v>80</v>
      </c>
      <c r="AE29" s="193">
        <f t="shared" si="17"/>
        <v>515.51829</v>
      </c>
      <c r="AF29" s="194"/>
    </row>
    <row r="30" spans="2:32" s="8" customFormat="1" ht="16.5" customHeight="1">
      <c r="B30" s="55"/>
      <c r="C30" s="170">
        <v>9</v>
      </c>
      <c r="D30" s="170">
        <v>259880</v>
      </c>
      <c r="E30" s="170">
        <v>31</v>
      </c>
      <c r="F30" s="200" t="s">
        <v>314</v>
      </c>
      <c r="G30" s="201">
        <v>500</v>
      </c>
      <c r="H30" s="202">
        <v>4.5</v>
      </c>
      <c r="I30" s="201" t="s">
        <v>308</v>
      </c>
      <c r="J30" s="173">
        <f t="shared" si="0"/>
        <v>20</v>
      </c>
      <c r="K30" s="174">
        <f t="shared" si="1"/>
        <v>272.761</v>
      </c>
      <c r="L30" s="203">
        <v>41387.353472222225</v>
      </c>
      <c r="M30" s="204">
        <v>41387.76111111111</v>
      </c>
      <c r="N30" s="177">
        <f t="shared" si="2"/>
        <v>9.783333333267365</v>
      </c>
      <c r="O30" s="178">
        <f t="shared" si="3"/>
        <v>587</v>
      </c>
      <c r="P30" s="179" t="s">
        <v>309</v>
      </c>
      <c r="Q30" s="180" t="str">
        <f t="shared" si="4"/>
        <v>--</v>
      </c>
      <c r="R30" s="181" t="str">
        <f t="shared" si="5"/>
        <v>NO</v>
      </c>
      <c r="S30" s="181" t="str">
        <f t="shared" si="6"/>
        <v>--</v>
      </c>
      <c r="T30" s="182">
        <f t="shared" si="7"/>
        <v>533.520516</v>
      </c>
      <c r="U30" s="183" t="str">
        <f t="shared" si="8"/>
        <v>--</v>
      </c>
      <c r="V30" s="184" t="str">
        <f t="shared" si="9"/>
        <v>--</v>
      </c>
      <c r="W30" s="185" t="str">
        <f t="shared" si="10"/>
        <v>--</v>
      </c>
      <c r="X30" s="186" t="str">
        <f t="shared" si="11"/>
        <v>--</v>
      </c>
      <c r="Y30" s="187" t="str">
        <f t="shared" si="12"/>
        <v>--</v>
      </c>
      <c r="Z30" s="188" t="str">
        <f t="shared" si="13"/>
        <v>--</v>
      </c>
      <c r="AA30" s="189" t="str">
        <f t="shared" si="14"/>
        <v>--</v>
      </c>
      <c r="AB30" s="190" t="str">
        <f t="shared" si="15"/>
        <v>--</v>
      </c>
      <c r="AC30" s="191" t="str">
        <f t="shared" si="16"/>
        <v>--</v>
      </c>
      <c r="AD30" s="192" t="s">
        <v>80</v>
      </c>
      <c r="AE30" s="193">
        <f t="shared" si="17"/>
        <v>533.520516</v>
      </c>
      <c r="AF30" s="194"/>
    </row>
    <row r="31" spans="2:32" s="8" customFormat="1" ht="16.5" customHeight="1">
      <c r="B31" s="55"/>
      <c r="C31" s="151">
        <v>10</v>
      </c>
      <c r="D31" s="151">
        <v>259884</v>
      </c>
      <c r="E31" s="151">
        <v>31</v>
      </c>
      <c r="F31" s="200" t="s">
        <v>314</v>
      </c>
      <c r="G31" s="201">
        <v>500</v>
      </c>
      <c r="H31" s="202">
        <v>4.5</v>
      </c>
      <c r="I31" s="201" t="s">
        <v>308</v>
      </c>
      <c r="J31" s="173">
        <f t="shared" si="0"/>
        <v>20</v>
      </c>
      <c r="K31" s="174">
        <f t="shared" si="1"/>
        <v>272.761</v>
      </c>
      <c r="L31" s="203">
        <v>41388.36875</v>
      </c>
      <c r="M31" s="204">
        <v>41388.74513888889</v>
      </c>
      <c r="N31" s="177">
        <f t="shared" si="2"/>
        <v>9.033333333267365</v>
      </c>
      <c r="O31" s="178">
        <f t="shared" si="3"/>
        <v>542</v>
      </c>
      <c r="P31" s="179" t="s">
        <v>309</v>
      </c>
      <c r="Q31" s="180" t="str">
        <f t="shared" si="4"/>
        <v>--</v>
      </c>
      <c r="R31" s="181" t="str">
        <f t="shared" si="5"/>
        <v>NO</v>
      </c>
      <c r="S31" s="181" t="str">
        <f t="shared" si="6"/>
        <v>--</v>
      </c>
      <c r="T31" s="182">
        <f t="shared" si="7"/>
        <v>492.606366</v>
      </c>
      <c r="U31" s="183" t="str">
        <f t="shared" si="8"/>
        <v>--</v>
      </c>
      <c r="V31" s="184" t="str">
        <f t="shared" si="9"/>
        <v>--</v>
      </c>
      <c r="W31" s="185" t="str">
        <f t="shared" si="10"/>
        <v>--</v>
      </c>
      <c r="X31" s="186" t="str">
        <f t="shared" si="11"/>
        <v>--</v>
      </c>
      <c r="Y31" s="187" t="str">
        <f t="shared" si="12"/>
        <v>--</v>
      </c>
      <c r="Z31" s="188" t="str">
        <f t="shared" si="13"/>
        <v>--</v>
      </c>
      <c r="AA31" s="189" t="str">
        <f t="shared" si="14"/>
        <v>--</v>
      </c>
      <c r="AB31" s="190" t="str">
        <f t="shared" si="15"/>
        <v>--</v>
      </c>
      <c r="AC31" s="191" t="str">
        <f t="shared" si="16"/>
        <v>--</v>
      </c>
      <c r="AD31" s="192" t="s">
        <v>80</v>
      </c>
      <c r="AE31" s="193">
        <f t="shared" si="17"/>
        <v>492.606366</v>
      </c>
      <c r="AF31" s="194"/>
    </row>
    <row r="32" spans="2:32" s="8" customFormat="1" ht="16.5" customHeight="1">
      <c r="B32" s="55"/>
      <c r="C32" s="170">
        <v>11</v>
      </c>
      <c r="D32" s="170">
        <v>259890</v>
      </c>
      <c r="E32" s="170">
        <v>3065</v>
      </c>
      <c r="F32" s="200" t="s">
        <v>315</v>
      </c>
      <c r="G32" s="201">
        <v>500</v>
      </c>
      <c r="H32" s="202">
        <v>150</v>
      </c>
      <c r="I32" s="201" t="s">
        <v>316</v>
      </c>
      <c r="J32" s="173">
        <f t="shared" si="0"/>
        <v>200</v>
      </c>
      <c r="K32" s="174">
        <f t="shared" si="1"/>
        <v>409.1415</v>
      </c>
      <c r="L32" s="203">
        <v>41389.32916666667</v>
      </c>
      <c r="M32" s="204">
        <v>41389.72222222222</v>
      </c>
      <c r="N32" s="177">
        <f t="shared" si="2"/>
        <v>9.433333333174232</v>
      </c>
      <c r="O32" s="178">
        <f t="shared" si="3"/>
        <v>566</v>
      </c>
      <c r="P32" s="179" t="s">
        <v>309</v>
      </c>
      <c r="Q32" s="180" t="str">
        <f t="shared" si="4"/>
        <v>--</v>
      </c>
      <c r="R32" s="181" t="str">
        <f t="shared" si="5"/>
        <v>NO</v>
      </c>
      <c r="S32" s="181" t="str">
        <f t="shared" si="6"/>
        <v>--</v>
      </c>
      <c r="T32" s="182">
        <f t="shared" si="7"/>
        <v>7716.408689999999</v>
      </c>
      <c r="U32" s="183" t="str">
        <f t="shared" si="8"/>
        <v>--</v>
      </c>
      <c r="V32" s="184" t="str">
        <f t="shared" si="9"/>
        <v>--</v>
      </c>
      <c r="W32" s="185" t="str">
        <f t="shared" si="10"/>
        <v>--</v>
      </c>
      <c r="X32" s="186" t="str">
        <f t="shared" si="11"/>
        <v>--</v>
      </c>
      <c r="Y32" s="187" t="str">
        <f t="shared" si="12"/>
        <v>--</v>
      </c>
      <c r="Z32" s="188" t="str">
        <f t="shared" si="13"/>
        <v>--</v>
      </c>
      <c r="AA32" s="189" t="str">
        <f t="shared" si="14"/>
        <v>--</v>
      </c>
      <c r="AB32" s="190" t="str">
        <f t="shared" si="15"/>
        <v>--</v>
      </c>
      <c r="AC32" s="191" t="str">
        <f t="shared" si="16"/>
        <v>--</v>
      </c>
      <c r="AD32" s="192" t="s">
        <v>80</v>
      </c>
      <c r="AE32" s="193">
        <f t="shared" si="17"/>
        <v>7716.408689999999</v>
      </c>
      <c r="AF32" s="194"/>
    </row>
    <row r="33" spans="2:32" s="8" customFormat="1" ht="16.5" customHeight="1">
      <c r="B33" s="55"/>
      <c r="C33" s="151">
        <v>12</v>
      </c>
      <c r="D33" s="151">
        <v>259897</v>
      </c>
      <c r="E33" s="151">
        <v>37</v>
      </c>
      <c r="F33" s="200" t="s">
        <v>317</v>
      </c>
      <c r="G33" s="201">
        <v>500</v>
      </c>
      <c r="H33" s="202">
        <v>259</v>
      </c>
      <c r="I33" s="201" t="s">
        <v>318</v>
      </c>
      <c r="J33" s="173">
        <f t="shared" si="0"/>
        <v>60</v>
      </c>
      <c r="K33" s="174">
        <f t="shared" si="1"/>
        <v>706.45099</v>
      </c>
      <c r="L33" s="203">
        <v>41391.32916666667</v>
      </c>
      <c r="M33" s="205">
        <v>41391.7125</v>
      </c>
      <c r="N33" s="177">
        <f t="shared" si="2"/>
        <v>9.199999999953434</v>
      </c>
      <c r="O33" s="178">
        <f t="shared" si="3"/>
        <v>552</v>
      </c>
      <c r="P33" s="179" t="s">
        <v>309</v>
      </c>
      <c r="Q33" s="180" t="str">
        <f t="shared" si="4"/>
        <v>--</v>
      </c>
      <c r="R33" s="181" t="str">
        <f t="shared" si="5"/>
        <v>NO</v>
      </c>
      <c r="S33" s="181" t="str">
        <f t="shared" si="6"/>
        <v>--</v>
      </c>
      <c r="T33" s="182">
        <f t="shared" si="7"/>
        <v>3899.6094648000003</v>
      </c>
      <c r="U33" s="183" t="str">
        <f t="shared" si="8"/>
        <v>--</v>
      </c>
      <c r="V33" s="184" t="str">
        <f t="shared" si="9"/>
        <v>--</v>
      </c>
      <c r="W33" s="185" t="str">
        <f t="shared" si="10"/>
        <v>--</v>
      </c>
      <c r="X33" s="186" t="str">
        <f t="shared" si="11"/>
        <v>--</v>
      </c>
      <c r="Y33" s="187" t="str">
        <f t="shared" si="12"/>
        <v>--</v>
      </c>
      <c r="Z33" s="188" t="str">
        <f t="shared" si="13"/>
        <v>--</v>
      </c>
      <c r="AA33" s="189" t="str">
        <f t="shared" si="14"/>
        <v>--</v>
      </c>
      <c r="AB33" s="190" t="str">
        <f t="shared" si="15"/>
        <v>--</v>
      </c>
      <c r="AC33" s="191" t="str">
        <f t="shared" si="16"/>
        <v>--</v>
      </c>
      <c r="AD33" s="192" t="s">
        <v>80</v>
      </c>
      <c r="AE33" s="193">
        <f t="shared" si="17"/>
        <v>3899.6094648000003</v>
      </c>
      <c r="AF33" s="194"/>
    </row>
    <row r="34" spans="2:32" s="8" customFormat="1" ht="16.5" customHeight="1">
      <c r="B34" s="55"/>
      <c r="C34" s="170">
        <v>13</v>
      </c>
      <c r="D34" s="170">
        <v>259901</v>
      </c>
      <c r="E34" s="170">
        <v>37</v>
      </c>
      <c r="F34" s="200" t="s">
        <v>317</v>
      </c>
      <c r="G34" s="201">
        <v>500</v>
      </c>
      <c r="H34" s="202">
        <v>259</v>
      </c>
      <c r="I34" s="201" t="s">
        <v>318</v>
      </c>
      <c r="J34" s="173">
        <f t="shared" si="0"/>
        <v>60</v>
      </c>
      <c r="K34" s="174">
        <f t="shared" si="1"/>
        <v>706.45099</v>
      </c>
      <c r="L34" s="203">
        <v>41392.33472222222</v>
      </c>
      <c r="M34" s="205">
        <v>41392.63680555556</v>
      </c>
      <c r="N34" s="177">
        <f t="shared" si="2"/>
        <v>7.250000000058208</v>
      </c>
      <c r="O34" s="178">
        <f t="shared" si="3"/>
        <v>435</v>
      </c>
      <c r="P34" s="179" t="s">
        <v>309</v>
      </c>
      <c r="Q34" s="180" t="str">
        <f t="shared" si="4"/>
        <v>--</v>
      </c>
      <c r="R34" s="181" t="str">
        <f t="shared" si="5"/>
        <v>NO</v>
      </c>
      <c r="S34" s="181" t="str">
        <f t="shared" si="6"/>
        <v>--</v>
      </c>
      <c r="T34" s="182">
        <f t="shared" si="7"/>
        <v>3073.061806500001</v>
      </c>
      <c r="U34" s="183" t="str">
        <f t="shared" si="8"/>
        <v>--</v>
      </c>
      <c r="V34" s="184" t="str">
        <f t="shared" si="9"/>
        <v>--</v>
      </c>
      <c r="W34" s="185" t="str">
        <f t="shared" si="10"/>
        <v>--</v>
      </c>
      <c r="X34" s="186" t="str">
        <f t="shared" si="11"/>
        <v>--</v>
      </c>
      <c r="Y34" s="187" t="str">
        <f t="shared" si="12"/>
        <v>--</v>
      </c>
      <c r="Z34" s="188" t="str">
        <f t="shared" si="13"/>
        <v>--</v>
      </c>
      <c r="AA34" s="189" t="str">
        <f t="shared" si="14"/>
        <v>--</v>
      </c>
      <c r="AB34" s="190" t="str">
        <f t="shared" si="15"/>
        <v>--</v>
      </c>
      <c r="AC34" s="191" t="str">
        <f t="shared" si="16"/>
        <v>--</v>
      </c>
      <c r="AD34" s="192" t="s">
        <v>80</v>
      </c>
      <c r="AE34" s="193">
        <f t="shared" si="17"/>
        <v>3073.061806500001</v>
      </c>
      <c r="AF34" s="194"/>
    </row>
    <row r="35" spans="2:32" s="8" customFormat="1" ht="16.5" customHeight="1">
      <c r="B35" s="55"/>
      <c r="C35" s="151"/>
      <c r="D35" s="151"/>
      <c r="E35" s="151"/>
      <c r="F35" s="200"/>
      <c r="G35" s="201"/>
      <c r="H35" s="202"/>
      <c r="I35" s="201"/>
      <c r="J35" s="173">
        <f t="shared" si="0"/>
        <v>20</v>
      </c>
      <c r="K35" s="174">
        <f t="shared" si="1"/>
        <v>227.305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182" t="str">
        <f t="shared" si="7"/>
        <v>--</v>
      </c>
      <c r="U35" s="183" t="str">
        <f t="shared" si="8"/>
        <v>--</v>
      </c>
      <c r="V35" s="184" t="str">
        <f t="shared" si="9"/>
        <v>--</v>
      </c>
      <c r="W35" s="185" t="str">
        <f t="shared" si="10"/>
        <v>--</v>
      </c>
      <c r="X35" s="186" t="str">
        <f t="shared" si="11"/>
        <v>--</v>
      </c>
      <c r="Y35" s="187" t="str">
        <f t="shared" si="12"/>
        <v>--</v>
      </c>
      <c r="Z35" s="188" t="str">
        <f t="shared" si="13"/>
        <v>--</v>
      </c>
      <c r="AA35" s="189" t="str">
        <f t="shared" si="14"/>
        <v>--</v>
      </c>
      <c r="AB35" s="190" t="str">
        <f t="shared" si="15"/>
        <v>--</v>
      </c>
      <c r="AC35" s="191" t="str">
        <f t="shared" si="16"/>
        <v>--</v>
      </c>
      <c r="AD35" s="192">
        <f aca="true" t="shared" si="18" ref="AD35:AD41">IF(F35="","","SI")</f>
      </c>
      <c r="AE35" s="193">
        <f t="shared" si="17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>
        <f t="shared" si="1"/>
        <v>227.305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182" t="str">
        <f t="shared" si="7"/>
        <v>--</v>
      </c>
      <c r="U36" s="183" t="str">
        <f t="shared" si="8"/>
        <v>--</v>
      </c>
      <c r="V36" s="184" t="str">
        <f t="shared" si="9"/>
        <v>--</v>
      </c>
      <c r="W36" s="185" t="str">
        <f t="shared" si="10"/>
        <v>--</v>
      </c>
      <c r="X36" s="186" t="str">
        <f t="shared" si="11"/>
        <v>--</v>
      </c>
      <c r="Y36" s="187" t="str">
        <f t="shared" si="12"/>
        <v>--</v>
      </c>
      <c r="Z36" s="188" t="str">
        <f t="shared" si="13"/>
        <v>--</v>
      </c>
      <c r="AA36" s="189" t="str">
        <f t="shared" si="14"/>
        <v>--</v>
      </c>
      <c r="AB36" s="190" t="str">
        <f t="shared" si="15"/>
        <v>--</v>
      </c>
      <c r="AC36" s="191" t="str">
        <f t="shared" si="16"/>
        <v>--</v>
      </c>
      <c r="AD36" s="192">
        <f t="shared" si="18"/>
      </c>
      <c r="AE36" s="193">
        <f t="shared" si="17"/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>
        <f t="shared" si="1"/>
        <v>227.305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182" t="str">
        <f t="shared" si="7"/>
        <v>--</v>
      </c>
      <c r="U37" s="183" t="str">
        <f t="shared" si="8"/>
        <v>--</v>
      </c>
      <c r="V37" s="184" t="str">
        <f t="shared" si="9"/>
        <v>--</v>
      </c>
      <c r="W37" s="185" t="str">
        <f t="shared" si="10"/>
        <v>--</v>
      </c>
      <c r="X37" s="186" t="str">
        <f t="shared" si="11"/>
        <v>--</v>
      </c>
      <c r="Y37" s="187" t="str">
        <f t="shared" si="12"/>
        <v>--</v>
      </c>
      <c r="Z37" s="188" t="str">
        <f t="shared" si="13"/>
        <v>--</v>
      </c>
      <c r="AA37" s="189" t="str">
        <f t="shared" si="14"/>
        <v>--</v>
      </c>
      <c r="AB37" s="190" t="str">
        <f t="shared" si="15"/>
        <v>--</v>
      </c>
      <c r="AC37" s="191" t="str">
        <f t="shared" si="16"/>
        <v>--</v>
      </c>
      <c r="AD37" s="192">
        <f t="shared" si="18"/>
      </c>
      <c r="AE37" s="193">
        <f t="shared" si="17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>
        <f t="shared" si="1"/>
        <v>227.305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182" t="str">
        <f t="shared" si="7"/>
        <v>--</v>
      </c>
      <c r="U38" s="183" t="str">
        <f t="shared" si="8"/>
        <v>--</v>
      </c>
      <c r="V38" s="184" t="str">
        <f t="shared" si="9"/>
        <v>--</v>
      </c>
      <c r="W38" s="185" t="str">
        <f t="shared" si="10"/>
        <v>--</v>
      </c>
      <c r="X38" s="186" t="str">
        <f t="shared" si="11"/>
        <v>--</v>
      </c>
      <c r="Y38" s="187" t="str">
        <f t="shared" si="12"/>
        <v>--</v>
      </c>
      <c r="Z38" s="188" t="str">
        <f t="shared" si="13"/>
        <v>--</v>
      </c>
      <c r="AA38" s="189" t="str">
        <f t="shared" si="14"/>
        <v>--</v>
      </c>
      <c r="AB38" s="190" t="str">
        <f t="shared" si="15"/>
        <v>--</v>
      </c>
      <c r="AC38" s="191" t="str">
        <f t="shared" si="16"/>
        <v>--</v>
      </c>
      <c r="AD38" s="192">
        <f t="shared" si="18"/>
      </c>
      <c r="AE38" s="193">
        <f t="shared" si="17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>
        <f t="shared" si="1"/>
        <v>227.305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182" t="str">
        <f t="shared" si="7"/>
        <v>--</v>
      </c>
      <c r="U39" s="183" t="str">
        <f t="shared" si="8"/>
        <v>--</v>
      </c>
      <c r="V39" s="184" t="str">
        <f t="shared" si="9"/>
        <v>--</v>
      </c>
      <c r="W39" s="185" t="str">
        <f t="shared" si="10"/>
        <v>--</v>
      </c>
      <c r="X39" s="186" t="str">
        <f t="shared" si="11"/>
        <v>--</v>
      </c>
      <c r="Y39" s="187" t="str">
        <f t="shared" si="12"/>
        <v>--</v>
      </c>
      <c r="Z39" s="188" t="str">
        <f t="shared" si="13"/>
        <v>--</v>
      </c>
      <c r="AA39" s="189" t="str">
        <f t="shared" si="14"/>
        <v>--</v>
      </c>
      <c r="AB39" s="190" t="str">
        <f t="shared" si="15"/>
        <v>--</v>
      </c>
      <c r="AC39" s="191" t="str">
        <f t="shared" si="16"/>
        <v>--</v>
      </c>
      <c r="AD39" s="192">
        <f t="shared" si="18"/>
      </c>
      <c r="AE39" s="193">
        <f t="shared" si="17"/>
      </c>
      <c r="AF39" s="194"/>
    </row>
    <row r="40" spans="2:32" s="8" customFormat="1" ht="16.5" customHeight="1">
      <c r="B40" s="55"/>
      <c r="C40" s="170"/>
      <c r="D40" s="170"/>
      <c r="E40" s="170"/>
      <c r="F40" s="200"/>
      <c r="G40" s="201"/>
      <c r="H40" s="202"/>
      <c r="I40" s="201"/>
      <c r="J40" s="173">
        <f t="shared" si="0"/>
        <v>20</v>
      </c>
      <c r="K40" s="174">
        <f t="shared" si="1"/>
        <v>227.305</v>
      </c>
      <c r="L40" s="203"/>
      <c r="M40" s="205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6"/>
      </c>
      <c r="T40" s="182" t="str">
        <f t="shared" si="7"/>
        <v>--</v>
      </c>
      <c r="U40" s="183" t="str">
        <f t="shared" si="8"/>
        <v>--</v>
      </c>
      <c r="V40" s="184" t="str">
        <f t="shared" si="9"/>
        <v>--</v>
      </c>
      <c r="W40" s="185" t="str">
        <f t="shared" si="10"/>
        <v>--</v>
      </c>
      <c r="X40" s="186" t="str">
        <f t="shared" si="11"/>
        <v>--</v>
      </c>
      <c r="Y40" s="187" t="str">
        <f t="shared" si="12"/>
        <v>--</v>
      </c>
      <c r="Z40" s="188" t="str">
        <f t="shared" si="13"/>
        <v>--</v>
      </c>
      <c r="AA40" s="189" t="str">
        <f t="shared" si="14"/>
        <v>--</v>
      </c>
      <c r="AB40" s="190" t="str">
        <f t="shared" si="15"/>
        <v>--</v>
      </c>
      <c r="AC40" s="191" t="str">
        <f t="shared" si="16"/>
        <v>--</v>
      </c>
      <c r="AD40" s="192">
        <f t="shared" si="18"/>
      </c>
      <c r="AE40" s="193">
        <f t="shared" si="17"/>
      </c>
      <c r="AF40" s="194"/>
    </row>
    <row r="41" spans="2:32" s="8" customFormat="1" ht="16.5" customHeight="1">
      <c r="B41" s="55"/>
      <c r="C41" s="151"/>
      <c r="D41" s="151"/>
      <c r="E41" s="151"/>
      <c r="F41" s="200"/>
      <c r="G41" s="201"/>
      <c r="H41" s="202"/>
      <c r="I41" s="201"/>
      <c r="J41" s="173">
        <f t="shared" si="0"/>
        <v>20</v>
      </c>
      <c r="K41" s="174">
        <f t="shared" si="1"/>
        <v>227.305</v>
      </c>
      <c r="L41" s="203"/>
      <c r="M41" s="205"/>
      <c r="N41" s="177">
        <f t="shared" si="2"/>
      </c>
      <c r="O41" s="178">
        <f t="shared" si="3"/>
      </c>
      <c r="P41" s="179"/>
      <c r="Q41" s="180">
        <f t="shared" si="4"/>
      </c>
      <c r="R41" s="181">
        <f t="shared" si="5"/>
      </c>
      <c r="S41" s="181">
        <f t="shared" si="6"/>
      </c>
      <c r="T41" s="182" t="str">
        <f t="shared" si="7"/>
        <v>--</v>
      </c>
      <c r="U41" s="183" t="str">
        <f t="shared" si="8"/>
        <v>--</v>
      </c>
      <c r="V41" s="184" t="str">
        <f t="shared" si="9"/>
        <v>--</v>
      </c>
      <c r="W41" s="185" t="str">
        <f t="shared" si="10"/>
        <v>--</v>
      </c>
      <c r="X41" s="186" t="str">
        <f t="shared" si="11"/>
        <v>--</v>
      </c>
      <c r="Y41" s="187" t="str">
        <f t="shared" si="12"/>
        <v>--</v>
      </c>
      <c r="Z41" s="188" t="str">
        <f t="shared" si="13"/>
        <v>--</v>
      </c>
      <c r="AA41" s="189" t="str">
        <f t="shared" si="14"/>
        <v>--</v>
      </c>
      <c r="AB41" s="190" t="str">
        <f t="shared" si="15"/>
        <v>--</v>
      </c>
      <c r="AC41" s="191" t="str">
        <f t="shared" si="16"/>
        <v>--</v>
      </c>
      <c r="AD41" s="192">
        <f t="shared" si="18"/>
      </c>
      <c r="AE41" s="193">
        <f t="shared" si="17"/>
      </c>
      <c r="AF41" s="194"/>
    </row>
    <row r="42" spans="2:32" s="8" customFormat="1" ht="16.5" customHeight="1" thickBot="1">
      <c r="B42" s="55"/>
      <c r="C42" s="206"/>
      <c r="D42" s="207"/>
      <c r="E42" s="170"/>
      <c r="F42" s="208"/>
      <c r="G42" s="209"/>
      <c r="H42" s="210"/>
      <c r="I42" s="211"/>
      <c r="J42" s="212"/>
      <c r="K42" s="213"/>
      <c r="L42" s="214"/>
      <c r="M42" s="214"/>
      <c r="N42" s="215"/>
      <c r="O42" s="215"/>
      <c r="P42" s="216"/>
      <c r="Q42" s="217"/>
      <c r="R42" s="216"/>
      <c r="S42" s="216"/>
      <c r="T42" s="218"/>
      <c r="U42" s="219"/>
      <c r="V42" s="220"/>
      <c r="W42" s="221"/>
      <c r="X42" s="222"/>
      <c r="Y42" s="223"/>
      <c r="Z42" s="224"/>
      <c r="AA42" s="225"/>
      <c r="AB42" s="226"/>
      <c r="AC42" s="227"/>
      <c r="AD42" s="228"/>
      <c r="AE42" s="229"/>
      <c r="AF42" s="194"/>
    </row>
    <row r="43" spans="2:32" s="8" customFormat="1" ht="16.5" customHeight="1" thickBot="1" thickTop="1">
      <c r="B43" s="55"/>
      <c r="C43" s="910" t="s">
        <v>402</v>
      </c>
      <c r="D43" s="909" t="s">
        <v>400</v>
      </c>
      <c r="E43" s="230"/>
      <c r="F43" s="231"/>
      <c r="G43" s="232"/>
      <c r="H43" s="233"/>
      <c r="I43" s="234"/>
      <c r="J43" s="233"/>
      <c r="K43" s="235"/>
      <c r="L43" s="235"/>
      <c r="M43" s="235"/>
      <c r="N43" s="235"/>
      <c r="O43" s="235"/>
      <c r="P43" s="235"/>
      <c r="Q43" s="236"/>
      <c r="R43" s="235"/>
      <c r="S43" s="235"/>
      <c r="T43" s="237">
        <f aca="true" t="shared" si="19" ref="T43:AC43">SUM(T20:T42)</f>
        <v>17446.3329733</v>
      </c>
      <c r="U43" s="238">
        <f t="shared" si="19"/>
        <v>0</v>
      </c>
      <c r="V43" s="239">
        <f t="shared" si="19"/>
        <v>19457.308</v>
      </c>
      <c r="W43" s="239">
        <f t="shared" si="19"/>
        <v>124971.039</v>
      </c>
      <c r="X43" s="239">
        <f t="shared" si="19"/>
        <v>9416.700618</v>
      </c>
      <c r="Y43" s="240">
        <f t="shared" si="19"/>
        <v>0</v>
      </c>
      <c r="Z43" s="240">
        <f t="shared" si="19"/>
        <v>0</v>
      </c>
      <c r="AA43" s="240">
        <f t="shared" si="19"/>
        <v>0</v>
      </c>
      <c r="AB43" s="241">
        <f t="shared" si="19"/>
        <v>0</v>
      </c>
      <c r="AC43" s="242">
        <f t="shared" si="19"/>
        <v>0</v>
      </c>
      <c r="AD43" s="243"/>
      <c r="AE43" s="244">
        <f>ROUND(SUM(AE20:AE42),2)</f>
        <v>171128.63</v>
      </c>
      <c r="AF43" s="194"/>
    </row>
    <row r="44" spans="2:32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7"/>
    </row>
    <row r="45" spans="2:32" ht="16.5" customHeight="1" thickTop="1">
      <c r="B45" s="248"/>
      <c r="C45" s="248"/>
      <c r="D45" s="248"/>
      <c r="AF45" s="248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3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21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249" customFormat="1" ht="33" customHeight="1">
      <c r="B10" s="250"/>
      <c r="C10" s="251"/>
      <c r="D10" s="251"/>
      <c r="E10" s="251"/>
      <c r="F10" s="252" t="s">
        <v>22</v>
      </c>
      <c r="G10" s="251"/>
      <c r="H10" s="251"/>
      <c r="I10" s="251"/>
      <c r="K10" s="251"/>
      <c r="L10" s="251"/>
      <c r="M10" s="251"/>
      <c r="N10" s="251"/>
      <c r="O10" s="251"/>
      <c r="P10" s="251"/>
      <c r="Q10" s="251"/>
      <c r="R10" s="252"/>
      <c r="S10" s="252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3"/>
    </row>
    <row r="11" spans="2:32" s="254" customFormat="1" ht="33" customHeight="1">
      <c r="B11" s="255"/>
      <c r="C11" s="256"/>
      <c r="D11" s="256"/>
      <c r="E11" s="256"/>
      <c r="F11" s="252" t="s">
        <v>49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8"/>
    </row>
    <row r="12" spans="2:32" s="34" customFormat="1" ht="19.5">
      <c r="B12" s="35" t="str">
        <f>'TOT-0412'!B14</f>
        <v>Desde el 01 al 30 de abril de 2013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2"/>
      <c r="Q12" s="10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3"/>
    </row>
    <row r="13" spans="2:32" s="8" customFormat="1" ht="16.5" customHeight="1" thickBot="1">
      <c r="B13" s="55"/>
      <c r="C13" s="11"/>
      <c r="D13" s="11"/>
      <c r="E13" s="11"/>
      <c r="F13" s="11"/>
      <c r="G13" s="86"/>
      <c r="H13" s="86"/>
      <c r="I13" s="11"/>
      <c r="J13" s="11"/>
      <c r="K13" s="11"/>
      <c r="L13" s="104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8" customFormat="1" ht="16.5" customHeight="1" thickBot="1" thickTop="1">
      <c r="B14" s="55"/>
      <c r="C14" s="11"/>
      <c r="D14" s="11"/>
      <c r="E14" s="11"/>
      <c r="F14" s="105" t="s">
        <v>24</v>
      </c>
      <c r="G14" s="106">
        <v>117.179</v>
      </c>
      <c r="H14" s="10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00"/>
    </row>
    <row r="15" spans="2:32" s="8" customFormat="1" ht="16.5" customHeight="1" thickBot="1" thickTop="1">
      <c r="B15" s="55"/>
      <c r="C15" s="11"/>
      <c r="D15" s="11"/>
      <c r="E15" s="11"/>
      <c r="F15" s="105" t="s">
        <v>25</v>
      </c>
      <c r="G15" s="106" t="s">
        <v>420</v>
      </c>
      <c r="H15" s="107"/>
      <c r="I15" s="11"/>
      <c r="J15" s="11"/>
      <c r="K15" s="11"/>
      <c r="L15" s="108"/>
      <c r="M15" s="10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0"/>
      <c r="Y15" s="110"/>
      <c r="Z15" s="110"/>
      <c r="AA15" s="110"/>
      <c r="AB15" s="110"/>
      <c r="AC15" s="110"/>
      <c r="AD15" s="110"/>
      <c r="AF15" s="100"/>
    </row>
    <row r="16" spans="2:32" s="8" customFormat="1" ht="16.5" customHeight="1" thickBot="1" thickTop="1">
      <c r="B16" s="55"/>
      <c r="C16" s="111">
        <v>3</v>
      </c>
      <c r="D16" s="111">
        <v>4</v>
      </c>
      <c r="E16" s="111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11">
        <v>12</v>
      </c>
      <c r="M16" s="111">
        <v>13</v>
      </c>
      <c r="N16" s="111">
        <v>14</v>
      </c>
      <c r="O16" s="111">
        <v>15</v>
      </c>
      <c r="P16" s="111">
        <v>16</v>
      </c>
      <c r="Q16" s="111">
        <v>17</v>
      </c>
      <c r="R16" s="111">
        <v>18</v>
      </c>
      <c r="S16" s="111">
        <v>19</v>
      </c>
      <c r="T16" s="111">
        <v>20</v>
      </c>
      <c r="U16" s="111">
        <v>21</v>
      </c>
      <c r="V16" s="111">
        <v>22</v>
      </c>
      <c r="W16" s="111">
        <v>23</v>
      </c>
      <c r="X16" s="111">
        <v>24</v>
      </c>
      <c r="Y16" s="111">
        <v>25</v>
      </c>
      <c r="Z16" s="111">
        <v>26</v>
      </c>
      <c r="AA16" s="111">
        <v>27</v>
      </c>
      <c r="AB16" s="111">
        <v>28</v>
      </c>
      <c r="AC16" s="111">
        <v>29</v>
      </c>
      <c r="AD16" s="111">
        <v>30</v>
      </c>
      <c r="AE16" s="111">
        <v>31</v>
      </c>
      <c r="AF16" s="100"/>
    </row>
    <row r="17" spans="2:32" s="8" customFormat="1" ht="33.75" customHeight="1" thickBot="1" thickTop="1">
      <c r="B17" s="55"/>
      <c r="C17" s="112" t="s">
        <v>26</v>
      </c>
      <c r="D17" s="112" t="s">
        <v>27</v>
      </c>
      <c r="E17" s="112" t="s">
        <v>28</v>
      </c>
      <c r="F17" s="113" t="s">
        <v>5</v>
      </c>
      <c r="G17" s="114" t="s">
        <v>29</v>
      </c>
      <c r="H17" s="115" t="s">
        <v>30</v>
      </c>
      <c r="I17" s="116" t="s">
        <v>31</v>
      </c>
      <c r="J17" s="117" t="s">
        <v>32</v>
      </c>
      <c r="K17" s="118" t="s">
        <v>33</v>
      </c>
      <c r="L17" s="113" t="s">
        <v>34</v>
      </c>
      <c r="M17" s="119" t="s">
        <v>35</v>
      </c>
      <c r="N17" s="120" t="s">
        <v>36</v>
      </c>
      <c r="O17" s="115" t="s">
        <v>37</v>
      </c>
      <c r="P17" s="120" t="s">
        <v>296</v>
      </c>
      <c r="Q17" s="115" t="s">
        <v>38</v>
      </c>
      <c r="R17" s="119" t="s">
        <v>39</v>
      </c>
      <c r="S17" s="113" t="s">
        <v>40</v>
      </c>
      <c r="T17" s="121" t="s">
        <v>41</v>
      </c>
      <c r="U17" s="122" t="s">
        <v>42</v>
      </c>
      <c r="V17" s="123" t="s">
        <v>43</v>
      </c>
      <c r="W17" s="124"/>
      <c r="X17" s="125"/>
      <c r="Y17" s="126" t="s">
        <v>44</v>
      </c>
      <c r="Z17" s="127"/>
      <c r="AA17" s="128"/>
      <c r="AB17" s="129" t="s">
        <v>45</v>
      </c>
      <c r="AC17" s="130" t="s">
        <v>46</v>
      </c>
      <c r="AD17" s="131" t="s">
        <v>47</v>
      </c>
      <c r="AE17" s="131" t="s">
        <v>48</v>
      </c>
      <c r="AF17" s="132"/>
    </row>
    <row r="18" spans="2:32" s="8" customFormat="1" ht="16.5" customHeight="1" thickTop="1">
      <c r="B18" s="55"/>
      <c r="C18" s="133"/>
      <c r="D18" s="133"/>
      <c r="E18" s="133"/>
      <c r="F18" s="134"/>
      <c r="G18" s="134"/>
      <c r="H18" s="135"/>
      <c r="I18" s="136"/>
      <c r="J18" s="137"/>
      <c r="K18" s="138"/>
      <c r="L18" s="139"/>
      <c r="M18" s="139"/>
      <c r="N18" s="136"/>
      <c r="O18" s="136"/>
      <c r="P18" s="136"/>
      <c r="Q18" s="136"/>
      <c r="R18" s="136"/>
      <c r="S18" s="136"/>
      <c r="T18" s="140"/>
      <c r="U18" s="141"/>
      <c r="V18" s="142"/>
      <c r="W18" s="143"/>
      <c r="X18" s="144"/>
      <c r="Y18" s="145"/>
      <c r="Z18" s="146"/>
      <c r="AA18" s="147"/>
      <c r="AB18" s="148"/>
      <c r="AC18" s="149"/>
      <c r="AD18" s="136"/>
      <c r="AE18" s="150"/>
      <c r="AF18" s="100"/>
    </row>
    <row r="19" spans="2:32" s="8" customFormat="1" ht="16.5" customHeight="1">
      <c r="B19" s="55"/>
      <c r="C19" s="259"/>
      <c r="D19" s="259"/>
      <c r="E19" s="259"/>
      <c r="F19" s="195"/>
      <c r="G19" s="196"/>
      <c r="H19" s="197"/>
      <c r="I19" s="196"/>
      <c r="J19" s="173">
        <f aca="true" t="shared" si="0" ref="J19:J39">IF(I19="A",200,IF(I19="B",60,20))</f>
        <v>20</v>
      </c>
      <c r="K19" s="174" t="e">
        <f aca="true" t="shared" si="1" ref="K19:K39">IF(G19=500,IF(H19&lt;100,100*$G$14/100,H19*$G$14/100),IF(H19&lt;100,100*$G$15/100,H19*$G$15/100))</f>
        <v>#VALUE!</v>
      </c>
      <c r="L19" s="175"/>
      <c r="M19" s="176"/>
      <c r="N19" s="177">
        <f aca="true" t="shared" si="2" ref="N19:N39">IF(F19="","",(M19-L19)*24)</f>
      </c>
      <c r="O19" s="178">
        <f aca="true" t="shared" si="3" ref="O19:O39">IF(F19="","",ROUND((M19-L19)*24*60,0))</f>
      </c>
      <c r="P19" s="179"/>
      <c r="Q19" s="180">
        <f aca="true" t="shared" si="4" ref="Q19:Q39">IF(F19="","","--")</f>
      </c>
      <c r="R19" s="181">
        <f aca="true" t="shared" si="5" ref="R19:R39">IF(F19="","","NO")</f>
      </c>
      <c r="S19" s="181">
        <f aca="true" t="shared" si="6" ref="S19:S39">IF(F19="","",IF(OR(P19="P",P19="RP"),"--","NO"))</f>
      </c>
      <c r="T19" s="260" t="str">
        <f aca="true" t="shared" si="7" ref="T19:T39">IF(P19="P",K19*J19*ROUND(O19/60,2)*0.01,"--")</f>
        <v>--</v>
      </c>
      <c r="U19" s="261" t="str">
        <f aca="true" t="shared" si="8" ref="U19:U39">IF(P19="RP",K19*J19*ROUND(O19/60,2)*0.01*Q19/100,"--")</f>
        <v>--</v>
      </c>
      <c r="V19" s="262" t="str">
        <f aca="true" t="shared" si="9" ref="V19:V39">IF(AND(P19="F",S19="NO"),K19*J19*IF(R19="SI",1.2,1),"--")</f>
        <v>--</v>
      </c>
      <c r="W19" s="263" t="str">
        <f aca="true" t="shared" si="10" ref="W19:W39">IF(AND(P19="F",O19&gt;=10),K19*J19*IF(R19="SI",1.2,1)*IF(O19&lt;=300,ROUND(O19/60,2),5),"--")</f>
        <v>--</v>
      </c>
      <c r="X19" s="264" t="str">
        <f aca="true" t="shared" si="11" ref="X19:X39">IF(AND(P19="F",O19&gt;300),(ROUND(O19/60,2)-5)*K19*J19*0.1*IF(R19="SI",1.2,1),"--")</f>
        <v>--</v>
      </c>
      <c r="Y19" s="265" t="str">
        <f aca="true" t="shared" si="12" ref="Y19:Y39">IF(AND(P19="R",S19="NO"),K19*J19*Q19/100*IF(R19="SI",1.2,1),"--")</f>
        <v>--</v>
      </c>
      <c r="Z19" s="266" t="str">
        <f aca="true" t="shared" si="13" ref="Z19:Z39">IF(AND(P19="R",O19&gt;=10),K19*J19*Q19/100*IF(R19="SI",1.2,1)*IF(O19&lt;=300,ROUND(O19/60,2),5),"--")</f>
        <v>--</v>
      </c>
      <c r="AA19" s="267" t="str">
        <f aca="true" t="shared" si="14" ref="AA19:AA39">IF(AND(P19="R",O19&gt;300),(ROUND(O19/60,2)-5)*K19*J19*0.1*Q19/100*IF(R19="SI",1.2,1),"--")</f>
        <v>--</v>
      </c>
      <c r="AB19" s="268" t="str">
        <f aca="true" t="shared" si="15" ref="AB19:AB39">IF(P19="RF",ROUND(O19/60,2)*K19*J19*0.1*IF(R19="SI",1.2,1),"--")</f>
        <v>--</v>
      </c>
      <c r="AC19" s="269" t="str">
        <f aca="true" t="shared" si="16" ref="AC19:AC39">IF(P19="RR",ROUND(O19/60,2)*K19*J19*0.1*Q19/100*IF(R19="SI",1.2,1),"--")</f>
        <v>--</v>
      </c>
      <c r="AD19" s="270">
        <f aca="true" t="shared" si="17" ref="AD19:AD39">IF(F19="","","SI")</f>
      </c>
      <c r="AE19" s="193">
        <f aca="true" t="shared" si="18" ref="AE19:AE39">IF(F19="","",SUM(T19:AC19)*IF(AD19="SI",1,2))</f>
      </c>
      <c r="AF19" s="100"/>
    </row>
    <row r="20" spans="2:32" s="8" customFormat="1" ht="16.5" customHeight="1">
      <c r="B20" s="55"/>
      <c r="C20" s="259">
        <v>14</v>
      </c>
      <c r="D20" s="259">
        <v>259694</v>
      </c>
      <c r="E20" s="259">
        <v>1617</v>
      </c>
      <c r="F20" s="195" t="s">
        <v>319</v>
      </c>
      <c r="G20" s="196">
        <v>500</v>
      </c>
      <c r="H20" s="197">
        <v>40</v>
      </c>
      <c r="I20" s="196" t="s">
        <v>308</v>
      </c>
      <c r="J20" s="173">
        <f t="shared" si="0"/>
        <v>20</v>
      </c>
      <c r="K20" s="174">
        <f t="shared" si="1"/>
        <v>117.179</v>
      </c>
      <c r="L20" s="175">
        <v>41382.32013888889</v>
      </c>
      <c r="M20" s="176">
        <v>41382.52222222222</v>
      </c>
      <c r="N20" s="177">
        <f t="shared" si="2"/>
        <v>4.849999999918509</v>
      </c>
      <c r="O20" s="178">
        <f t="shared" si="3"/>
        <v>291</v>
      </c>
      <c r="P20" s="179" t="s">
        <v>309</v>
      </c>
      <c r="Q20" s="180" t="str">
        <f t="shared" si="4"/>
        <v>--</v>
      </c>
      <c r="R20" s="181" t="str">
        <f t="shared" si="5"/>
        <v>NO</v>
      </c>
      <c r="S20" s="181" t="str">
        <f t="shared" si="6"/>
        <v>--</v>
      </c>
      <c r="T20" s="260">
        <f t="shared" si="7"/>
        <v>113.66363</v>
      </c>
      <c r="U20" s="261" t="str">
        <f t="shared" si="8"/>
        <v>--</v>
      </c>
      <c r="V20" s="262" t="str">
        <f t="shared" si="9"/>
        <v>--</v>
      </c>
      <c r="W20" s="263" t="str">
        <f t="shared" si="10"/>
        <v>--</v>
      </c>
      <c r="X20" s="264" t="str">
        <f t="shared" si="11"/>
        <v>--</v>
      </c>
      <c r="Y20" s="265" t="str">
        <f t="shared" si="12"/>
        <v>--</v>
      </c>
      <c r="Z20" s="266" t="str">
        <f t="shared" si="13"/>
        <v>--</v>
      </c>
      <c r="AA20" s="267" t="str">
        <f t="shared" si="14"/>
        <v>--</v>
      </c>
      <c r="AB20" s="268" t="str">
        <f t="shared" si="15"/>
        <v>--</v>
      </c>
      <c r="AC20" s="269" t="str">
        <f t="shared" si="16"/>
        <v>--</v>
      </c>
      <c r="AD20" s="192" t="s">
        <v>80</v>
      </c>
      <c r="AE20" s="193">
        <f t="shared" si="18"/>
        <v>113.66363</v>
      </c>
      <c r="AF20" s="194"/>
    </row>
    <row r="21" spans="2:32" s="8" customFormat="1" ht="16.5" customHeight="1">
      <c r="B21" s="55"/>
      <c r="C21" s="151"/>
      <c r="D21" s="151"/>
      <c r="E21" s="151"/>
      <c r="F21" s="195"/>
      <c r="G21" s="196"/>
      <c r="H21" s="197"/>
      <c r="I21" s="196"/>
      <c r="J21" s="173">
        <f t="shared" si="0"/>
        <v>20</v>
      </c>
      <c r="K21" s="174" t="e">
        <f t="shared" si="1"/>
        <v>#VALUE!</v>
      </c>
      <c r="L21" s="175"/>
      <c r="M21" s="176"/>
      <c r="N21" s="177">
        <f t="shared" si="2"/>
      </c>
      <c r="O21" s="178">
        <f t="shared" si="3"/>
      </c>
      <c r="P21" s="179"/>
      <c r="Q21" s="180">
        <f t="shared" si="4"/>
      </c>
      <c r="R21" s="181">
        <f t="shared" si="5"/>
      </c>
      <c r="S21" s="181">
        <f t="shared" si="6"/>
      </c>
      <c r="T21" s="260" t="str">
        <f t="shared" si="7"/>
        <v>--</v>
      </c>
      <c r="U21" s="261" t="str">
        <f t="shared" si="8"/>
        <v>--</v>
      </c>
      <c r="V21" s="262" t="str">
        <f t="shared" si="9"/>
        <v>--</v>
      </c>
      <c r="W21" s="263" t="str">
        <f t="shared" si="10"/>
        <v>--</v>
      </c>
      <c r="X21" s="264" t="str">
        <f t="shared" si="11"/>
        <v>--</v>
      </c>
      <c r="Y21" s="265" t="str">
        <f t="shared" si="12"/>
        <v>--</v>
      </c>
      <c r="Z21" s="266" t="str">
        <f t="shared" si="13"/>
        <v>--</v>
      </c>
      <c r="AA21" s="267" t="str">
        <f t="shared" si="14"/>
        <v>--</v>
      </c>
      <c r="AB21" s="268" t="str">
        <f t="shared" si="15"/>
        <v>--</v>
      </c>
      <c r="AC21" s="269" t="str">
        <f t="shared" si="16"/>
        <v>--</v>
      </c>
      <c r="AD21" s="192">
        <f t="shared" si="17"/>
      </c>
      <c r="AE21" s="193">
        <f t="shared" si="18"/>
      </c>
      <c r="AF21" s="194"/>
    </row>
    <row r="22" spans="2:32" s="8" customFormat="1" ht="16.5" customHeight="1">
      <c r="B22" s="55"/>
      <c r="C22" s="170"/>
      <c r="D22" s="170"/>
      <c r="E22" s="170"/>
      <c r="F22" s="195"/>
      <c r="G22" s="196"/>
      <c r="H22" s="197"/>
      <c r="I22" s="196"/>
      <c r="J22" s="173">
        <f t="shared" si="0"/>
        <v>20</v>
      </c>
      <c r="K22" s="174" t="e">
        <f t="shared" si="1"/>
        <v>#VALUE!</v>
      </c>
      <c r="L22" s="198"/>
      <c r="M22" s="199"/>
      <c r="N22" s="177">
        <f t="shared" si="2"/>
      </c>
      <c r="O22" s="178">
        <f t="shared" si="3"/>
      </c>
      <c r="P22" s="179"/>
      <c r="Q22" s="180">
        <f t="shared" si="4"/>
      </c>
      <c r="R22" s="181">
        <f t="shared" si="5"/>
      </c>
      <c r="S22" s="181">
        <f t="shared" si="6"/>
      </c>
      <c r="T22" s="260" t="str">
        <f t="shared" si="7"/>
        <v>--</v>
      </c>
      <c r="U22" s="261" t="str">
        <f t="shared" si="8"/>
        <v>--</v>
      </c>
      <c r="V22" s="262" t="str">
        <f t="shared" si="9"/>
        <v>--</v>
      </c>
      <c r="W22" s="263" t="str">
        <f t="shared" si="10"/>
        <v>--</v>
      </c>
      <c r="X22" s="264" t="str">
        <f t="shared" si="11"/>
        <v>--</v>
      </c>
      <c r="Y22" s="265" t="str">
        <f t="shared" si="12"/>
        <v>--</v>
      </c>
      <c r="Z22" s="266" t="str">
        <f t="shared" si="13"/>
        <v>--</v>
      </c>
      <c r="AA22" s="267" t="str">
        <f t="shared" si="14"/>
        <v>--</v>
      </c>
      <c r="AB22" s="268" t="str">
        <f t="shared" si="15"/>
        <v>--</v>
      </c>
      <c r="AC22" s="269" t="str">
        <f t="shared" si="16"/>
        <v>--</v>
      </c>
      <c r="AD22" s="192">
        <f t="shared" si="17"/>
      </c>
      <c r="AE22" s="193">
        <f t="shared" si="18"/>
      </c>
      <c r="AF22" s="194"/>
    </row>
    <row r="23" spans="2:32" s="8" customFormat="1" ht="16.5" customHeight="1">
      <c r="B23" s="55"/>
      <c r="C23" s="151"/>
      <c r="D23" s="151"/>
      <c r="E23" s="151"/>
      <c r="F23" s="195"/>
      <c r="G23" s="196"/>
      <c r="H23" s="197"/>
      <c r="I23" s="196"/>
      <c r="J23" s="173">
        <f t="shared" si="0"/>
        <v>20</v>
      </c>
      <c r="K23" s="174" t="e">
        <f t="shared" si="1"/>
        <v>#VALUE!</v>
      </c>
      <c r="L23" s="198"/>
      <c r="M23" s="199"/>
      <c r="N23" s="177">
        <f t="shared" si="2"/>
      </c>
      <c r="O23" s="178">
        <f t="shared" si="3"/>
      </c>
      <c r="P23" s="179"/>
      <c r="Q23" s="180">
        <f t="shared" si="4"/>
      </c>
      <c r="R23" s="181">
        <f t="shared" si="5"/>
      </c>
      <c r="S23" s="181">
        <f t="shared" si="6"/>
      </c>
      <c r="T23" s="260" t="str">
        <f t="shared" si="7"/>
        <v>--</v>
      </c>
      <c r="U23" s="261" t="str">
        <f t="shared" si="8"/>
        <v>--</v>
      </c>
      <c r="V23" s="262" t="str">
        <f t="shared" si="9"/>
        <v>--</v>
      </c>
      <c r="W23" s="263" t="str">
        <f t="shared" si="10"/>
        <v>--</v>
      </c>
      <c r="X23" s="264" t="str">
        <f t="shared" si="11"/>
        <v>--</v>
      </c>
      <c r="Y23" s="265" t="str">
        <f t="shared" si="12"/>
        <v>--</v>
      </c>
      <c r="Z23" s="266" t="str">
        <f t="shared" si="13"/>
        <v>--</v>
      </c>
      <c r="AA23" s="267" t="str">
        <f t="shared" si="14"/>
        <v>--</v>
      </c>
      <c r="AB23" s="268" t="str">
        <f t="shared" si="15"/>
        <v>--</v>
      </c>
      <c r="AC23" s="269" t="str">
        <f t="shared" si="16"/>
        <v>--</v>
      </c>
      <c r="AD23" s="192">
        <f t="shared" si="17"/>
      </c>
      <c r="AE23" s="193">
        <f t="shared" si="18"/>
      </c>
      <c r="AF23" s="194"/>
    </row>
    <row r="24" spans="2:32" s="8" customFormat="1" ht="16.5" customHeight="1">
      <c r="B24" s="55"/>
      <c r="C24" s="170"/>
      <c r="D24" s="170"/>
      <c r="E24" s="170"/>
      <c r="F24" s="170"/>
      <c r="G24" s="171"/>
      <c r="H24" s="172"/>
      <c r="I24" s="171"/>
      <c r="J24" s="173">
        <f t="shared" si="0"/>
        <v>20</v>
      </c>
      <c r="K24" s="174" t="e">
        <f t="shared" si="1"/>
        <v>#VALUE!</v>
      </c>
      <c r="L24" s="175"/>
      <c r="M24" s="176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6"/>
      </c>
      <c r="T24" s="260" t="str">
        <f t="shared" si="7"/>
        <v>--</v>
      </c>
      <c r="U24" s="261" t="str">
        <f t="shared" si="8"/>
        <v>--</v>
      </c>
      <c r="V24" s="262" t="str">
        <f t="shared" si="9"/>
        <v>--</v>
      </c>
      <c r="W24" s="263" t="str">
        <f t="shared" si="10"/>
        <v>--</v>
      </c>
      <c r="X24" s="264" t="str">
        <f t="shared" si="11"/>
        <v>--</v>
      </c>
      <c r="Y24" s="265" t="str">
        <f t="shared" si="12"/>
        <v>--</v>
      </c>
      <c r="Z24" s="266" t="str">
        <f t="shared" si="13"/>
        <v>--</v>
      </c>
      <c r="AA24" s="267" t="str">
        <f t="shared" si="14"/>
        <v>--</v>
      </c>
      <c r="AB24" s="268" t="str">
        <f t="shared" si="15"/>
        <v>--</v>
      </c>
      <c r="AC24" s="269" t="str">
        <f t="shared" si="16"/>
        <v>--</v>
      </c>
      <c r="AD24" s="192">
        <f t="shared" si="17"/>
      </c>
      <c r="AE24" s="193">
        <f t="shared" si="18"/>
      </c>
      <c r="AF24" s="194"/>
    </row>
    <row r="25" spans="2:32" s="8" customFormat="1" ht="16.5" customHeight="1">
      <c r="B25" s="55"/>
      <c r="C25" s="151"/>
      <c r="D25" s="151"/>
      <c r="E25" s="151"/>
      <c r="F25" s="170"/>
      <c r="G25" s="171"/>
      <c r="H25" s="172"/>
      <c r="I25" s="171"/>
      <c r="J25" s="173">
        <f t="shared" si="0"/>
        <v>20</v>
      </c>
      <c r="K25" s="174" t="e">
        <f t="shared" si="1"/>
        <v>#VALUE!</v>
      </c>
      <c r="L25" s="175"/>
      <c r="M25" s="176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6"/>
      </c>
      <c r="T25" s="260" t="str">
        <f t="shared" si="7"/>
        <v>--</v>
      </c>
      <c r="U25" s="261" t="str">
        <f t="shared" si="8"/>
        <v>--</v>
      </c>
      <c r="V25" s="262" t="str">
        <f t="shared" si="9"/>
        <v>--</v>
      </c>
      <c r="W25" s="263" t="str">
        <f t="shared" si="10"/>
        <v>--</v>
      </c>
      <c r="X25" s="264" t="str">
        <f t="shared" si="11"/>
        <v>--</v>
      </c>
      <c r="Y25" s="265" t="str">
        <f t="shared" si="12"/>
        <v>--</v>
      </c>
      <c r="Z25" s="266" t="str">
        <f t="shared" si="13"/>
        <v>--</v>
      </c>
      <c r="AA25" s="267" t="str">
        <f t="shared" si="14"/>
        <v>--</v>
      </c>
      <c r="AB25" s="268" t="str">
        <f t="shared" si="15"/>
        <v>--</v>
      </c>
      <c r="AC25" s="269" t="str">
        <f t="shared" si="16"/>
        <v>--</v>
      </c>
      <c r="AD25" s="192">
        <f t="shared" si="17"/>
      </c>
      <c r="AE25" s="193">
        <f t="shared" si="18"/>
      </c>
      <c r="AF25" s="194"/>
    </row>
    <row r="26" spans="2:32" s="8" customFormat="1" ht="16.5" customHeight="1">
      <c r="B26" s="55"/>
      <c r="C26" s="170"/>
      <c r="D26" s="170"/>
      <c r="E26" s="170"/>
      <c r="F26" s="200"/>
      <c r="G26" s="201"/>
      <c r="H26" s="202"/>
      <c r="I26" s="201"/>
      <c r="J26" s="173">
        <f t="shared" si="0"/>
        <v>20</v>
      </c>
      <c r="K26" s="174" t="e">
        <f t="shared" si="1"/>
        <v>#VALUE!</v>
      </c>
      <c r="L26" s="203"/>
      <c r="M26" s="204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6"/>
      </c>
      <c r="T26" s="260" t="str">
        <f t="shared" si="7"/>
        <v>--</v>
      </c>
      <c r="U26" s="261" t="str">
        <f t="shared" si="8"/>
        <v>--</v>
      </c>
      <c r="V26" s="262" t="str">
        <f t="shared" si="9"/>
        <v>--</v>
      </c>
      <c r="W26" s="263" t="str">
        <f t="shared" si="10"/>
        <v>--</v>
      </c>
      <c r="X26" s="264" t="str">
        <f t="shared" si="11"/>
        <v>--</v>
      </c>
      <c r="Y26" s="265" t="str">
        <f t="shared" si="12"/>
        <v>--</v>
      </c>
      <c r="Z26" s="266" t="str">
        <f t="shared" si="13"/>
        <v>--</v>
      </c>
      <c r="AA26" s="267" t="str">
        <f t="shared" si="14"/>
        <v>--</v>
      </c>
      <c r="AB26" s="268" t="str">
        <f t="shared" si="15"/>
        <v>--</v>
      </c>
      <c r="AC26" s="269" t="str">
        <f t="shared" si="16"/>
        <v>--</v>
      </c>
      <c r="AD26" s="192">
        <f t="shared" si="17"/>
      </c>
      <c r="AE26" s="193">
        <f t="shared" si="18"/>
      </c>
      <c r="AF26" s="194"/>
    </row>
    <row r="27" spans="2:32" s="8" customFormat="1" ht="16.5" customHeight="1">
      <c r="B27" s="55"/>
      <c r="C27" s="151"/>
      <c r="D27" s="151"/>
      <c r="E27" s="151"/>
      <c r="F27" s="200"/>
      <c r="G27" s="201"/>
      <c r="H27" s="202"/>
      <c r="I27" s="201"/>
      <c r="J27" s="173">
        <f t="shared" si="0"/>
        <v>20</v>
      </c>
      <c r="K27" s="174" t="e">
        <f t="shared" si="1"/>
        <v>#VALUE!</v>
      </c>
      <c r="L27" s="203"/>
      <c r="M27" s="204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6"/>
      </c>
      <c r="T27" s="260" t="str">
        <f t="shared" si="7"/>
        <v>--</v>
      </c>
      <c r="U27" s="261" t="str">
        <f t="shared" si="8"/>
        <v>--</v>
      </c>
      <c r="V27" s="262" t="str">
        <f t="shared" si="9"/>
        <v>--</v>
      </c>
      <c r="W27" s="263" t="str">
        <f t="shared" si="10"/>
        <v>--</v>
      </c>
      <c r="X27" s="264" t="str">
        <f t="shared" si="11"/>
        <v>--</v>
      </c>
      <c r="Y27" s="265" t="str">
        <f t="shared" si="12"/>
        <v>--</v>
      </c>
      <c r="Z27" s="266" t="str">
        <f t="shared" si="13"/>
        <v>--</v>
      </c>
      <c r="AA27" s="267" t="str">
        <f t="shared" si="14"/>
        <v>--</v>
      </c>
      <c r="AB27" s="268" t="str">
        <f t="shared" si="15"/>
        <v>--</v>
      </c>
      <c r="AC27" s="269" t="str">
        <f t="shared" si="16"/>
        <v>--</v>
      </c>
      <c r="AD27" s="192">
        <f t="shared" si="17"/>
      </c>
      <c r="AE27" s="193">
        <f t="shared" si="18"/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>
        <f t="shared" si="0"/>
        <v>20</v>
      </c>
      <c r="K28" s="174" t="e">
        <f t="shared" si="1"/>
        <v>#VALUE!</v>
      </c>
      <c r="L28" s="203"/>
      <c r="M28" s="204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6"/>
      </c>
      <c r="T28" s="260" t="str">
        <f t="shared" si="7"/>
        <v>--</v>
      </c>
      <c r="U28" s="261" t="str">
        <f t="shared" si="8"/>
        <v>--</v>
      </c>
      <c r="V28" s="262" t="str">
        <f t="shared" si="9"/>
        <v>--</v>
      </c>
      <c r="W28" s="263" t="str">
        <f t="shared" si="10"/>
        <v>--</v>
      </c>
      <c r="X28" s="264" t="str">
        <f t="shared" si="11"/>
        <v>--</v>
      </c>
      <c r="Y28" s="265" t="str">
        <f t="shared" si="12"/>
        <v>--</v>
      </c>
      <c r="Z28" s="266" t="str">
        <f t="shared" si="13"/>
        <v>--</v>
      </c>
      <c r="AA28" s="267" t="str">
        <f t="shared" si="14"/>
        <v>--</v>
      </c>
      <c r="AB28" s="268" t="str">
        <f t="shared" si="15"/>
        <v>--</v>
      </c>
      <c r="AC28" s="269" t="str">
        <f t="shared" si="16"/>
        <v>--</v>
      </c>
      <c r="AD28" s="192">
        <f t="shared" si="17"/>
      </c>
      <c r="AE28" s="193">
        <f t="shared" si="18"/>
      </c>
      <c r="AF28" s="194"/>
    </row>
    <row r="29" spans="2:32" s="8" customFormat="1" ht="16.5" customHeight="1">
      <c r="B29" s="55"/>
      <c r="C29" s="151"/>
      <c r="D29" s="151"/>
      <c r="E29" s="151"/>
      <c r="F29" s="200"/>
      <c r="G29" s="201"/>
      <c r="H29" s="202"/>
      <c r="I29" s="201"/>
      <c r="J29" s="173">
        <f t="shared" si="0"/>
        <v>20</v>
      </c>
      <c r="K29" s="174" t="e">
        <f t="shared" si="1"/>
        <v>#VALUE!</v>
      </c>
      <c r="L29" s="203"/>
      <c r="M29" s="204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6"/>
      </c>
      <c r="T29" s="260" t="str">
        <f t="shared" si="7"/>
        <v>--</v>
      </c>
      <c r="U29" s="261" t="str">
        <f t="shared" si="8"/>
        <v>--</v>
      </c>
      <c r="V29" s="262" t="str">
        <f t="shared" si="9"/>
        <v>--</v>
      </c>
      <c r="W29" s="263" t="str">
        <f t="shared" si="10"/>
        <v>--</v>
      </c>
      <c r="X29" s="264" t="str">
        <f t="shared" si="11"/>
        <v>--</v>
      </c>
      <c r="Y29" s="265" t="str">
        <f t="shared" si="12"/>
        <v>--</v>
      </c>
      <c r="Z29" s="266" t="str">
        <f t="shared" si="13"/>
        <v>--</v>
      </c>
      <c r="AA29" s="267" t="str">
        <f t="shared" si="14"/>
        <v>--</v>
      </c>
      <c r="AB29" s="268" t="str">
        <f t="shared" si="15"/>
        <v>--</v>
      </c>
      <c r="AC29" s="269" t="str">
        <f t="shared" si="16"/>
        <v>--</v>
      </c>
      <c r="AD29" s="192">
        <f t="shared" si="17"/>
      </c>
      <c r="AE29" s="193">
        <f t="shared" si="18"/>
      </c>
      <c r="AF29" s="194"/>
    </row>
    <row r="30" spans="2:32" s="8" customFormat="1" ht="16.5" customHeight="1">
      <c r="B30" s="55"/>
      <c r="C30" s="170"/>
      <c r="D30" s="170"/>
      <c r="E30" s="170"/>
      <c r="F30" s="200"/>
      <c r="G30" s="201"/>
      <c r="H30" s="202"/>
      <c r="I30" s="201"/>
      <c r="J30" s="173">
        <f t="shared" si="0"/>
        <v>20</v>
      </c>
      <c r="K30" s="174" t="e">
        <f t="shared" si="1"/>
        <v>#VALUE!</v>
      </c>
      <c r="L30" s="203"/>
      <c r="M30" s="204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6"/>
      </c>
      <c r="T30" s="260" t="str">
        <f t="shared" si="7"/>
        <v>--</v>
      </c>
      <c r="U30" s="261" t="str">
        <f t="shared" si="8"/>
        <v>--</v>
      </c>
      <c r="V30" s="262" t="str">
        <f t="shared" si="9"/>
        <v>--</v>
      </c>
      <c r="W30" s="263" t="str">
        <f t="shared" si="10"/>
        <v>--</v>
      </c>
      <c r="X30" s="264" t="str">
        <f t="shared" si="11"/>
        <v>--</v>
      </c>
      <c r="Y30" s="265" t="str">
        <f t="shared" si="12"/>
        <v>--</v>
      </c>
      <c r="Z30" s="266" t="str">
        <f t="shared" si="13"/>
        <v>--</v>
      </c>
      <c r="AA30" s="267" t="str">
        <f t="shared" si="14"/>
        <v>--</v>
      </c>
      <c r="AB30" s="268" t="str">
        <f t="shared" si="15"/>
        <v>--</v>
      </c>
      <c r="AC30" s="269" t="str">
        <f t="shared" si="16"/>
        <v>--</v>
      </c>
      <c r="AD30" s="192">
        <f t="shared" si="17"/>
      </c>
      <c r="AE30" s="193">
        <f t="shared" si="18"/>
      </c>
      <c r="AF30" s="194"/>
    </row>
    <row r="31" spans="2:32" s="8" customFormat="1" ht="16.5" customHeight="1">
      <c r="B31" s="55"/>
      <c r="C31" s="151"/>
      <c r="D31" s="151"/>
      <c r="E31" s="151"/>
      <c r="F31" s="200"/>
      <c r="G31" s="201"/>
      <c r="H31" s="202"/>
      <c r="I31" s="201"/>
      <c r="J31" s="173">
        <f t="shared" si="0"/>
        <v>20</v>
      </c>
      <c r="K31" s="174" t="e">
        <f t="shared" si="1"/>
        <v>#VALUE!</v>
      </c>
      <c r="L31" s="203"/>
      <c r="M31" s="205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6"/>
      </c>
      <c r="T31" s="260" t="str">
        <f t="shared" si="7"/>
        <v>--</v>
      </c>
      <c r="U31" s="261" t="str">
        <f t="shared" si="8"/>
        <v>--</v>
      </c>
      <c r="V31" s="262" t="str">
        <f t="shared" si="9"/>
        <v>--</v>
      </c>
      <c r="W31" s="263" t="str">
        <f t="shared" si="10"/>
        <v>--</v>
      </c>
      <c r="X31" s="264" t="str">
        <f t="shared" si="11"/>
        <v>--</v>
      </c>
      <c r="Y31" s="265" t="str">
        <f t="shared" si="12"/>
        <v>--</v>
      </c>
      <c r="Z31" s="266" t="str">
        <f t="shared" si="13"/>
        <v>--</v>
      </c>
      <c r="AA31" s="267" t="str">
        <f t="shared" si="14"/>
        <v>--</v>
      </c>
      <c r="AB31" s="268" t="str">
        <f t="shared" si="15"/>
        <v>--</v>
      </c>
      <c r="AC31" s="269" t="str">
        <f t="shared" si="16"/>
        <v>--</v>
      </c>
      <c r="AD31" s="192">
        <f t="shared" si="17"/>
      </c>
      <c r="AE31" s="193">
        <f t="shared" si="18"/>
      </c>
      <c r="AF31" s="194"/>
    </row>
    <row r="32" spans="2:32" s="8" customFormat="1" ht="16.5" customHeight="1">
      <c r="B32" s="55"/>
      <c r="C32" s="170"/>
      <c r="D32" s="170"/>
      <c r="E32" s="170"/>
      <c r="F32" s="200"/>
      <c r="G32" s="201"/>
      <c r="H32" s="202"/>
      <c r="I32" s="201"/>
      <c r="J32" s="173">
        <f t="shared" si="0"/>
        <v>20</v>
      </c>
      <c r="K32" s="174" t="e">
        <f t="shared" si="1"/>
        <v>#VALUE!</v>
      </c>
      <c r="L32" s="203"/>
      <c r="M32" s="205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6"/>
      </c>
      <c r="T32" s="260" t="str">
        <f t="shared" si="7"/>
        <v>--</v>
      </c>
      <c r="U32" s="261" t="str">
        <f t="shared" si="8"/>
        <v>--</v>
      </c>
      <c r="V32" s="262" t="str">
        <f t="shared" si="9"/>
        <v>--</v>
      </c>
      <c r="W32" s="263" t="str">
        <f t="shared" si="10"/>
        <v>--</v>
      </c>
      <c r="X32" s="264" t="str">
        <f t="shared" si="11"/>
        <v>--</v>
      </c>
      <c r="Y32" s="265" t="str">
        <f t="shared" si="12"/>
        <v>--</v>
      </c>
      <c r="Z32" s="266" t="str">
        <f t="shared" si="13"/>
        <v>--</v>
      </c>
      <c r="AA32" s="267" t="str">
        <f t="shared" si="14"/>
        <v>--</v>
      </c>
      <c r="AB32" s="268" t="str">
        <f t="shared" si="15"/>
        <v>--</v>
      </c>
      <c r="AC32" s="269" t="str">
        <f t="shared" si="16"/>
        <v>--</v>
      </c>
      <c r="AD32" s="192">
        <f t="shared" si="17"/>
      </c>
      <c r="AE32" s="193">
        <f t="shared" si="18"/>
      </c>
      <c r="AF32" s="194"/>
    </row>
    <row r="33" spans="2:32" s="8" customFormat="1" ht="16.5" customHeight="1">
      <c r="B33" s="55"/>
      <c r="C33" s="151"/>
      <c r="D33" s="151"/>
      <c r="E33" s="151"/>
      <c r="F33" s="200"/>
      <c r="G33" s="201"/>
      <c r="H33" s="202"/>
      <c r="I33" s="201"/>
      <c r="J33" s="173">
        <f t="shared" si="0"/>
        <v>20</v>
      </c>
      <c r="K33" s="174" t="e">
        <f t="shared" si="1"/>
        <v>#VALUE!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6"/>
      </c>
      <c r="T33" s="260" t="str">
        <f t="shared" si="7"/>
        <v>--</v>
      </c>
      <c r="U33" s="261" t="str">
        <f t="shared" si="8"/>
        <v>--</v>
      </c>
      <c r="V33" s="262" t="str">
        <f t="shared" si="9"/>
        <v>--</v>
      </c>
      <c r="W33" s="263" t="str">
        <f t="shared" si="10"/>
        <v>--</v>
      </c>
      <c r="X33" s="264" t="str">
        <f t="shared" si="11"/>
        <v>--</v>
      </c>
      <c r="Y33" s="265" t="str">
        <f t="shared" si="12"/>
        <v>--</v>
      </c>
      <c r="Z33" s="266" t="str">
        <f t="shared" si="13"/>
        <v>--</v>
      </c>
      <c r="AA33" s="267" t="str">
        <f t="shared" si="14"/>
        <v>--</v>
      </c>
      <c r="AB33" s="268" t="str">
        <f t="shared" si="15"/>
        <v>--</v>
      </c>
      <c r="AC33" s="269" t="str">
        <f t="shared" si="16"/>
        <v>--</v>
      </c>
      <c r="AD33" s="192">
        <f t="shared" si="17"/>
      </c>
      <c r="AE33" s="193">
        <f t="shared" si="18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 t="e">
        <f t="shared" si="1"/>
        <v>#VALUE!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6"/>
      </c>
      <c r="T34" s="260" t="str">
        <f t="shared" si="7"/>
        <v>--</v>
      </c>
      <c r="U34" s="261" t="str">
        <f t="shared" si="8"/>
        <v>--</v>
      </c>
      <c r="V34" s="262" t="str">
        <f t="shared" si="9"/>
        <v>--</v>
      </c>
      <c r="W34" s="263" t="str">
        <f t="shared" si="10"/>
        <v>--</v>
      </c>
      <c r="X34" s="264" t="str">
        <f t="shared" si="11"/>
        <v>--</v>
      </c>
      <c r="Y34" s="265" t="str">
        <f t="shared" si="12"/>
        <v>--</v>
      </c>
      <c r="Z34" s="266" t="str">
        <f t="shared" si="13"/>
        <v>--</v>
      </c>
      <c r="AA34" s="267" t="str">
        <f t="shared" si="14"/>
        <v>--</v>
      </c>
      <c r="AB34" s="268" t="str">
        <f t="shared" si="15"/>
        <v>--</v>
      </c>
      <c r="AC34" s="269" t="str">
        <f t="shared" si="16"/>
        <v>--</v>
      </c>
      <c r="AD34" s="192">
        <f t="shared" si="17"/>
      </c>
      <c r="AE34" s="193">
        <f t="shared" si="18"/>
      </c>
      <c r="AF34" s="194"/>
    </row>
    <row r="35" spans="2:32" s="8" customFormat="1" ht="16.5" customHeight="1">
      <c r="B35" s="55"/>
      <c r="C35" s="151"/>
      <c r="D35" s="151"/>
      <c r="E35" s="151"/>
      <c r="F35" s="200"/>
      <c r="G35" s="201"/>
      <c r="H35" s="202"/>
      <c r="I35" s="201"/>
      <c r="J35" s="173">
        <f t="shared" si="0"/>
        <v>20</v>
      </c>
      <c r="K35" s="174" t="e">
        <f t="shared" si="1"/>
        <v>#VALUE!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6"/>
      </c>
      <c r="T35" s="260" t="str">
        <f t="shared" si="7"/>
        <v>--</v>
      </c>
      <c r="U35" s="261" t="str">
        <f t="shared" si="8"/>
        <v>--</v>
      </c>
      <c r="V35" s="262" t="str">
        <f t="shared" si="9"/>
        <v>--</v>
      </c>
      <c r="W35" s="263" t="str">
        <f t="shared" si="10"/>
        <v>--</v>
      </c>
      <c r="X35" s="264" t="str">
        <f t="shared" si="11"/>
        <v>--</v>
      </c>
      <c r="Y35" s="265" t="str">
        <f t="shared" si="12"/>
        <v>--</v>
      </c>
      <c r="Z35" s="266" t="str">
        <f t="shared" si="13"/>
        <v>--</v>
      </c>
      <c r="AA35" s="267" t="str">
        <f t="shared" si="14"/>
        <v>--</v>
      </c>
      <c r="AB35" s="268" t="str">
        <f t="shared" si="15"/>
        <v>--</v>
      </c>
      <c r="AC35" s="269" t="str">
        <f t="shared" si="16"/>
        <v>--</v>
      </c>
      <c r="AD35" s="192">
        <f t="shared" si="17"/>
      </c>
      <c r="AE35" s="193">
        <f t="shared" si="18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 t="e">
        <f t="shared" si="1"/>
        <v>#VALUE!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6"/>
      </c>
      <c r="T36" s="260" t="str">
        <f t="shared" si="7"/>
        <v>--</v>
      </c>
      <c r="U36" s="261" t="str">
        <f t="shared" si="8"/>
        <v>--</v>
      </c>
      <c r="V36" s="262" t="str">
        <f t="shared" si="9"/>
        <v>--</v>
      </c>
      <c r="W36" s="263" t="str">
        <f t="shared" si="10"/>
        <v>--</v>
      </c>
      <c r="X36" s="264" t="str">
        <f t="shared" si="11"/>
        <v>--</v>
      </c>
      <c r="Y36" s="265" t="str">
        <f t="shared" si="12"/>
        <v>--</v>
      </c>
      <c r="Z36" s="266" t="str">
        <f t="shared" si="13"/>
        <v>--</v>
      </c>
      <c r="AA36" s="267" t="str">
        <f t="shared" si="14"/>
        <v>--</v>
      </c>
      <c r="AB36" s="268" t="str">
        <f t="shared" si="15"/>
        <v>--</v>
      </c>
      <c r="AC36" s="269" t="str">
        <f t="shared" si="16"/>
        <v>--</v>
      </c>
      <c r="AD36" s="192">
        <f t="shared" si="17"/>
      </c>
      <c r="AE36" s="193">
        <f t="shared" si="18"/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 t="e">
        <f t="shared" si="1"/>
        <v>#VALUE!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6"/>
      </c>
      <c r="T37" s="260" t="str">
        <f t="shared" si="7"/>
        <v>--</v>
      </c>
      <c r="U37" s="261" t="str">
        <f t="shared" si="8"/>
        <v>--</v>
      </c>
      <c r="V37" s="262" t="str">
        <f t="shared" si="9"/>
        <v>--</v>
      </c>
      <c r="W37" s="263" t="str">
        <f t="shared" si="10"/>
        <v>--</v>
      </c>
      <c r="X37" s="264" t="str">
        <f t="shared" si="11"/>
        <v>--</v>
      </c>
      <c r="Y37" s="265" t="str">
        <f t="shared" si="12"/>
        <v>--</v>
      </c>
      <c r="Z37" s="266" t="str">
        <f t="shared" si="13"/>
        <v>--</v>
      </c>
      <c r="AA37" s="267" t="str">
        <f t="shared" si="14"/>
        <v>--</v>
      </c>
      <c r="AB37" s="268" t="str">
        <f t="shared" si="15"/>
        <v>--</v>
      </c>
      <c r="AC37" s="269" t="str">
        <f t="shared" si="16"/>
        <v>--</v>
      </c>
      <c r="AD37" s="192">
        <f t="shared" si="17"/>
      </c>
      <c r="AE37" s="193">
        <f t="shared" si="18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 t="e">
        <f t="shared" si="1"/>
        <v>#VALUE!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6"/>
      </c>
      <c r="T38" s="260" t="str">
        <f t="shared" si="7"/>
        <v>--</v>
      </c>
      <c r="U38" s="261" t="str">
        <f t="shared" si="8"/>
        <v>--</v>
      </c>
      <c r="V38" s="262" t="str">
        <f t="shared" si="9"/>
        <v>--</v>
      </c>
      <c r="W38" s="263" t="str">
        <f t="shared" si="10"/>
        <v>--</v>
      </c>
      <c r="X38" s="264" t="str">
        <f t="shared" si="11"/>
        <v>--</v>
      </c>
      <c r="Y38" s="265" t="str">
        <f t="shared" si="12"/>
        <v>--</v>
      </c>
      <c r="Z38" s="266" t="str">
        <f t="shared" si="13"/>
        <v>--</v>
      </c>
      <c r="AA38" s="267" t="str">
        <f t="shared" si="14"/>
        <v>--</v>
      </c>
      <c r="AB38" s="268" t="str">
        <f t="shared" si="15"/>
        <v>--</v>
      </c>
      <c r="AC38" s="269" t="str">
        <f t="shared" si="16"/>
        <v>--</v>
      </c>
      <c r="AD38" s="192">
        <f t="shared" si="17"/>
      </c>
      <c r="AE38" s="193">
        <f t="shared" si="18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 t="e">
        <f t="shared" si="1"/>
        <v>#VALUE!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6"/>
      </c>
      <c r="T39" s="260" t="str">
        <f t="shared" si="7"/>
        <v>--</v>
      </c>
      <c r="U39" s="261" t="str">
        <f t="shared" si="8"/>
        <v>--</v>
      </c>
      <c r="V39" s="262" t="str">
        <f t="shared" si="9"/>
        <v>--</v>
      </c>
      <c r="W39" s="263" t="str">
        <f t="shared" si="10"/>
        <v>--</v>
      </c>
      <c r="X39" s="264" t="str">
        <f t="shared" si="11"/>
        <v>--</v>
      </c>
      <c r="Y39" s="265" t="str">
        <f t="shared" si="12"/>
        <v>--</v>
      </c>
      <c r="Z39" s="266" t="str">
        <f t="shared" si="13"/>
        <v>--</v>
      </c>
      <c r="AA39" s="267" t="str">
        <f t="shared" si="14"/>
        <v>--</v>
      </c>
      <c r="AB39" s="268" t="str">
        <f t="shared" si="15"/>
        <v>--</v>
      </c>
      <c r="AC39" s="269" t="str">
        <f t="shared" si="16"/>
        <v>--</v>
      </c>
      <c r="AD39" s="192">
        <f t="shared" si="17"/>
      </c>
      <c r="AE39" s="193">
        <f t="shared" si="18"/>
      </c>
      <c r="AF39" s="194"/>
    </row>
    <row r="40" spans="2:32" s="8" customFormat="1" ht="16.5" customHeight="1" thickBot="1">
      <c r="B40" s="55"/>
      <c r="C40" s="170"/>
      <c r="D40" s="206"/>
      <c r="E40" s="170"/>
      <c r="F40" s="208"/>
      <c r="G40" s="209"/>
      <c r="H40" s="210"/>
      <c r="I40" s="211"/>
      <c r="J40" s="212"/>
      <c r="K40" s="213"/>
      <c r="L40" s="214"/>
      <c r="M40" s="214"/>
      <c r="N40" s="215"/>
      <c r="O40" s="215"/>
      <c r="P40" s="216"/>
      <c r="Q40" s="217"/>
      <c r="R40" s="216"/>
      <c r="S40" s="216"/>
      <c r="T40" s="218"/>
      <c r="U40" s="219"/>
      <c r="V40" s="220"/>
      <c r="W40" s="221"/>
      <c r="X40" s="222"/>
      <c r="Y40" s="223"/>
      <c r="Z40" s="224"/>
      <c r="AA40" s="225"/>
      <c r="AB40" s="226"/>
      <c r="AC40" s="227"/>
      <c r="AD40" s="228"/>
      <c r="AE40" s="229"/>
      <c r="AF40" s="194"/>
    </row>
    <row r="41" spans="2:32" s="8" customFormat="1" ht="16.5" customHeight="1" thickBot="1" thickTop="1">
      <c r="B41" s="55"/>
      <c r="C41" s="230" t="s">
        <v>297</v>
      </c>
      <c r="D41" s="271" t="s">
        <v>398</v>
      </c>
      <c r="E41" s="230"/>
      <c r="F41" s="231"/>
      <c r="G41" s="232"/>
      <c r="H41" s="233"/>
      <c r="I41" s="234"/>
      <c r="J41" s="233"/>
      <c r="K41" s="235"/>
      <c r="L41" s="235"/>
      <c r="M41" s="235"/>
      <c r="N41" s="235"/>
      <c r="O41" s="235"/>
      <c r="P41" s="235"/>
      <c r="Q41" s="236"/>
      <c r="R41" s="235"/>
      <c r="S41" s="235"/>
      <c r="T41" s="237">
        <f aca="true" t="shared" si="19" ref="T41:AC41">SUM(T18:T40)</f>
        <v>113.66363</v>
      </c>
      <c r="U41" s="238">
        <f t="shared" si="19"/>
        <v>0</v>
      </c>
      <c r="V41" s="239">
        <f t="shared" si="19"/>
        <v>0</v>
      </c>
      <c r="W41" s="239">
        <f t="shared" si="19"/>
        <v>0</v>
      </c>
      <c r="X41" s="239">
        <f t="shared" si="19"/>
        <v>0</v>
      </c>
      <c r="Y41" s="240">
        <f t="shared" si="19"/>
        <v>0</v>
      </c>
      <c r="Z41" s="240">
        <f t="shared" si="19"/>
        <v>0</v>
      </c>
      <c r="AA41" s="240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113.66</v>
      </c>
      <c r="AF41" s="194"/>
    </row>
    <row r="42" spans="2:32" s="8" customFormat="1" ht="16.5" customHeight="1" thickBot="1" thickTop="1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7"/>
    </row>
    <row r="43" spans="2:32" ht="16.5" customHeight="1" thickTop="1">
      <c r="B43" s="248"/>
      <c r="C43" s="248"/>
      <c r="D43" s="248"/>
      <c r="AF43" s="248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45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4" width="13.7109375" style="9" customWidth="1"/>
    <col min="5" max="5" width="13.851562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5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32" s="8" customFormat="1" ht="13.5" thickTop="1">
      <c r="B7" s="92"/>
      <c r="C7" s="93"/>
      <c r="D7" s="93"/>
      <c r="E7" s="93"/>
      <c r="F7" s="93"/>
      <c r="G7" s="94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5"/>
    </row>
    <row r="8" spans="2:32" s="18" customFormat="1" ht="20.25">
      <c r="B8" s="96"/>
      <c r="C8" s="23"/>
      <c r="D8" s="23"/>
      <c r="E8" s="23"/>
      <c r="F8" s="97" t="s">
        <v>21</v>
      </c>
      <c r="G8" s="23"/>
      <c r="H8" s="23"/>
      <c r="I8" s="23"/>
      <c r="J8" s="23"/>
      <c r="P8" s="23"/>
      <c r="Q8" s="23"/>
      <c r="R8" s="98"/>
      <c r="S8" s="9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9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0"/>
    </row>
    <row r="10" spans="2:32" s="18" customFormat="1" ht="20.25">
      <c r="B10" s="96"/>
      <c r="C10" s="23"/>
      <c r="D10" s="23"/>
      <c r="E10" s="23"/>
      <c r="F10" s="98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9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00"/>
    </row>
    <row r="12" spans="2:32" s="18" customFormat="1" ht="20.25">
      <c r="B12" s="96"/>
      <c r="C12" s="23"/>
      <c r="D12" s="23"/>
      <c r="E12" s="23"/>
      <c r="F12" s="98" t="s">
        <v>486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8"/>
      <c r="S12" s="9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9"/>
    </row>
    <row r="13" spans="2:32" s="8" customFormat="1" ht="12.75">
      <c r="B13" s="55"/>
      <c r="C13" s="11"/>
      <c r="D13" s="11"/>
      <c r="E13" s="11"/>
      <c r="F13" s="1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00"/>
    </row>
    <row r="14" spans="2:32" s="34" customFormat="1" ht="19.5">
      <c r="B14" s="35" t="str">
        <f>'TOT-0412'!B14</f>
        <v>Desde el 01 al 30 de abril de 2013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2"/>
      <c r="Q14" s="102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3"/>
    </row>
    <row r="15" spans="2:32" s="8" customFormat="1" ht="16.5" customHeight="1" thickBot="1">
      <c r="B15" s="55"/>
      <c r="C15" s="11"/>
      <c r="D15" s="11"/>
      <c r="E15" s="11"/>
      <c r="F15" s="11"/>
      <c r="G15" s="86"/>
      <c r="H15" s="86"/>
      <c r="I15" s="11"/>
      <c r="J15" s="11"/>
      <c r="K15" s="11"/>
      <c r="L15" s="104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00"/>
    </row>
    <row r="16" spans="2:32" s="8" customFormat="1" ht="16.5" customHeight="1" thickBot="1" thickTop="1">
      <c r="B16" s="55"/>
      <c r="C16" s="11"/>
      <c r="D16" s="11"/>
      <c r="E16" s="11"/>
      <c r="F16" s="105" t="s">
        <v>24</v>
      </c>
      <c r="G16" s="106">
        <v>272.761</v>
      </c>
      <c r="H16" s="10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00"/>
    </row>
    <row r="17" spans="2:32" s="8" customFormat="1" ht="16.5" customHeight="1" thickBot="1" thickTop="1">
      <c r="B17" s="55"/>
      <c r="C17" s="11"/>
      <c r="D17" s="11"/>
      <c r="E17" s="11"/>
      <c r="F17" s="105" t="s">
        <v>25</v>
      </c>
      <c r="G17" s="106" t="s">
        <v>420</v>
      </c>
      <c r="H17" s="107"/>
      <c r="I17" s="11"/>
      <c r="J17" s="11"/>
      <c r="K17" s="11"/>
      <c r="L17" s="108"/>
      <c r="M17" s="10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0"/>
      <c r="Y17" s="110"/>
      <c r="Z17" s="110"/>
      <c r="AA17" s="110"/>
      <c r="AB17" s="110"/>
      <c r="AC17" s="110"/>
      <c r="AD17" s="110"/>
      <c r="AF17" s="100"/>
    </row>
    <row r="18" spans="2:32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111">
        <v>23</v>
      </c>
      <c r="X18" s="111">
        <v>24</v>
      </c>
      <c r="Y18" s="111">
        <v>25</v>
      </c>
      <c r="Z18" s="111">
        <v>26</v>
      </c>
      <c r="AA18" s="111">
        <v>27</v>
      </c>
      <c r="AB18" s="111">
        <v>28</v>
      </c>
      <c r="AC18" s="111">
        <v>29</v>
      </c>
      <c r="AD18" s="111">
        <v>30</v>
      </c>
      <c r="AE18" s="111">
        <v>31</v>
      </c>
      <c r="AF18" s="100"/>
    </row>
    <row r="19" spans="2:32" s="8" customFormat="1" ht="33.75" customHeight="1" thickBot="1" thickTop="1">
      <c r="B19" s="55"/>
      <c r="C19" s="112" t="s">
        <v>26</v>
      </c>
      <c r="D19" s="112" t="s">
        <v>27</v>
      </c>
      <c r="E19" s="112" t="s">
        <v>28</v>
      </c>
      <c r="F19" s="113" t="s">
        <v>5</v>
      </c>
      <c r="G19" s="114" t="s">
        <v>29</v>
      </c>
      <c r="H19" s="115" t="s">
        <v>30</v>
      </c>
      <c r="I19" s="116" t="s">
        <v>31</v>
      </c>
      <c r="J19" s="117" t="s">
        <v>32</v>
      </c>
      <c r="K19" s="118" t="s">
        <v>33</v>
      </c>
      <c r="L19" s="113" t="s">
        <v>34</v>
      </c>
      <c r="M19" s="119" t="s">
        <v>35</v>
      </c>
      <c r="N19" s="120" t="s">
        <v>36</v>
      </c>
      <c r="O19" s="115" t="s">
        <v>37</v>
      </c>
      <c r="P19" s="120" t="s">
        <v>296</v>
      </c>
      <c r="Q19" s="115" t="s">
        <v>38</v>
      </c>
      <c r="R19" s="119" t="s">
        <v>39</v>
      </c>
      <c r="S19" s="113" t="s">
        <v>40</v>
      </c>
      <c r="T19" s="121" t="s">
        <v>41</v>
      </c>
      <c r="U19" s="122" t="s">
        <v>42</v>
      </c>
      <c r="V19" s="123" t="s">
        <v>43</v>
      </c>
      <c r="W19" s="124"/>
      <c r="X19" s="125"/>
      <c r="Y19" s="126" t="s">
        <v>44</v>
      </c>
      <c r="Z19" s="127"/>
      <c r="AA19" s="128"/>
      <c r="AB19" s="129" t="s">
        <v>45</v>
      </c>
      <c r="AC19" s="130" t="s">
        <v>46</v>
      </c>
      <c r="AD19" s="131" t="s">
        <v>47</v>
      </c>
      <c r="AE19" s="131" t="s">
        <v>48</v>
      </c>
      <c r="AF19" s="132"/>
    </row>
    <row r="20" spans="2:32" s="8" customFormat="1" ht="16.5" customHeight="1" thickTop="1">
      <c r="B20" s="55"/>
      <c r="C20" s="133"/>
      <c r="D20" s="133"/>
      <c r="E20" s="133"/>
      <c r="F20" s="134"/>
      <c r="G20" s="134"/>
      <c r="H20" s="135"/>
      <c r="I20" s="136"/>
      <c r="J20" s="137"/>
      <c r="K20" s="138"/>
      <c r="L20" s="139"/>
      <c r="M20" s="139"/>
      <c r="N20" s="136"/>
      <c r="O20" s="136"/>
      <c r="P20" s="136"/>
      <c r="Q20" s="136"/>
      <c r="R20" s="136"/>
      <c r="S20" s="136"/>
      <c r="T20" s="140"/>
      <c r="U20" s="141"/>
      <c r="V20" s="142"/>
      <c r="W20" s="143"/>
      <c r="X20" s="144"/>
      <c r="Y20" s="145"/>
      <c r="Z20" s="146"/>
      <c r="AA20" s="147"/>
      <c r="AB20" s="148"/>
      <c r="AC20" s="149"/>
      <c r="AD20" s="136"/>
      <c r="AE20" s="150"/>
      <c r="AF20" s="100"/>
    </row>
    <row r="21" spans="2:32" s="8" customFormat="1" ht="16.5" customHeight="1">
      <c r="B21" s="55"/>
      <c r="C21" s="151"/>
      <c r="D21" s="151"/>
      <c r="E21" s="151"/>
      <c r="F21" s="152"/>
      <c r="G21" s="153"/>
      <c r="H21" s="154"/>
      <c r="I21" s="152"/>
      <c r="J21" s="155"/>
      <c r="K21" s="156"/>
      <c r="L21" s="157"/>
      <c r="M21" s="110"/>
      <c r="N21" s="152"/>
      <c r="O21" s="152"/>
      <c r="P21" s="158"/>
      <c r="Q21" s="152"/>
      <c r="R21" s="152"/>
      <c r="S21" s="152"/>
      <c r="T21" s="159"/>
      <c r="U21" s="160"/>
      <c r="V21" s="161"/>
      <c r="W21" s="162"/>
      <c r="X21" s="163"/>
      <c r="Y21" s="164"/>
      <c r="Z21" s="165"/>
      <c r="AA21" s="166"/>
      <c r="AB21" s="167"/>
      <c r="AC21" s="168"/>
      <c r="AD21" s="152"/>
      <c r="AE21" s="169"/>
      <c r="AF21" s="100"/>
    </row>
    <row r="22" spans="2:32" s="8" customFormat="1" ht="16.5" customHeight="1">
      <c r="B22" s="55"/>
      <c r="C22" s="170">
        <v>15</v>
      </c>
      <c r="D22" s="170">
        <v>259692</v>
      </c>
      <c r="E22" s="170">
        <v>3560</v>
      </c>
      <c r="F22" s="170" t="s">
        <v>320</v>
      </c>
      <c r="G22" s="171">
        <v>500</v>
      </c>
      <c r="H22" s="172">
        <v>386.70001220703125</v>
      </c>
      <c r="I22" s="171" t="s">
        <v>318</v>
      </c>
      <c r="J22" s="173">
        <f aca="true" t="shared" si="0" ref="J22:J41">IF(I22="A",200,IF(I22="B",60,20))</f>
        <v>60</v>
      </c>
      <c r="K22" s="174">
        <f aca="true" t="shared" si="1" ref="K22:K41">IF(G22=500,IF(H22&lt;100,100*$G$16/100,H22*$G$16/100),IF(H22&lt;100,100*$G$17/100,H22*$G$17/100))</f>
        <v>1054.7668202960206</v>
      </c>
      <c r="L22" s="175">
        <v>41382.78194444445</v>
      </c>
      <c r="M22" s="176">
        <v>41382.80694444444</v>
      </c>
      <c r="N22" s="177">
        <f aca="true" t="shared" si="2" ref="N22:N41">IF(F22="","",(M22-L22)*24)</f>
        <v>0.5999999998603016</v>
      </c>
      <c r="O22" s="178">
        <f aca="true" t="shared" si="3" ref="O22:O41">IF(F22="","",ROUND((M22-L22)*24*60,0))</f>
        <v>36</v>
      </c>
      <c r="P22" s="179" t="s">
        <v>310</v>
      </c>
      <c r="Q22" s="180" t="str">
        <f aca="true" t="shared" si="4" ref="Q22:Q41">IF(F22="","","--")</f>
        <v>--</v>
      </c>
      <c r="R22" s="181" t="str">
        <f aca="true" t="shared" si="5" ref="R22:R41">IF(F22="","","NO")</f>
        <v>NO</v>
      </c>
      <c r="S22" s="181" t="s">
        <v>80</v>
      </c>
      <c r="T22" s="260" t="str">
        <f aca="true" t="shared" si="6" ref="T22:T41">IF(P22="P",K22*J22*ROUND(O22/60,2)*0.01,"--")</f>
        <v>--</v>
      </c>
      <c r="U22" s="261" t="str">
        <f aca="true" t="shared" si="7" ref="U22:U41">IF(P22="RP",K22*J22*ROUND(O22/60,2)*0.01*Q22/100,"--")</f>
        <v>--</v>
      </c>
      <c r="V22" s="262" t="str">
        <f aca="true" t="shared" si="8" ref="V22:V41">IF(AND(P22="F",S22="NO"),K22*J22*IF(R22="SI",1.2,1),"--")</f>
        <v>--</v>
      </c>
      <c r="W22" s="263">
        <f aca="true" t="shared" si="9" ref="W22:W41">IF(AND(P22="F",O22&gt;=10),K22*J22*IF(R22="SI",1.2,1)*IF(O22&lt;=300,ROUND(O22/60,2),5),"--")</f>
        <v>37971.605530656736</v>
      </c>
      <c r="X22" s="264" t="str">
        <f aca="true" t="shared" si="10" ref="X22:X41">IF(AND(P22="F",O22&gt;300),(ROUND(O22/60,2)-5)*K22*J22*0.1*IF(R22="SI",1.2,1),"--")</f>
        <v>--</v>
      </c>
      <c r="Y22" s="265" t="str">
        <f aca="true" t="shared" si="11" ref="Y22:Y41">IF(AND(P22="R",S22="NO"),K22*J22*Q22/100*IF(R22="SI",1.2,1),"--")</f>
        <v>--</v>
      </c>
      <c r="Z22" s="266" t="str">
        <f aca="true" t="shared" si="12" ref="Z22:Z41">IF(AND(P22="R",O22&gt;=10),K22*J22*Q22/100*IF(R22="SI",1.2,1)*IF(O22&lt;=300,ROUND(O22/60,2),5),"--")</f>
        <v>--</v>
      </c>
      <c r="AA22" s="267" t="str">
        <f aca="true" t="shared" si="13" ref="AA22:AA41">IF(AND(P22="R",O22&gt;300),(ROUND(O22/60,2)-5)*K22*J22*0.1*Q22/100*IF(R22="SI",1.2,1),"--")</f>
        <v>--</v>
      </c>
      <c r="AB22" s="268" t="str">
        <f aca="true" t="shared" si="14" ref="AB22:AB41">IF(P22="RF",ROUND(O22/60,2)*K22*J22*0.1*IF(R22="SI",1.2,1),"--")</f>
        <v>--</v>
      </c>
      <c r="AC22" s="269" t="str">
        <f aca="true" t="shared" si="15" ref="AC22:AC41">IF(P22="RR",ROUND(O22/60,2)*K22*J22*0.1*Q22/100*IF(R22="SI",1.2,1),"--")</f>
        <v>--</v>
      </c>
      <c r="AD22" s="192" t="s">
        <v>80</v>
      </c>
      <c r="AE22" s="193">
        <f aca="true" t="shared" si="16" ref="AE22:AE41">IF(F22="","",SUM(T22:AC22)*IF(AD22="SI",1,2))</f>
        <v>37971.605530656736</v>
      </c>
      <c r="AF22" s="194"/>
    </row>
    <row r="23" spans="2:32" s="8" customFormat="1" ht="16.5" customHeight="1">
      <c r="B23" s="55"/>
      <c r="C23" s="151"/>
      <c r="D23" s="151"/>
      <c r="E23" s="151"/>
      <c r="F23" s="170"/>
      <c r="G23" s="171"/>
      <c r="H23" s="172"/>
      <c r="I23" s="171"/>
      <c r="J23" s="173">
        <f t="shared" si="0"/>
        <v>20</v>
      </c>
      <c r="K23" s="174" t="e">
        <f t="shared" si="1"/>
        <v>#VALUE!</v>
      </c>
      <c r="L23" s="175"/>
      <c r="M23" s="176"/>
      <c r="N23" s="177">
        <f t="shared" si="2"/>
      </c>
      <c r="O23" s="178">
        <f t="shared" si="3"/>
      </c>
      <c r="P23" s="179"/>
      <c r="Q23" s="180">
        <f t="shared" si="4"/>
      </c>
      <c r="R23" s="181">
        <f t="shared" si="5"/>
      </c>
      <c r="S23" s="181">
        <f aca="true" t="shared" si="17" ref="S23:S41">IF(F23="","",IF(OR(P23="P",P23="RP"),"--","NO"))</f>
      </c>
      <c r="T23" s="260" t="str">
        <f t="shared" si="6"/>
        <v>--</v>
      </c>
      <c r="U23" s="261" t="str">
        <f t="shared" si="7"/>
        <v>--</v>
      </c>
      <c r="V23" s="262" t="str">
        <f t="shared" si="8"/>
        <v>--</v>
      </c>
      <c r="W23" s="263" t="str">
        <f t="shared" si="9"/>
        <v>--</v>
      </c>
      <c r="X23" s="264" t="str">
        <f t="shared" si="10"/>
        <v>--</v>
      </c>
      <c r="Y23" s="265" t="str">
        <f t="shared" si="11"/>
        <v>--</v>
      </c>
      <c r="Z23" s="266" t="str">
        <f t="shared" si="12"/>
        <v>--</v>
      </c>
      <c r="AA23" s="267" t="str">
        <f t="shared" si="13"/>
        <v>--</v>
      </c>
      <c r="AB23" s="268" t="str">
        <f t="shared" si="14"/>
        <v>--</v>
      </c>
      <c r="AC23" s="269" t="str">
        <f t="shared" si="15"/>
        <v>--</v>
      </c>
      <c r="AD23" s="192">
        <f aca="true" t="shared" si="18" ref="AD23:AD41">IF(F23="","","SI")</f>
      </c>
      <c r="AE23" s="193">
        <f t="shared" si="16"/>
      </c>
      <c r="AF23" s="194"/>
    </row>
    <row r="24" spans="2:32" s="8" customFormat="1" ht="16.5" customHeight="1">
      <c r="B24" s="55"/>
      <c r="C24" s="170"/>
      <c r="D24" s="170"/>
      <c r="E24" s="170"/>
      <c r="F24" s="195"/>
      <c r="G24" s="196"/>
      <c r="H24" s="197"/>
      <c r="I24" s="196"/>
      <c r="J24" s="173">
        <f t="shared" si="0"/>
        <v>20</v>
      </c>
      <c r="K24" s="174" t="e">
        <f t="shared" si="1"/>
        <v>#VALUE!</v>
      </c>
      <c r="L24" s="198"/>
      <c r="M24" s="199"/>
      <c r="N24" s="177">
        <f t="shared" si="2"/>
      </c>
      <c r="O24" s="178">
        <f t="shared" si="3"/>
      </c>
      <c r="P24" s="179"/>
      <c r="Q24" s="180">
        <f t="shared" si="4"/>
      </c>
      <c r="R24" s="181">
        <f t="shared" si="5"/>
      </c>
      <c r="S24" s="181">
        <f t="shared" si="17"/>
      </c>
      <c r="T24" s="260" t="str">
        <f t="shared" si="6"/>
        <v>--</v>
      </c>
      <c r="U24" s="261" t="str">
        <f t="shared" si="7"/>
        <v>--</v>
      </c>
      <c r="V24" s="262" t="str">
        <f t="shared" si="8"/>
        <v>--</v>
      </c>
      <c r="W24" s="263" t="str">
        <f t="shared" si="9"/>
        <v>--</v>
      </c>
      <c r="X24" s="264" t="str">
        <f t="shared" si="10"/>
        <v>--</v>
      </c>
      <c r="Y24" s="265" t="str">
        <f t="shared" si="11"/>
        <v>--</v>
      </c>
      <c r="Z24" s="266" t="str">
        <f t="shared" si="12"/>
        <v>--</v>
      </c>
      <c r="AA24" s="267" t="str">
        <f t="shared" si="13"/>
        <v>--</v>
      </c>
      <c r="AB24" s="268" t="str">
        <f t="shared" si="14"/>
        <v>--</v>
      </c>
      <c r="AC24" s="269" t="str">
        <f t="shared" si="15"/>
        <v>--</v>
      </c>
      <c r="AD24" s="192">
        <f t="shared" si="18"/>
      </c>
      <c r="AE24" s="193">
        <f t="shared" si="16"/>
      </c>
      <c r="AF24" s="194"/>
    </row>
    <row r="25" spans="2:32" s="8" customFormat="1" ht="16.5" customHeight="1">
      <c r="B25" s="55"/>
      <c r="C25" s="151"/>
      <c r="D25" s="151"/>
      <c r="E25" s="151"/>
      <c r="F25" s="195"/>
      <c r="G25" s="196"/>
      <c r="H25" s="197"/>
      <c r="I25" s="196"/>
      <c r="J25" s="173">
        <f t="shared" si="0"/>
        <v>20</v>
      </c>
      <c r="K25" s="174" t="e">
        <f t="shared" si="1"/>
        <v>#VALUE!</v>
      </c>
      <c r="L25" s="198"/>
      <c r="M25" s="199"/>
      <c r="N25" s="177">
        <f t="shared" si="2"/>
      </c>
      <c r="O25" s="178">
        <f t="shared" si="3"/>
      </c>
      <c r="P25" s="179"/>
      <c r="Q25" s="180">
        <f t="shared" si="4"/>
      </c>
      <c r="R25" s="181">
        <f t="shared" si="5"/>
      </c>
      <c r="S25" s="181">
        <f t="shared" si="17"/>
      </c>
      <c r="T25" s="260" t="str">
        <f t="shared" si="6"/>
        <v>--</v>
      </c>
      <c r="U25" s="261" t="str">
        <f t="shared" si="7"/>
        <v>--</v>
      </c>
      <c r="V25" s="262" t="str">
        <f t="shared" si="8"/>
        <v>--</v>
      </c>
      <c r="W25" s="263" t="str">
        <f t="shared" si="9"/>
        <v>--</v>
      </c>
      <c r="X25" s="264" t="str">
        <f t="shared" si="10"/>
        <v>--</v>
      </c>
      <c r="Y25" s="265" t="str">
        <f t="shared" si="11"/>
        <v>--</v>
      </c>
      <c r="Z25" s="266" t="str">
        <f t="shared" si="12"/>
        <v>--</v>
      </c>
      <c r="AA25" s="267" t="str">
        <f t="shared" si="13"/>
        <v>--</v>
      </c>
      <c r="AB25" s="268" t="str">
        <f t="shared" si="14"/>
        <v>--</v>
      </c>
      <c r="AC25" s="269" t="str">
        <f t="shared" si="15"/>
        <v>--</v>
      </c>
      <c r="AD25" s="192">
        <f t="shared" si="18"/>
      </c>
      <c r="AE25" s="193">
        <f t="shared" si="16"/>
      </c>
      <c r="AF25" s="194"/>
    </row>
    <row r="26" spans="2:32" s="8" customFormat="1" ht="16.5" customHeight="1">
      <c r="B26" s="55"/>
      <c r="C26" s="170"/>
      <c r="D26" s="170"/>
      <c r="E26" s="170"/>
      <c r="F26" s="170"/>
      <c r="G26" s="171"/>
      <c r="H26" s="172"/>
      <c r="I26" s="171"/>
      <c r="J26" s="173">
        <f t="shared" si="0"/>
        <v>20</v>
      </c>
      <c r="K26" s="174" t="e">
        <f t="shared" si="1"/>
        <v>#VALUE!</v>
      </c>
      <c r="L26" s="175"/>
      <c r="M26" s="176"/>
      <c r="N26" s="177">
        <f t="shared" si="2"/>
      </c>
      <c r="O26" s="178">
        <f t="shared" si="3"/>
      </c>
      <c r="P26" s="179"/>
      <c r="Q26" s="180">
        <f t="shared" si="4"/>
      </c>
      <c r="R26" s="181">
        <f t="shared" si="5"/>
      </c>
      <c r="S26" s="181">
        <f t="shared" si="17"/>
      </c>
      <c r="T26" s="260" t="str">
        <f t="shared" si="6"/>
        <v>--</v>
      </c>
      <c r="U26" s="261" t="str">
        <f t="shared" si="7"/>
        <v>--</v>
      </c>
      <c r="V26" s="262" t="str">
        <f t="shared" si="8"/>
        <v>--</v>
      </c>
      <c r="W26" s="263" t="str">
        <f t="shared" si="9"/>
        <v>--</v>
      </c>
      <c r="X26" s="264" t="str">
        <f t="shared" si="10"/>
        <v>--</v>
      </c>
      <c r="Y26" s="265" t="str">
        <f t="shared" si="11"/>
        <v>--</v>
      </c>
      <c r="Z26" s="266" t="str">
        <f t="shared" si="12"/>
        <v>--</v>
      </c>
      <c r="AA26" s="267" t="str">
        <f t="shared" si="13"/>
        <v>--</v>
      </c>
      <c r="AB26" s="268" t="str">
        <f t="shared" si="14"/>
        <v>--</v>
      </c>
      <c r="AC26" s="269" t="str">
        <f t="shared" si="15"/>
        <v>--</v>
      </c>
      <c r="AD26" s="192">
        <f t="shared" si="18"/>
      </c>
      <c r="AE26" s="193">
        <f t="shared" si="16"/>
      </c>
      <c r="AF26" s="194"/>
    </row>
    <row r="27" spans="2:32" s="8" customFormat="1" ht="16.5" customHeight="1">
      <c r="B27" s="55"/>
      <c r="C27" s="151"/>
      <c r="D27" s="151"/>
      <c r="E27" s="151"/>
      <c r="F27" s="170"/>
      <c r="G27" s="171"/>
      <c r="H27" s="172"/>
      <c r="I27" s="171"/>
      <c r="J27" s="173">
        <f t="shared" si="0"/>
        <v>20</v>
      </c>
      <c r="K27" s="174" t="e">
        <f t="shared" si="1"/>
        <v>#VALUE!</v>
      </c>
      <c r="L27" s="175"/>
      <c r="M27" s="176"/>
      <c r="N27" s="177">
        <f t="shared" si="2"/>
      </c>
      <c r="O27" s="178">
        <f t="shared" si="3"/>
      </c>
      <c r="P27" s="179"/>
      <c r="Q27" s="180">
        <f t="shared" si="4"/>
      </c>
      <c r="R27" s="181">
        <f t="shared" si="5"/>
      </c>
      <c r="S27" s="181">
        <f t="shared" si="17"/>
      </c>
      <c r="T27" s="260" t="str">
        <f t="shared" si="6"/>
        <v>--</v>
      </c>
      <c r="U27" s="261" t="str">
        <f t="shared" si="7"/>
        <v>--</v>
      </c>
      <c r="V27" s="262" t="str">
        <f t="shared" si="8"/>
        <v>--</v>
      </c>
      <c r="W27" s="263" t="str">
        <f t="shared" si="9"/>
        <v>--</v>
      </c>
      <c r="X27" s="264" t="str">
        <f t="shared" si="10"/>
        <v>--</v>
      </c>
      <c r="Y27" s="265" t="str">
        <f t="shared" si="11"/>
        <v>--</v>
      </c>
      <c r="Z27" s="266" t="str">
        <f t="shared" si="12"/>
        <v>--</v>
      </c>
      <c r="AA27" s="267" t="str">
        <f t="shared" si="13"/>
        <v>--</v>
      </c>
      <c r="AB27" s="268" t="str">
        <f t="shared" si="14"/>
        <v>--</v>
      </c>
      <c r="AC27" s="269" t="str">
        <f t="shared" si="15"/>
        <v>--</v>
      </c>
      <c r="AD27" s="192">
        <f t="shared" si="18"/>
      </c>
      <c r="AE27" s="193">
        <f t="shared" si="16"/>
      </c>
      <c r="AF27" s="194"/>
    </row>
    <row r="28" spans="2:32" s="8" customFormat="1" ht="16.5" customHeight="1">
      <c r="B28" s="55"/>
      <c r="C28" s="170"/>
      <c r="D28" s="170"/>
      <c r="E28" s="170"/>
      <c r="F28" s="200"/>
      <c r="G28" s="201"/>
      <c r="H28" s="202"/>
      <c r="I28" s="201"/>
      <c r="J28" s="173">
        <f t="shared" si="0"/>
        <v>20</v>
      </c>
      <c r="K28" s="174" t="e">
        <f t="shared" si="1"/>
        <v>#VALUE!</v>
      </c>
      <c r="L28" s="203"/>
      <c r="M28" s="204"/>
      <c r="N28" s="177">
        <f t="shared" si="2"/>
      </c>
      <c r="O28" s="178">
        <f t="shared" si="3"/>
      </c>
      <c r="P28" s="179"/>
      <c r="Q28" s="180">
        <f t="shared" si="4"/>
      </c>
      <c r="R28" s="181">
        <f t="shared" si="5"/>
      </c>
      <c r="S28" s="181">
        <f t="shared" si="17"/>
      </c>
      <c r="T28" s="260" t="str">
        <f t="shared" si="6"/>
        <v>--</v>
      </c>
      <c r="U28" s="261" t="str">
        <f t="shared" si="7"/>
        <v>--</v>
      </c>
      <c r="V28" s="262" t="str">
        <f t="shared" si="8"/>
        <v>--</v>
      </c>
      <c r="W28" s="263" t="str">
        <f t="shared" si="9"/>
        <v>--</v>
      </c>
      <c r="X28" s="264" t="str">
        <f t="shared" si="10"/>
        <v>--</v>
      </c>
      <c r="Y28" s="265" t="str">
        <f t="shared" si="11"/>
        <v>--</v>
      </c>
      <c r="Z28" s="266" t="str">
        <f t="shared" si="12"/>
        <v>--</v>
      </c>
      <c r="AA28" s="267" t="str">
        <f t="shared" si="13"/>
        <v>--</v>
      </c>
      <c r="AB28" s="268" t="str">
        <f t="shared" si="14"/>
        <v>--</v>
      </c>
      <c r="AC28" s="269" t="str">
        <f t="shared" si="15"/>
        <v>--</v>
      </c>
      <c r="AD28" s="192">
        <f t="shared" si="18"/>
      </c>
      <c r="AE28" s="193">
        <f t="shared" si="16"/>
      </c>
      <c r="AF28" s="194"/>
    </row>
    <row r="29" spans="2:32" s="8" customFormat="1" ht="16.5" customHeight="1">
      <c r="B29" s="55"/>
      <c r="C29" s="151"/>
      <c r="D29" s="151"/>
      <c r="E29" s="151"/>
      <c r="F29" s="200"/>
      <c r="G29" s="201"/>
      <c r="H29" s="202"/>
      <c r="I29" s="201"/>
      <c r="J29" s="173">
        <f t="shared" si="0"/>
        <v>20</v>
      </c>
      <c r="K29" s="174" t="e">
        <f t="shared" si="1"/>
        <v>#VALUE!</v>
      </c>
      <c r="L29" s="203"/>
      <c r="M29" s="204"/>
      <c r="N29" s="177">
        <f t="shared" si="2"/>
      </c>
      <c r="O29" s="178">
        <f t="shared" si="3"/>
      </c>
      <c r="P29" s="179"/>
      <c r="Q29" s="180">
        <f t="shared" si="4"/>
      </c>
      <c r="R29" s="181">
        <f t="shared" si="5"/>
      </c>
      <c r="S29" s="181">
        <f t="shared" si="17"/>
      </c>
      <c r="T29" s="260" t="str">
        <f t="shared" si="6"/>
        <v>--</v>
      </c>
      <c r="U29" s="261" t="str">
        <f t="shared" si="7"/>
        <v>--</v>
      </c>
      <c r="V29" s="262" t="str">
        <f t="shared" si="8"/>
        <v>--</v>
      </c>
      <c r="W29" s="263" t="str">
        <f t="shared" si="9"/>
        <v>--</v>
      </c>
      <c r="X29" s="264" t="str">
        <f t="shared" si="10"/>
        <v>--</v>
      </c>
      <c r="Y29" s="265" t="str">
        <f t="shared" si="11"/>
        <v>--</v>
      </c>
      <c r="Z29" s="266" t="str">
        <f t="shared" si="12"/>
        <v>--</v>
      </c>
      <c r="AA29" s="267" t="str">
        <f t="shared" si="13"/>
        <v>--</v>
      </c>
      <c r="AB29" s="268" t="str">
        <f t="shared" si="14"/>
        <v>--</v>
      </c>
      <c r="AC29" s="269" t="str">
        <f t="shared" si="15"/>
        <v>--</v>
      </c>
      <c r="AD29" s="192">
        <f t="shared" si="18"/>
      </c>
      <c r="AE29" s="193">
        <f t="shared" si="16"/>
      </c>
      <c r="AF29" s="194"/>
    </row>
    <row r="30" spans="2:32" s="8" customFormat="1" ht="16.5" customHeight="1">
      <c r="B30" s="55"/>
      <c r="C30" s="170"/>
      <c r="D30" s="170"/>
      <c r="E30" s="170"/>
      <c r="F30" s="200"/>
      <c r="G30" s="201"/>
      <c r="H30" s="202"/>
      <c r="I30" s="201"/>
      <c r="J30" s="173">
        <f t="shared" si="0"/>
        <v>20</v>
      </c>
      <c r="K30" s="174" t="e">
        <f t="shared" si="1"/>
        <v>#VALUE!</v>
      </c>
      <c r="L30" s="203"/>
      <c r="M30" s="204"/>
      <c r="N30" s="177">
        <f t="shared" si="2"/>
      </c>
      <c r="O30" s="178">
        <f t="shared" si="3"/>
      </c>
      <c r="P30" s="179"/>
      <c r="Q30" s="180">
        <f t="shared" si="4"/>
      </c>
      <c r="R30" s="181">
        <f t="shared" si="5"/>
      </c>
      <c r="S30" s="181">
        <f t="shared" si="17"/>
      </c>
      <c r="T30" s="260" t="str">
        <f t="shared" si="6"/>
        <v>--</v>
      </c>
      <c r="U30" s="261" t="str">
        <f t="shared" si="7"/>
        <v>--</v>
      </c>
      <c r="V30" s="262" t="str">
        <f t="shared" si="8"/>
        <v>--</v>
      </c>
      <c r="W30" s="263" t="str">
        <f t="shared" si="9"/>
        <v>--</v>
      </c>
      <c r="X30" s="264" t="str">
        <f t="shared" si="10"/>
        <v>--</v>
      </c>
      <c r="Y30" s="265" t="str">
        <f t="shared" si="11"/>
        <v>--</v>
      </c>
      <c r="Z30" s="266" t="str">
        <f t="shared" si="12"/>
        <v>--</v>
      </c>
      <c r="AA30" s="267" t="str">
        <f t="shared" si="13"/>
        <v>--</v>
      </c>
      <c r="AB30" s="268" t="str">
        <f t="shared" si="14"/>
        <v>--</v>
      </c>
      <c r="AC30" s="269" t="str">
        <f t="shared" si="15"/>
        <v>--</v>
      </c>
      <c r="AD30" s="192">
        <f t="shared" si="18"/>
      </c>
      <c r="AE30" s="193">
        <f t="shared" si="16"/>
      </c>
      <c r="AF30" s="194"/>
    </row>
    <row r="31" spans="2:32" s="8" customFormat="1" ht="16.5" customHeight="1">
      <c r="B31" s="55"/>
      <c r="C31" s="151"/>
      <c r="D31" s="151"/>
      <c r="E31" s="151"/>
      <c r="F31" s="200"/>
      <c r="G31" s="201"/>
      <c r="H31" s="202"/>
      <c r="I31" s="201"/>
      <c r="J31" s="173">
        <f t="shared" si="0"/>
        <v>20</v>
      </c>
      <c r="K31" s="174" t="e">
        <f t="shared" si="1"/>
        <v>#VALUE!</v>
      </c>
      <c r="L31" s="203"/>
      <c r="M31" s="204"/>
      <c r="N31" s="177">
        <f t="shared" si="2"/>
      </c>
      <c r="O31" s="178">
        <f t="shared" si="3"/>
      </c>
      <c r="P31" s="179"/>
      <c r="Q31" s="180">
        <f t="shared" si="4"/>
      </c>
      <c r="R31" s="181">
        <f t="shared" si="5"/>
      </c>
      <c r="S31" s="181">
        <f t="shared" si="17"/>
      </c>
      <c r="T31" s="260" t="str">
        <f t="shared" si="6"/>
        <v>--</v>
      </c>
      <c r="U31" s="261" t="str">
        <f t="shared" si="7"/>
        <v>--</v>
      </c>
      <c r="V31" s="262" t="str">
        <f t="shared" si="8"/>
        <v>--</v>
      </c>
      <c r="W31" s="263" t="str">
        <f t="shared" si="9"/>
        <v>--</v>
      </c>
      <c r="X31" s="264" t="str">
        <f t="shared" si="10"/>
        <v>--</v>
      </c>
      <c r="Y31" s="265" t="str">
        <f t="shared" si="11"/>
        <v>--</v>
      </c>
      <c r="Z31" s="266" t="str">
        <f t="shared" si="12"/>
        <v>--</v>
      </c>
      <c r="AA31" s="267" t="str">
        <f t="shared" si="13"/>
        <v>--</v>
      </c>
      <c r="AB31" s="268" t="str">
        <f t="shared" si="14"/>
        <v>--</v>
      </c>
      <c r="AC31" s="269" t="str">
        <f t="shared" si="15"/>
        <v>--</v>
      </c>
      <c r="AD31" s="192">
        <f t="shared" si="18"/>
      </c>
      <c r="AE31" s="193">
        <f t="shared" si="16"/>
      </c>
      <c r="AF31" s="194"/>
    </row>
    <row r="32" spans="2:32" s="8" customFormat="1" ht="16.5" customHeight="1">
      <c r="B32" s="55"/>
      <c r="C32" s="170"/>
      <c r="D32" s="170"/>
      <c r="E32" s="170"/>
      <c r="F32" s="200"/>
      <c r="G32" s="201"/>
      <c r="H32" s="202"/>
      <c r="I32" s="201"/>
      <c r="J32" s="173">
        <f t="shared" si="0"/>
        <v>20</v>
      </c>
      <c r="K32" s="174" t="e">
        <f t="shared" si="1"/>
        <v>#VALUE!</v>
      </c>
      <c r="L32" s="203"/>
      <c r="M32" s="204"/>
      <c r="N32" s="177">
        <f t="shared" si="2"/>
      </c>
      <c r="O32" s="178">
        <f t="shared" si="3"/>
      </c>
      <c r="P32" s="179"/>
      <c r="Q32" s="180">
        <f t="shared" si="4"/>
      </c>
      <c r="R32" s="181">
        <f t="shared" si="5"/>
      </c>
      <c r="S32" s="181">
        <f t="shared" si="17"/>
      </c>
      <c r="T32" s="260" t="str">
        <f t="shared" si="6"/>
        <v>--</v>
      </c>
      <c r="U32" s="261" t="str">
        <f t="shared" si="7"/>
        <v>--</v>
      </c>
      <c r="V32" s="262" t="str">
        <f t="shared" si="8"/>
        <v>--</v>
      </c>
      <c r="W32" s="263" t="str">
        <f t="shared" si="9"/>
        <v>--</v>
      </c>
      <c r="X32" s="264" t="str">
        <f t="shared" si="10"/>
        <v>--</v>
      </c>
      <c r="Y32" s="265" t="str">
        <f t="shared" si="11"/>
        <v>--</v>
      </c>
      <c r="Z32" s="266" t="str">
        <f t="shared" si="12"/>
        <v>--</v>
      </c>
      <c r="AA32" s="267" t="str">
        <f t="shared" si="13"/>
        <v>--</v>
      </c>
      <c r="AB32" s="268" t="str">
        <f t="shared" si="14"/>
        <v>--</v>
      </c>
      <c r="AC32" s="269" t="str">
        <f t="shared" si="15"/>
        <v>--</v>
      </c>
      <c r="AD32" s="192">
        <f t="shared" si="18"/>
      </c>
      <c r="AE32" s="193">
        <f t="shared" si="16"/>
      </c>
      <c r="AF32" s="194"/>
    </row>
    <row r="33" spans="2:32" s="8" customFormat="1" ht="16.5" customHeight="1">
      <c r="B33" s="55"/>
      <c r="C33" s="151"/>
      <c r="D33" s="151"/>
      <c r="E33" s="151"/>
      <c r="F33" s="200"/>
      <c r="G33" s="201"/>
      <c r="H33" s="202"/>
      <c r="I33" s="201"/>
      <c r="J33" s="173">
        <f t="shared" si="0"/>
        <v>20</v>
      </c>
      <c r="K33" s="174" t="e">
        <f t="shared" si="1"/>
        <v>#VALUE!</v>
      </c>
      <c r="L33" s="203"/>
      <c r="M33" s="205"/>
      <c r="N33" s="177">
        <f t="shared" si="2"/>
      </c>
      <c r="O33" s="178">
        <f t="shared" si="3"/>
      </c>
      <c r="P33" s="179"/>
      <c r="Q33" s="180">
        <f t="shared" si="4"/>
      </c>
      <c r="R33" s="181">
        <f t="shared" si="5"/>
      </c>
      <c r="S33" s="181">
        <f t="shared" si="17"/>
      </c>
      <c r="T33" s="260" t="str">
        <f t="shared" si="6"/>
        <v>--</v>
      </c>
      <c r="U33" s="261" t="str">
        <f t="shared" si="7"/>
        <v>--</v>
      </c>
      <c r="V33" s="262" t="str">
        <f t="shared" si="8"/>
        <v>--</v>
      </c>
      <c r="W33" s="263" t="str">
        <f t="shared" si="9"/>
        <v>--</v>
      </c>
      <c r="X33" s="264" t="str">
        <f t="shared" si="10"/>
        <v>--</v>
      </c>
      <c r="Y33" s="265" t="str">
        <f t="shared" si="11"/>
        <v>--</v>
      </c>
      <c r="Z33" s="266" t="str">
        <f t="shared" si="12"/>
        <v>--</v>
      </c>
      <c r="AA33" s="267" t="str">
        <f t="shared" si="13"/>
        <v>--</v>
      </c>
      <c r="AB33" s="268" t="str">
        <f t="shared" si="14"/>
        <v>--</v>
      </c>
      <c r="AC33" s="269" t="str">
        <f t="shared" si="15"/>
        <v>--</v>
      </c>
      <c r="AD33" s="192">
        <f t="shared" si="18"/>
      </c>
      <c r="AE33" s="193">
        <f t="shared" si="16"/>
      </c>
      <c r="AF33" s="194"/>
    </row>
    <row r="34" spans="2:32" s="8" customFormat="1" ht="16.5" customHeight="1">
      <c r="B34" s="55"/>
      <c r="C34" s="170"/>
      <c r="D34" s="170"/>
      <c r="E34" s="170"/>
      <c r="F34" s="200"/>
      <c r="G34" s="201"/>
      <c r="H34" s="202"/>
      <c r="I34" s="201"/>
      <c r="J34" s="173">
        <f t="shared" si="0"/>
        <v>20</v>
      </c>
      <c r="K34" s="174" t="e">
        <f t="shared" si="1"/>
        <v>#VALUE!</v>
      </c>
      <c r="L34" s="203"/>
      <c r="M34" s="205"/>
      <c r="N34" s="177">
        <f t="shared" si="2"/>
      </c>
      <c r="O34" s="178">
        <f t="shared" si="3"/>
      </c>
      <c r="P34" s="179"/>
      <c r="Q34" s="180">
        <f t="shared" si="4"/>
      </c>
      <c r="R34" s="181">
        <f t="shared" si="5"/>
      </c>
      <c r="S34" s="181">
        <f t="shared" si="17"/>
      </c>
      <c r="T34" s="260" t="str">
        <f t="shared" si="6"/>
        <v>--</v>
      </c>
      <c r="U34" s="261" t="str">
        <f t="shared" si="7"/>
        <v>--</v>
      </c>
      <c r="V34" s="262" t="str">
        <f t="shared" si="8"/>
        <v>--</v>
      </c>
      <c r="W34" s="263" t="str">
        <f t="shared" si="9"/>
        <v>--</v>
      </c>
      <c r="X34" s="264" t="str">
        <f t="shared" si="10"/>
        <v>--</v>
      </c>
      <c r="Y34" s="265" t="str">
        <f t="shared" si="11"/>
        <v>--</v>
      </c>
      <c r="Z34" s="266" t="str">
        <f t="shared" si="12"/>
        <v>--</v>
      </c>
      <c r="AA34" s="267" t="str">
        <f t="shared" si="13"/>
        <v>--</v>
      </c>
      <c r="AB34" s="268" t="str">
        <f t="shared" si="14"/>
        <v>--</v>
      </c>
      <c r="AC34" s="269" t="str">
        <f t="shared" si="15"/>
        <v>--</v>
      </c>
      <c r="AD34" s="192">
        <f t="shared" si="18"/>
      </c>
      <c r="AE34" s="193">
        <f t="shared" si="16"/>
      </c>
      <c r="AF34" s="194"/>
    </row>
    <row r="35" spans="2:32" s="8" customFormat="1" ht="16.5" customHeight="1">
      <c r="B35" s="55"/>
      <c r="C35" s="151"/>
      <c r="D35" s="151"/>
      <c r="E35" s="151"/>
      <c r="F35" s="200"/>
      <c r="G35" s="201"/>
      <c r="H35" s="202"/>
      <c r="I35" s="201"/>
      <c r="J35" s="173">
        <f t="shared" si="0"/>
        <v>20</v>
      </c>
      <c r="K35" s="174" t="e">
        <f t="shared" si="1"/>
        <v>#VALUE!</v>
      </c>
      <c r="L35" s="203"/>
      <c r="M35" s="205"/>
      <c r="N35" s="177">
        <f t="shared" si="2"/>
      </c>
      <c r="O35" s="178">
        <f t="shared" si="3"/>
      </c>
      <c r="P35" s="179"/>
      <c r="Q35" s="180">
        <f t="shared" si="4"/>
      </c>
      <c r="R35" s="181">
        <f t="shared" si="5"/>
      </c>
      <c r="S35" s="181">
        <f t="shared" si="17"/>
      </c>
      <c r="T35" s="260" t="str">
        <f t="shared" si="6"/>
        <v>--</v>
      </c>
      <c r="U35" s="261" t="str">
        <f t="shared" si="7"/>
        <v>--</v>
      </c>
      <c r="V35" s="262" t="str">
        <f t="shared" si="8"/>
        <v>--</v>
      </c>
      <c r="W35" s="263" t="str">
        <f t="shared" si="9"/>
        <v>--</v>
      </c>
      <c r="X35" s="264" t="str">
        <f t="shared" si="10"/>
        <v>--</v>
      </c>
      <c r="Y35" s="265" t="str">
        <f t="shared" si="11"/>
        <v>--</v>
      </c>
      <c r="Z35" s="266" t="str">
        <f t="shared" si="12"/>
        <v>--</v>
      </c>
      <c r="AA35" s="267" t="str">
        <f t="shared" si="13"/>
        <v>--</v>
      </c>
      <c r="AB35" s="268" t="str">
        <f t="shared" si="14"/>
        <v>--</v>
      </c>
      <c r="AC35" s="269" t="str">
        <f t="shared" si="15"/>
        <v>--</v>
      </c>
      <c r="AD35" s="192">
        <f t="shared" si="18"/>
      </c>
      <c r="AE35" s="193">
        <f t="shared" si="16"/>
      </c>
      <c r="AF35" s="194"/>
    </row>
    <row r="36" spans="2:32" s="8" customFormat="1" ht="16.5" customHeight="1">
      <c r="B36" s="55"/>
      <c r="C36" s="170"/>
      <c r="D36" s="170"/>
      <c r="E36" s="170"/>
      <c r="F36" s="200"/>
      <c r="G36" s="201"/>
      <c r="H36" s="202"/>
      <c r="I36" s="201"/>
      <c r="J36" s="173">
        <f t="shared" si="0"/>
        <v>20</v>
      </c>
      <c r="K36" s="174" t="e">
        <f t="shared" si="1"/>
        <v>#VALUE!</v>
      </c>
      <c r="L36" s="203"/>
      <c r="M36" s="205"/>
      <c r="N36" s="177">
        <f t="shared" si="2"/>
      </c>
      <c r="O36" s="178">
        <f t="shared" si="3"/>
      </c>
      <c r="P36" s="179"/>
      <c r="Q36" s="180">
        <f t="shared" si="4"/>
      </c>
      <c r="R36" s="181">
        <f t="shared" si="5"/>
      </c>
      <c r="S36" s="181">
        <f t="shared" si="17"/>
      </c>
      <c r="T36" s="260" t="str">
        <f t="shared" si="6"/>
        <v>--</v>
      </c>
      <c r="U36" s="261" t="str">
        <f t="shared" si="7"/>
        <v>--</v>
      </c>
      <c r="V36" s="262" t="str">
        <f t="shared" si="8"/>
        <v>--</v>
      </c>
      <c r="W36" s="263" t="str">
        <f t="shared" si="9"/>
        <v>--</v>
      </c>
      <c r="X36" s="264" t="str">
        <f t="shared" si="10"/>
        <v>--</v>
      </c>
      <c r="Y36" s="265" t="str">
        <f t="shared" si="11"/>
        <v>--</v>
      </c>
      <c r="Z36" s="266" t="str">
        <f t="shared" si="12"/>
        <v>--</v>
      </c>
      <c r="AA36" s="267" t="str">
        <f t="shared" si="13"/>
        <v>--</v>
      </c>
      <c r="AB36" s="268" t="str">
        <f t="shared" si="14"/>
        <v>--</v>
      </c>
      <c r="AC36" s="269" t="str">
        <f t="shared" si="15"/>
        <v>--</v>
      </c>
      <c r="AD36" s="192">
        <f t="shared" si="18"/>
      </c>
      <c r="AE36" s="193">
        <f t="shared" si="16"/>
      </c>
      <c r="AF36" s="194"/>
    </row>
    <row r="37" spans="2:32" s="8" customFormat="1" ht="16.5" customHeight="1">
      <c r="B37" s="55"/>
      <c r="C37" s="151"/>
      <c r="D37" s="151"/>
      <c r="E37" s="151"/>
      <c r="F37" s="200"/>
      <c r="G37" s="201"/>
      <c r="H37" s="202"/>
      <c r="I37" s="201"/>
      <c r="J37" s="173">
        <f t="shared" si="0"/>
        <v>20</v>
      </c>
      <c r="K37" s="174" t="e">
        <f t="shared" si="1"/>
        <v>#VALUE!</v>
      </c>
      <c r="L37" s="203"/>
      <c r="M37" s="205"/>
      <c r="N37" s="177">
        <f t="shared" si="2"/>
      </c>
      <c r="O37" s="178">
        <f t="shared" si="3"/>
      </c>
      <c r="P37" s="179"/>
      <c r="Q37" s="180">
        <f t="shared" si="4"/>
      </c>
      <c r="R37" s="181">
        <f t="shared" si="5"/>
      </c>
      <c r="S37" s="181">
        <f t="shared" si="17"/>
      </c>
      <c r="T37" s="260" t="str">
        <f t="shared" si="6"/>
        <v>--</v>
      </c>
      <c r="U37" s="261" t="str">
        <f t="shared" si="7"/>
        <v>--</v>
      </c>
      <c r="V37" s="262" t="str">
        <f t="shared" si="8"/>
        <v>--</v>
      </c>
      <c r="W37" s="263" t="str">
        <f t="shared" si="9"/>
        <v>--</v>
      </c>
      <c r="X37" s="264" t="str">
        <f t="shared" si="10"/>
        <v>--</v>
      </c>
      <c r="Y37" s="265" t="str">
        <f t="shared" si="11"/>
        <v>--</v>
      </c>
      <c r="Z37" s="266" t="str">
        <f t="shared" si="12"/>
        <v>--</v>
      </c>
      <c r="AA37" s="267" t="str">
        <f t="shared" si="13"/>
        <v>--</v>
      </c>
      <c r="AB37" s="268" t="str">
        <f t="shared" si="14"/>
        <v>--</v>
      </c>
      <c r="AC37" s="269" t="str">
        <f t="shared" si="15"/>
        <v>--</v>
      </c>
      <c r="AD37" s="192">
        <f t="shared" si="18"/>
      </c>
      <c r="AE37" s="193">
        <f t="shared" si="16"/>
      </c>
      <c r="AF37" s="194"/>
    </row>
    <row r="38" spans="2:32" s="8" customFormat="1" ht="16.5" customHeight="1">
      <c r="B38" s="55"/>
      <c r="C38" s="170"/>
      <c r="D38" s="170"/>
      <c r="E38" s="170"/>
      <c r="F38" s="200"/>
      <c r="G38" s="201"/>
      <c r="H38" s="202"/>
      <c r="I38" s="201"/>
      <c r="J38" s="173">
        <f t="shared" si="0"/>
        <v>20</v>
      </c>
      <c r="K38" s="174" t="e">
        <f t="shared" si="1"/>
        <v>#VALUE!</v>
      </c>
      <c r="L38" s="203"/>
      <c r="M38" s="205"/>
      <c r="N38" s="177">
        <f t="shared" si="2"/>
      </c>
      <c r="O38" s="178">
        <f t="shared" si="3"/>
      </c>
      <c r="P38" s="179"/>
      <c r="Q38" s="180">
        <f t="shared" si="4"/>
      </c>
      <c r="R38" s="181">
        <f t="shared" si="5"/>
      </c>
      <c r="S38" s="181">
        <f t="shared" si="17"/>
      </c>
      <c r="T38" s="260" t="str">
        <f t="shared" si="6"/>
        <v>--</v>
      </c>
      <c r="U38" s="261" t="str">
        <f t="shared" si="7"/>
        <v>--</v>
      </c>
      <c r="V38" s="262" t="str">
        <f t="shared" si="8"/>
        <v>--</v>
      </c>
      <c r="W38" s="263" t="str">
        <f t="shared" si="9"/>
        <v>--</v>
      </c>
      <c r="X38" s="264" t="str">
        <f t="shared" si="10"/>
        <v>--</v>
      </c>
      <c r="Y38" s="265" t="str">
        <f t="shared" si="11"/>
        <v>--</v>
      </c>
      <c r="Z38" s="266" t="str">
        <f t="shared" si="12"/>
        <v>--</v>
      </c>
      <c r="AA38" s="267" t="str">
        <f t="shared" si="13"/>
        <v>--</v>
      </c>
      <c r="AB38" s="268" t="str">
        <f t="shared" si="14"/>
        <v>--</v>
      </c>
      <c r="AC38" s="269" t="str">
        <f t="shared" si="15"/>
        <v>--</v>
      </c>
      <c r="AD38" s="192">
        <f t="shared" si="18"/>
      </c>
      <c r="AE38" s="193">
        <f t="shared" si="16"/>
      </c>
      <c r="AF38" s="194"/>
    </row>
    <row r="39" spans="2:32" s="8" customFormat="1" ht="16.5" customHeight="1">
      <c r="B39" s="55"/>
      <c r="C39" s="151"/>
      <c r="D39" s="151"/>
      <c r="E39" s="151"/>
      <c r="F39" s="200"/>
      <c r="G39" s="201"/>
      <c r="H39" s="202"/>
      <c r="I39" s="201"/>
      <c r="J39" s="173">
        <f t="shared" si="0"/>
        <v>20</v>
      </c>
      <c r="K39" s="174" t="e">
        <f t="shared" si="1"/>
        <v>#VALUE!</v>
      </c>
      <c r="L39" s="203"/>
      <c r="M39" s="205"/>
      <c r="N39" s="177">
        <f t="shared" si="2"/>
      </c>
      <c r="O39" s="178">
        <f t="shared" si="3"/>
      </c>
      <c r="P39" s="179"/>
      <c r="Q39" s="180">
        <f t="shared" si="4"/>
      </c>
      <c r="R39" s="181">
        <f t="shared" si="5"/>
      </c>
      <c r="S39" s="181">
        <f t="shared" si="17"/>
      </c>
      <c r="T39" s="260" t="str">
        <f t="shared" si="6"/>
        <v>--</v>
      </c>
      <c r="U39" s="261" t="str">
        <f t="shared" si="7"/>
        <v>--</v>
      </c>
      <c r="V39" s="262" t="str">
        <f t="shared" si="8"/>
        <v>--</v>
      </c>
      <c r="W39" s="263" t="str">
        <f t="shared" si="9"/>
        <v>--</v>
      </c>
      <c r="X39" s="264" t="str">
        <f t="shared" si="10"/>
        <v>--</v>
      </c>
      <c r="Y39" s="265" t="str">
        <f t="shared" si="11"/>
        <v>--</v>
      </c>
      <c r="Z39" s="266" t="str">
        <f t="shared" si="12"/>
        <v>--</v>
      </c>
      <c r="AA39" s="267" t="str">
        <f t="shared" si="13"/>
        <v>--</v>
      </c>
      <c r="AB39" s="268" t="str">
        <f t="shared" si="14"/>
        <v>--</v>
      </c>
      <c r="AC39" s="269" t="str">
        <f t="shared" si="15"/>
        <v>--</v>
      </c>
      <c r="AD39" s="192">
        <f t="shared" si="18"/>
      </c>
      <c r="AE39" s="193">
        <f t="shared" si="16"/>
      </c>
      <c r="AF39" s="194"/>
    </row>
    <row r="40" spans="2:32" s="8" customFormat="1" ht="16.5" customHeight="1">
      <c r="B40" s="55"/>
      <c r="C40" s="170"/>
      <c r="D40" s="170"/>
      <c r="E40" s="170"/>
      <c r="F40" s="200"/>
      <c r="G40" s="201"/>
      <c r="H40" s="202"/>
      <c r="I40" s="201"/>
      <c r="J40" s="173">
        <f t="shared" si="0"/>
        <v>20</v>
      </c>
      <c r="K40" s="174" t="e">
        <f t="shared" si="1"/>
        <v>#VALUE!</v>
      </c>
      <c r="L40" s="203"/>
      <c r="M40" s="205"/>
      <c r="N40" s="177">
        <f t="shared" si="2"/>
      </c>
      <c r="O40" s="178">
        <f t="shared" si="3"/>
      </c>
      <c r="P40" s="179"/>
      <c r="Q40" s="180">
        <f t="shared" si="4"/>
      </c>
      <c r="R40" s="181">
        <f t="shared" si="5"/>
      </c>
      <c r="S40" s="181">
        <f t="shared" si="17"/>
      </c>
      <c r="T40" s="260" t="str">
        <f t="shared" si="6"/>
        <v>--</v>
      </c>
      <c r="U40" s="261" t="str">
        <f t="shared" si="7"/>
        <v>--</v>
      </c>
      <c r="V40" s="262" t="str">
        <f t="shared" si="8"/>
        <v>--</v>
      </c>
      <c r="W40" s="263" t="str">
        <f t="shared" si="9"/>
        <v>--</v>
      </c>
      <c r="X40" s="264" t="str">
        <f t="shared" si="10"/>
        <v>--</v>
      </c>
      <c r="Y40" s="265" t="str">
        <f t="shared" si="11"/>
        <v>--</v>
      </c>
      <c r="Z40" s="266" t="str">
        <f t="shared" si="12"/>
        <v>--</v>
      </c>
      <c r="AA40" s="267" t="str">
        <f t="shared" si="13"/>
        <v>--</v>
      </c>
      <c r="AB40" s="268" t="str">
        <f t="shared" si="14"/>
        <v>--</v>
      </c>
      <c r="AC40" s="269" t="str">
        <f t="shared" si="15"/>
        <v>--</v>
      </c>
      <c r="AD40" s="192">
        <f t="shared" si="18"/>
      </c>
      <c r="AE40" s="193">
        <f t="shared" si="16"/>
      </c>
      <c r="AF40" s="194"/>
    </row>
    <row r="41" spans="2:32" s="8" customFormat="1" ht="16.5" customHeight="1">
      <c r="B41" s="55"/>
      <c r="C41" s="151"/>
      <c r="D41" s="151"/>
      <c r="E41" s="151"/>
      <c r="F41" s="200"/>
      <c r="G41" s="201"/>
      <c r="H41" s="202"/>
      <c r="I41" s="201"/>
      <c r="J41" s="173">
        <f t="shared" si="0"/>
        <v>20</v>
      </c>
      <c r="K41" s="174" t="e">
        <f t="shared" si="1"/>
        <v>#VALUE!</v>
      </c>
      <c r="L41" s="203"/>
      <c r="M41" s="205"/>
      <c r="N41" s="177">
        <f t="shared" si="2"/>
      </c>
      <c r="O41" s="178">
        <f t="shared" si="3"/>
      </c>
      <c r="P41" s="179"/>
      <c r="Q41" s="180">
        <f t="shared" si="4"/>
      </c>
      <c r="R41" s="181">
        <f t="shared" si="5"/>
      </c>
      <c r="S41" s="181">
        <f t="shared" si="17"/>
      </c>
      <c r="T41" s="260" t="str">
        <f t="shared" si="6"/>
        <v>--</v>
      </c>
      <c r="U41" s="261" t="str">
        <f t="shared" si="7"/>
        <v>--</v>
      </c>
      <c r="V41" s="262" t="str">
        <f t="shared" si="8"/>
        <v>--</v>
      </c>
      <c r="W41" s="263" t="str">
        <f t="shared" si="9"/>
        <v>--</v>
      </c>
      <c r="X41" s="264" t="str">
        <f t="shared" si="10"/>
        <v>--</v>
      </c>
      <c r="Y41" s="265" t="str">
        <f t="shared" si="11"/>
        <v>--</v>
      </c>
      <c r="Z41" s="266" t="str">
        <f t="shared" si="12"/>
        <v>--</v>
      </c>
      <c r="AA41" s="267" t="str">
        <f t="shared" si="13"/>
        <v>--</v>
      </c>
      <c r="AB41" s="268" t="str">
        <f t="shared" si="14"/>
        <v>--</v>
      </c>
      <c r="AC41" s="269" t="str">
        <f t="shared" si="15"/>
        <v>--</v>
      </c>
      <c r="AD41" s="192">
        <f t="shared" si="18"/>
      </c>
      <c r="AE41" s="193">
        <f t="shared" si="16"/>
      </c>
      <c r="AF41" s="194"/>
    </row>
    <row r="42" spans="2:32" s="8" customFormat="1" ht="16.5" customHeight="1" thickBot="1">
      <c r="B42" s="55"/>
      <c r="C42" s="170"/>
      <c r="D42" s="170"/>
      <c r="E42" s="170"/>
      <c r="F42" s="208"/>
      <c r="G42" s="209"/>
      <c r="H42" s="210"/>
      <c r="I42" s="211"/>
      <c r="J42" s="212"/>
      <c r="K42" s="213"/>
      <c r="L42" s="214"/>
      <c r="M42" s="214"/>
      <c r="N42" s="215"/>
      <c r="O42" s="215"/>
      <c r="P42" s="216"/>
      <c r="Q42" s="217"/>
      <c r="R42" s="216"/>
      <c r="S42" s="216"/>
      <c r="T42" s="218"/>
      <c r="U42" s="219"/>
      <c r="V42" s="220"/>
      <c r="W42" s="221"/>
      <c r="X42" s="222"/>
      <c r="Y42" s="223"/>
      <c r="Z42" s="224"/>
      <c r="AA42" s="225"/>
      <c r="AB42" s="226"/>
      <c r="AC42" s="227"/>
      <c r="AD42" s="228"/>
      <c r="AE42" s="229"/>
      <c r="AF42" s="194"/>
    </row>
    <row r="43" spans="2:32" s="8" customFormat="1" ht="16.5" customHeight="1" thickBot="1" thickTop="1">
      <c r="B43" s="55"/>
      <c r="C43" s="910" t="s">
        <v>402</v>
      </c>
      <c r="D43" s="909" t="s">
        <v>401</v>
      </c>
      <c r="E43" s="230"/>
      <c r="F43" s="231"/>
      <c r="G43" s="232"/>
      <c r="H43" s="233"/>
      <c r="I43" s="234"/>
      <c r="J43" s="233"/>
      <c r="K43" s="235"/>
      <c r="L43" s="235"/>
      <c r="M43" s="235"/>
      <c r="N43" s="235"/>
      <c r="O43" s="235"/>
      <c r="P43" s="235"/>
      <c r="Q43" s="236"/>
      <c r="R43" s="235"/>
      <c r="S43" s="235"/>
      <c r="T43" s="237">
        <f aca="true" t="shared" si="19" ref="T43:AC43">SUM(T20:T42)</f>
        <v>0</v>
      </c>
      <c r="U43" s="238">
        <f t="shared" si="19"/>
        <v>0</v>
      </c>
      <c r="V43" s="239">
        <f t="shared" si="19"/>
        <v>0</v>
      </c>
      <c r="W43" s="239">
        <f t="shared" si="19"/>
        <v>37971.605530656736</v>
      </c>
      <c r="X43" s="239">
        <f t="shared" si="19"/>
        <v>0</v>
      </c>
      <c r="Y43" s="240">
        <f t="shared" si="19"/>
        <v>0</v>
      </c>
      <c r="Z43" s="240">
        <f t="shared" si="19"/>
        <v>0</v>
      </c>
      <c r="AA43" s="240">
        <f t="shared" si="19"/>
        <v>0</v>
      </c>
      <c r="AB43" s="241">
        <f t="shared" si="19"/>
        <v>0</v>
      </c>
      <c r="AC43" s="242">
        <f t="shared" si="19"/>
        <v>0</v>
      </c>
      <c r="AD43" s="243"/>
      <c r="AE43" s="244">
        <f>ROUND(SUM(AE20:AE42),2)</f>
        <v>37971.61</v>
      </c>
      <c r="AF43" s="194"/>
    </row>
    <row r="44" spans="2:32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7"/>
    </row>
    <row r="45" spans="2:32" ht="16.5" customHeight="1" thickTop="1">
      <c r="B45" s="248"/>
      <c r="C45" s="248"/>
      <c r="D45" s="248"/>
      <c r="AF45" s="248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2" width="15.71093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276"/>
    </row>
    <row r="2" spans="1:30" s="3" customFormat="1" ht="26.25">
      <c r="A2" s="89"/>
      <c r="B2" s="277" t="str">
        <f>+'TOT-0412'!B2</f>
        <v>ANEXO V al Memorándum  D.T.E.E.  N°     461       / 2014</v>
      </c>
      <c r="C2" s="277"/>
      <c r="D2" s="277"/>
      <c r="E2" s="277"/>
      <c r="F2" s="277"/>
      <c r="G2" s="2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s="8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14" customFormat="1" ht="11.25">
      <c r="A4" s="278" t="s">
        <v>51</v>
      </c>
      <c r="B4" s="279"/>
      <c r="C4" s="279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</row>
    <row r="5" spans="1:30" s="14" customFormat="1" ht="11.25">
      <c r="A5" s="278" t="s">
        <v>3</v>
      </c>
      <c r="B5" s="279"/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</row>
    <row r="6" spans="1:30" s="8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8" customFormat="1" ht="13.5" thickTop="1">
      <c r="A7" s="90"/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95"/>
    </row>
    <row r="8" spans="1:30" s="18" customFormat="1" ht="20.25">
      <c r="A8" s="283"/>
      <c r="B8" s="284"/>
      <c r="C8" s="285"/>
      <c r="D8" s="285"/>
      <c r="E8" s="283"/>
      <c r="F8" s="286" t="s">
        <v>21</v>
      </c>
      <c r="G8" s="283"/>
      <c r="H8" s="283"/>
      <c r="I8" s="287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99"/>
    </row>
    <row r="9" spans="1:30" s="8" customFormat="1" ht="12.75">
      <c r="A9" s="90"/>
      <c r="B9" s="288"/>
      <c r="C9" s="84"/>
      <c r="D9" s="84"/>
      <c r="E9" s="90"/>
      <c r="F9" s="84"/>
      <c r="G9" s="289"/>
      <c r="H9" s="90"/>
      <c r="I9" s="84"/>
      <c r="J9" s="90"/>
      <c r="K9" s="90"/>
      <c r="L9" s="90"/>
      <c r="M9" s="90"/>
      <c r="N9" s="90"/>
      <c r="O9" s="90"/>
      <c r="P9" s="90"/>
      <c r="Q9" s="90"/>
      <c r="R9" s="90"/>
      <c r="S9" s="90"/>
      <c r="T9" s="84"/>
      <c r="U9" s="84"/>
      <c r="V9" s="84"/>
      <c r="W9" s="84"/>
      <c r="X9" s="84"/>
      <c r="Y9" s="84"/>
      <c r="Z9" s="84"/>
      <c r="AA9" s="84"/>
      <c r="AB9" s="84"/>
      <c r="AC9" s="84"/>
      <c r="AD9" s="100"/>
    </row>
    <row r="10" spans="1:30" s="296" customFormat="1" ht="30" customHeight="1">
      <c r="A10" s="290"/>
      <c r="B10" s="291"/>
      <c r="C10" s="292"/>
      <c r="D10" s="292"/>
      <c r="E10" s="290"/>
      <c r="F10" s="293" t="s">
        <v>52</v>
      </c>
      <c r="G10" s="290"/>
      <c r="H10" s="294"/>
      <c r="I10" s="292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5"/>
    </row>
    <row r="11" spans="1:30" s="300" customFormat="1" ht="9.75" customHeight="1">
      <c r="A11" s="297"/>
      <c r="B11" s="298"/>
      <c r="C11" s="299"/>
      <c r="D11" s="299"/>
      <c r="E11" s="297"/>
      <c r="G11" s="299"/>
      <c r="H11" s="299"/>
      <c r="I11" s="299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301"/>
    </row>
    <row r="12" spans="1:30" s="300" customFormat="1" ht="21" customHeight="1">
      <c r="A12" s="290"/>
      <c r="B12" s="291"/>
      <c r="C12" s="292"/>
      <c r="D12" s="292"/>
      <c r="E12" s="290"/>
      <c r="F12" s="302" t="s">
        <v>53</v>
      </c>
      <c r="G12" s="290"/>
      <c r="H12" s="290"/>
      <c r="I12" s="290"/>
      <c r="J12" s="303"/>
      <c r="K12" s="303"/>
      <c r="L12" s="303"/>
      <c r="M12" s="303"/>
      <c r="N12" s="303"/>
      <c r="O12" s="297"/>
      <c r="P12" s="297"/>
      <c r="Q12" s="297"/>
      <c r="R12" s="297"/>
      <c r="S12" s="297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1"/>
    </row>
    <row r="13" spans="1:30" s="8" customFormat="1" ht="12.75">
      <c r="A13" s="90"/>
      <c r="B13" s="288"/>
      <c r="C13" s="84"/>
      <c r="D13" s="84"/>
      <c r="E13" s="90"/>
      <c r="F13" s="84"/>
      <c r="G13" s="84"/>
      <c r="H13" s="84"/>
      <c r="I13" s="304"/>
      <c r="J13" s="84"/>
      <c r="K13" s="84"/>
      <c r="L13" s="84"/>
      <c r="M13" s="84"/>
      <c r="N13" s="84"/>
      <c r="O13" s="90"/>
      <c r="P13" s="90"/>
      <c r="Q13" s="90"/>
      <c r="R13" s="90"/>
      <c r="S13" s="90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100"/>
    </row>
    <row r="14" spans="1:30" s="34" customFormat="1" ht="19.5">
      <c r="A14" s="305"/>
      <c r="B14" s="35" t="str">
        <f>'TOT-0412'!B14</f>
        <v>Desde el 01 al 30 de abril de 2013</v>
      </c>
      <c r="C14" s="39"/>
      <c r="D14" s="39"/>
      <c r="E14" s="306"/>
      <c r="F14" s="307"/>
      <c r="G14" s="307"/>
      <c r="H14" s="307"/>
      <c r="I14" s="307"/>
      <c r="J14" s="307"/>
      <c r="K14" s="307"/>
      <c r="L14" s="307"/>
      <c r="M14" s="307"/>
      <c r="N14" s="307"/>
      <c r="O14" s="306"/>
      <c r="P14" s="306"/>
      <c r="Q14" s="306"/>
      <c r="R14" s="306"/>
      <c r="S14" s="306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8"/>
    </row>
    <row r="15" spans="1:30" s="8" customFormat="1" ht="13.5" thickBot="1">
      <c r="A15" s="90"/>
      <c r="B15" s="288"/>
      <c r="C15" s="84"/>
      <c r="D15" s="84"/>
      <c r="E15" s="90"/>
      <c r="F15" s="84"/>
      <c r="G15" s="84"/>
      <c r="H15" s="84"/>
      <c r="I15" s="304"/>
      <c r="J15" s="84"/>
      <c r="K15" s="84"/>
      <c r="L15" s="84"/>
      <c r="M15" s="84"/>
      <c r="N15" s="84"/>
      <c r="O15" s="90"/>
      <c r="P15" s="90"/>
      <c r="Q15" s="90"/>
      <c r="R15" s="90"/>
      <c r="S15" s="90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100"/>
    </row>
    <row r="16" spans="1:30" s="8" customFormat="1" ht="16.5" customHeight="1" thickBot="1" thickTop="1">
      <c r="A16" s="90"/>
      <c r="B16" s="288"/>
      <c r="C16" s="84"/>
      <c r="D16" s="84"/>
      <c r="E16" s="90"/>
      <c r="F16" s="309" t="s">
        <v>54</v>
      </c>
      <c r="G16" s="310"/>
      <c r="H16" s="311">
        <v>0.749</v>
      </c>
      <c r="J16" s="90"/>
      <c r="K16" s="90"/>
      <c r="L16" s="90"/>
      <c r="M16" s="90"/>
      <c r="N16" s="90"/>
      <c r="O16" s="90"/>
      <c r="P16" s="90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100"/>
    </row>
    <row r="17" spans="1:30" s="8" customFormat="1" ht="16.5" customHeight="1" thickBot="1" thickTop="1">
      <c r="A17" s="90"/>
      <c r="B17" s="288"/>
      <c r="C17" s="84"/>
      <c r="D17" s="84"/>
      <c r="E17" s="90"/>
      <c r="F17" s="312" t="s">
        <v>55</v>
      </c>
      <c r="G17" s="313"/>
      <c r="H17" s="314">
        <v>200</v>
      </c>
      <c r="I17" s="9"/>
      <c r="J17" s="84"/>
      <c r="K17" s="108"/>
      <c r="L17" s="109"/>
      <c r="M17" s="11"/>
      <c r="N17" s="84"/>
      <c r="O17" s="84"/>
      <c r="P17" s="84"/>
      <c r="Q17" s="84"/>
      <c r="R17" s="84"/>
      <c r="S17" s="84"/>
      <c r="T17" s="84"/>
      <c r="U17" s="84"/>
      <c r="V17" s="84"/>
      <c r="W17" s="315"/>
      <c r="X17" s="315"/>
      <c r="Y17" s="315"/>
      <c r="Z17" s="315"/>
      <c r="AA17" s="315"/>
      <c r="AB17" s="315"/>
      <c r="AC17" s="90"/>
      <c r="AD17" s="100"/>
    </row>
    <row r="18" spans="1:30" s="8" customFormat="1" ht="16.5" customHeight="1" thickBot="1" thickTop="1">
      <c r="A18" s="90"/>
      <c r="B18" s="288"/>
      <c r="C18" s="316">
        <v>3</v>
      </c>
      <c r="D18" s="316">
        <v>4</v>
      </c>
      <c r="E18" s="316">
        <v>5</v>
      </c>
      <c r="F18" s="316">
        <v>6</v>
      </c>
      <c r="G18" s="316">
        <v>7</v>
      </c>
      <c r="H18" s="316">
        <v>8</v>
      </c>
      <c r="I18" s="316">
        <v>9</v>
      </c>
      <c r="J18" s="316">
        <v>10</v>
      </c>
      <c r="K18" s="316">
        <v>11</v>
      </c>
      <c r="L18" s="316">
        <v>12</v>
      </c>
      <c r="M18" s="316">
        <v>13</v>
      </c>
      <c r="N18" s="316">
        <v>14</v>
      </c>
      <c r="O18" s="316">
        <v>15</v>
      </c>
      <c r="P18" s="316">
        <v>16</v>
      </c>
      <c r="Q18" s="316">
        <v>17</v>
      </c>
      <c r="R18" s="316">
        <v>18</v>
      </c>
      <c r="S18" s="316">
        <v>19</v>
      </c>
      <c r="T18" s="316">
        <v>20</v>
      </c>
      <c r="U18" s="316">
        <v>21</v>
      </c>
      <c r="V18" s="316">
        <v>22</v>
      </c>
      <c r="W18" s="316">
        <v>23</v>
      </c>
      <c r="X18" s="316">
        <v>24</v>
      </c>
      <c r="Y18" s="316">
        <v>25</v>
      </c>
      <c r="Z18" s="316">
        <v>26</v>
      </c>
      <c r="AA18" s="316">
        <v>27</v>
      </c>
      <c r="AB18" s="316">
        <v>28</v>
      </c>
      <c r="AC18" s="316">
        <v>29</v>
      </c>
      <c r="AD18" s="100"/>
    </row>
    <row r="19" spans="1:30" s="8" customFormat="1" ht="33.75" customHeight="1" thickBot="1" thickTop="1">
      <c r="A19" s="90"/>
      <c r="B19" s="288"/>
      <c r="C19" s="317" t="s">
        <v>26</v>
      </c>
      <c r="D19" s="112" t="s">
        <v>27</v>
      </c>
      <c r="E19" s="112" t="s">
        <v>28</v>
      </c>
      <c r="F19" s="318" t="s">
        <v>56</v>
      </c>
      <c r="G19" s="319" t="s">
        <v>57</v>
      </c>
      <c r="H19" s="320" t="s">
        <v>58</v>
      </c>
      <c r="I19" s="321" t="s">
        <v>29</v>
      </c>
      <c r="J19" s="322" t="s">
        <v>33</v>
      </c>
      <c r="K19" s="319" t="s">
        <v>34</v>
      </c>
      <c r="L19" s="319" t="s">
        <v>35</v>
      </c>
      <c r="M19" s="318" t="s">
        <v>59</v>
      </c>
      <c r="N19" s="318" t="s">
        <v>37</v>
      </c>
      <c r="O19" s="120" t="s">
        <v>296</v>
      </c>
      <c r="P19" s="120" t="s">
        <v>38</v>
      </c>
      <c r="Q19" s="323" t="s">
        <v>40</v>
      </c>
      <c r="R19" s="319" t="s">
        <v>60</v>
      </c>
      <c r="S19" s="324" t="s">
        <v>32</v>
      </c>
      <c r="T19" s="325" t="s">
        <v>41</v>
      </c>
      <c r="U19" s="326" t="s">
        <v>42</v>
      </c>
      <c r="V19" s="123" t="s">
        <v>61</v>
      </c>
      <c r="W19" s="125"/>
      <c r="X19" s="327" t="s">
        <v>62</v>
      </c>
      <c r="Y19" s="328"/>
      <c r="Z19" s="329" t="s">
        <v>45</v>
      </c>
      <c r="AA19" s="330" t="s">
        <v>46</v>
      </c>
      <c r="AB19" s="131" t="s">
        <v>47</v>
      </c>
      <c r="AC19" s="321" t="s">
        <v>48</v>
      </c>
      <c r="AD19" s="100"/>
    </row>
    <row r="20" spans="1:30" s="8" customFormat="1" ht="16.5" customHeight="1" thickTop="1">
      <c r="A20" s="90"/>
      <c r="B20" s="288"/>
      <c r="C20" s="331"/>
      <c r="D20" s="331"/>
      <c r="E20" s="331"/>
      <c r="F20" s="331"/>
      <c r="G20" s="331"/>
      <c r="H20" s="331"/>
      <c r="I20" s="332"/>
      <c r="J20" s="333"/>
      <c r="K20" s="331"/>
      <c r="L20" s="331"/>
      <c r="M20" s="331"/>
      <c r="N20" s="331"/>
      <c r="O20" s="331"/>
      <c r="P20" s="133"/>
      <c r="Q20" s="334"/>
      <c r="R20" s="331"/>
      <c r="S20" s="335"/>
      <c r="T20" s="336"/>
      <c r="U20" s="337"/>
      <c r="V20" s="338"/>
      <c r="W20" s="339"/>
      <c r="X20" s="340"/>
      <c r="Y20" s="341"/>
      <c r="Z20" s="342"/>
      <c r="AA20" s="343"/>
      <c r="AB20" s="334"/>
      <c r="AC20" s="344"/>
      <c r="AD20" s="100"/>
    </row>
    <row r="21" spans="1:30" s="8" customFormat="1" ht="16.5" customHeight="1">
      <c r="A21" s="90"/>
      <c r="B21" s="288"/>
      <c r="C21" s="151"/>
      <c r="D21" s="151"/>
      <c r="E21" s="151"/>
      <c r="F21" s="151"/>
      <c r="G21" s="151"/>
      <c r="H21" s="151"/>
      <c r="I21" s="345"/>
      <c r="J21" s="346"/>
      <c r="K21" s="151"/>
      <c r="L21" s="151"/>
      <c r="M21" s="151"/>
      <c r="N21" s="151"/>
      <c r="O21" s="151"/>
      <c r="P21" s="158"/>
      <c r="Q21" s="347"/>
      <c r="R21" s="151"/>
      <c r="S21" s="348"/>
      <c r="T21" s="349"/>
      <c r="U21" s="350"/>
      <c r="V21" s="351"/>
      <c r="W21" s="352"/>
      <c r="X21" s="353"/>
      <c r="Y21" s="354"/>
      <c r="Z21" s="355"/>
      <c r="AA21" s="356"/>
      <c r="AB21" s="347"/>
      <c r="AC21" s="357"/>
      <c r="AD21" s="100"/>
    </row>
    <row r="22" spans="1:30" s="8" customFormat="1" ht="16.5" customHeight="1">
      <c r="A22" s="90"/>
      <c r="B22" s="288"/>
      <c r="C22" s="170">
        <v>16</v>
      </c>
      <c r="D22" s="170">
        <v>259186</v>
      </c>
      <c r="E22" s="170">
        <v>78</v>
      </c>
      <c r="F22" s="358" t="s">
        <v>321</v>
      </c>
      <c r="G22" s="359" t="s">
        <v>322</v>
      </c>
      <c r="H22" s="360">
        <v>300</v>
      </c>
      <c r="I22" s="588" t="s">
        <v>124</v>
      </c>
      <c r="J22" s="362">
        <f aca="true" t="shared" si="0" ref="J22:J41">H22*$H$16</f>
        <v>224.7</v>
      </c>
      <c r="K22" s="363">
        <v>41365</v>
      </c>
      <c r="L22" s="363">
        <v>41387.748611111114</v>
      </c>
      <c r="M22" s="364">
        <f aca="true" t="shared" si="1" ref="M22:M41">IF(F22="","",(L22-K22)*24)</f>
        <v>545.9666666667326</v>
      </c>
      <c r="N22" s="365">
        <f aca="true" t="shared" si="2" ref="N22:N41">IF(F22="","",ROUND((L22-K22)*24*60,0))</f>
        <v>32758</v>
      </c>
      <c r="O22" s="366" t="s">
        <v>489</v>
      </c>
      <c r="P22" s="274" t="str">
        <f aca="true" t="shared" si="3" ref="P22:P41">IF(F22="","","--")</f>
        <v>--</v>
      </c>
      <c r="Q22" s="367" t="str">
        <f aca="true" t="shared" si="4" ref="Q22:Q41">IF(F22="","",IF(OR(O22="P",O22="RP"),"--","NO"))</f>
        <v>NO</v>
      </c>
      <c r="R22" s="181" t="str">
        <f aca="true" t="shared" si="5" ref="R22:R41">IF(F22="","","NO")</f>
        <v>NO</v>
      </c>
      <c r="S22" s="368">
        <f aca="true" t="shared" si="6" ref="S22:S41">$H$17*IF(OR(O22="P",O22="RP"),0.1,1)*IF(R22="SI",1,0.1)</f>
        <v>20</v>
      </c>
      <c r="T22" s="369" t="str">
        <f aca="true" t="shared" si="7" ref="T22:T41">IF(O22="P",J22*S22*ROUND(N22/60,2),"--")</f>
        <v>--</v>
      </c>
      <c r="U22" s="370" t="str">
        <f aca="true" t="shared" si="8" ref="U22:U41">IF(O22="RP",J22*S22*P22/100*ROUND(N22/60,2),"--")</f>
        <v>--</v>
      </c>
      <c r="V22" s="371" t="str">
        <f aca="true" t="shared" si="9" ref="V22:V41">IF(AND(O22="F",Q22="NO"),J22*S22,"--")</f>
        <v>--</v>
      </c>
      <c r="W22" s="372" t="str">
        <f aca="true" t="shared" si="10" ref="W22:W41">IF(O22="F",J22*S22*ROUND(N22/60,2),"--")</f>
        <v>--</v>
      </c>
      <c r="X22" s="373" t="str">
        <f aca="true" t="shared" si="11" ref="X22:X41">IF(AND(O22="R",Q22="NO"),J22*S22*P22/100,"--")</f>
        <v>--</v>
      </c>
      <c r="Y22" s="374" t="str">
        <f aca="true" t="shared" si="12" ref="Y22:Y41">IF(O22="R",J22*S22*P22/100*ROUND(N22/60,2),"--")</f>
        <v>--</v>
      </c>
      <c r="Z22" s="375">
        <f aca="true" t="shared" si="13" ref="Z22:Z41">IF(O22="RF",J22*S22*ROUND(N22/60,2),"--")</f>
        <v>2453589.18</v>
      </c>
      <c r="AA22" s="376" t="str">
        <f aca="true" t="shared" si="14" ref="AA22:AA41">IF(O22="RR",J22*S22*P22/100*ROUND(N22/60,2),"--")</f>
        <v>--</v>
      </c>
      <c r="AB22" s="377" t="s">
        <v>80</v>
      </c>
      <c r="AC22" s="193">
        <f aca="true" t="shared" si="15" ref="AC22:AC41">IF(F22="","",(SUM(T22:AA22)*IF(AB22="SI",1,2)*IF(AND(P22&lt;&gt;"--",O22="RF"),P22/100,1)))</f>
        <v>2453589.18</v>
      </c>
      <c r="AD22" s="100"/>
    </row>
    <row r="23" spans="1:30" s="8" customFormat="1" ht="16.5" customHeight="1">
      <c r="A23" s="90"/>
      <c r="B23" s="288"/>
      <c r="C23" s="151">
        <v>17</v>
      </c>
      <c r="D23" s="151">
        <v>259358</v>
      </c>
      <c r="E23" s="151">
        <v>5230</v>
      </c>
      <c r="F23" s="358" t="s">
        <v>325</v>
      </c>
      <c r="G23" s="359" t="s">
        <v>324</v>
      </c>
      <c r="H23" s="360">
        <v>150</v>
      </c>
      <c r="I23" s="588" t="s">
        <v>124</v>
      </c>
      <c r="J23" s="362">
        <f t="shared" si="0"/>
        <v>112.35</v>
      </c>
      <c r="K23" s="363">
        <v>41371.38125</v>
      </c>
      <c r="L23" s="363">
        <v>41371.76527777778</v>
      </c>
      <c r="M23" s="364">
        <f t="shared" si="1"/>
        <v>9.216666666674428</v>
      </c>
      <c r="N23" s="365">
        <f t="shared" si="2"/>
        <v>553</v>
      </c>
      <c r="O23" s="366" t="s">
        <v>309</v>
      </c>
      <c r="P23" s="274" t="str">
        <f t="shared" si="3"/>
        <v>--</v>
      </c>
      <c r="Q23" s="367" t="str">
        <f t="shared" si="4"/>
        <v>--</v>
      </c>
      <c r="R23" s="181" t="str">
        <f t="shared" si="5"/>
        <v>NO</v>
      </c>
      <c r="S23" s="368">
        <f t="shared" si="6"/>
        <v>2</v>
      </c>
      <c r="T23" s="369">
        <f t="shared" si="7"/>
        <v>2071.734</v>
      </c>
      <c r="U23" s="370" t="str">
        <f t="shared" si="8"/>
        <v>--</v>
      </c>
      <c r="V23" s="371" t="str">
        <f t="shared" si="9"/>
        <v>--</v>
      </c>
      <c r="W23" s="372" t="str">
        <f t="shared" si="10"/>
        <v>--</v>
      </c>
      <c r="X23" s="373" t="str">
        <f t="shared" si="11"/>
        <v>--</v>
      </c>
      <c r="Y23" s="374" t="str">
        <f t="shared" si="12"/>
        <v>--</v>
      </c>
      <c r="Z23" s="375" t="str">
        <f t="shared" si="13"/>
        <v>--</v>
      </c>
      <c r="AA23" s="376" t="str">
        <f t="shared" si="14"/>
        <v>--</v>
      </c>
      <c r="AB23" s="377" t="s">
        <v>80</v>
      </c>
      <c r="AC23" s="193">
        <f t="shared" si="15"/>
        <v>2071.734</v>
      </c>
      <c r="AD23" s="100"/>
    </row>
    <row r="24" spans="1:30" s="8" customFormat="1" ht="16.5" customHeight="1">
      <c r="A24" s="90"/>
      <c r="B24" s="288"/>
      <c r="C24" s="170">
        <v>18</v>
      </c>
      <c r="D24" s="170">
        <v>259516</v>
      </c>
      <c r="E24" s="170">
        <v>5185</v>
      </c>
      <c r="F24" s="358" t="s">
        <v>405</v>
      </c>
      <c r="G24" s="359" t="s">
        <v>406</v>
      </c>
      <c r="H24" s="360">
        <v>300</v>
      </c>
      <c r="I24" s="588" t="s">
        <v>122</v>
      </c>
      <c r="J24" s="362">
        <f t="shared" si="0"/>
        <v>224.7</v>
      </c>
      <c r="K24" s="363">
        <v>41373.42291666667</v>
      </c>
      <c r="L24" s="363">
        <v>41373.65138888889</v>
      </c>
      <c r="M24" s="364">
        <f t="shared" si="1"/>
        <v>5.4833333332207985</v>
      </c>
      <c r="N24" s="365">
        <f t="shared" si="2"/>
        <v>329</v>
      </c>
      <c r="O24" s="366" t="s">
        <v>309</v>
      </c>
      <c r="P24" s="274" t="str">
        <f t="shared" si="3"/>
        <v>--</v>
      </c>
      <c r="Q24" s="367" t="str">
        <f t="shared" si="4"/>
        <v>--</v>
      </c>
      <c r="R24" s="181" t="str">
        <f t="shared" si="5"/>
        <v>NO</v>
      </c>
      <c r="S24" s="368">
        <f t="shared" si="6"/>
        <v>2</v>
      </c>
      <c r="T24" s="369">
        <f t="shared" si="7"/>
        <v>2462.712</v>
      </c>
      <c r="U24" s="370" t="str">
        <f t="shared" si="8"/>
        <v>--</v>
      </c>
      <c r="V24" s="371" t="str">
        <f t="shared" si="9"/>
        <v>--</v>
      </c>
      <c r="W24" s="372" t="str">
        <f t="shared" si="10"/>
        <v>--</v>
      </c>
      <c r="X24" s="373" t="str">
        <f t="shared" si="11"/>
        <v>--</v>
      </c>
      <c r="Y24" s="374" t="str">
        <f t="shared" si="12"/>
        <v>--</v>
      </c>
      <c r="Z24" s="375" t="str">
        <f t="shared" si="13"/>
        <v>--</v>
      </c>
      <c r="AA24" s="376" t="str">
        <f t="shared" si="14"/>
        <v>--</v>
      </c>
      <c r="AB24" s="377" t="s">
        <v>80</v>
      </c>
      <c r="AC24" s="193">
        <v>0</v>
      </c>
      <c r="AD24" s="100"/>
    </row>
    <row r="25" spans="1:30" s="8" customFormat="1" ht="16.5" customHeight="1">
      <c r="A25" s="90"/>
      <c r="B25" s="288"/>
      <c r="C25" s="151">
        <v>19</v>
      </c>
      <c r="D25" s="151">
        <v>259519</v>
      </c>
      <c r="E25" s="151">
        <v>5185</v>
      </c>
      <c r="F25" s="358" t="s">
        <v>405</v>
      </c>
      <c r="G25" s="359" t="s">
        <v>406</v>
      </c>
      <c r="H25" s="360">
        <v>300</v>
      </c>
      <c r="I25" s="588" t="s">
        <v>122</v>
      </c>
      <c r="J25" s="362">
        <f t="shared" si="0"/>
        <v>224.7</v>
      </c>
      <c r="K25" s="363">
        <v>41374.35625</v>
      </c>
      <c r="L25" s="363">
        <v>41374.57361111111</v>
      </c>
      <c r="M25" s="364">
        <f t="shared" si="1"/>
        <v>5.216666666732635</v>
      </c>
      <c r="N25" s="365">
        <f t="shared" si="2"/>
        <v>313</v>
      </c>
      <c r="O25" s="366" t="s">
        <v>309</v>
      </c>
      <c r="P25" s="274" t="str">
        <f t="shared" si="3"/>
        <v>--</v>
      </c>
      <c r="Q25" s="367" t="str">
        <f t="shared" si="4"/>
        <v>--</v>
      </c>
      <c r="R25" s="181" t="str">
        <f t="shared" si="5"/>
        <v>NO</v>
      </c>
      <c r="S25" s="368">
        <f t="shared" si="6"/>
        <v>2</v>
      </c>
      <c r="T25" s="369">
        <f t="shared" si="7"/>
        <v>2345.868</v>
      </c>
      <c r="U25" s="370" t="str">
        <f t="shared" si="8"/>
        <v>--</v>
      </c>
      <c r="V25" s="371" t="str">
        <f t="shared" si="9"/>
        <v>--</v>
      </c>
      <c r="W25" s="372" t="str">
        <f t="shared" si="10"/>
        <v>--</v>
      </c>
      <c r="X25" s="373" t="str">
        <f t="shared" si="11"/>
        <v>--</v>
      </c>
      <c r="Y25" s="374" t="str">
        <f t="shared" si="12"/>
        <v>--</v>
      </c>
      <c r="Z25" s="375" t="str">
        <f t="shared" si="13"/>
        <v>--</v>
      </c>
      <c r="AA25" s="376" t="str">
        <f t="shared" si="14"/>
        <v>--</v>
      </c>
      <c r="AB25" s="377" t="s">
        <v>80</v>
      </c>
      <c r="AC25" s="193">
        <v>0</v>
      </c>
      <c r="AD25" s="100"/>
    </row>
    <row r="26" spans="1:30" s="8" customFormat="1" ht="16.5" customHeight="1">
      <c r="A26" s="90"/>
      <c r="B26" s="288"/>
      <c r="C26" s="170">
        <v>20</v>
      </c>
      <c r="D26" s="170">
        <v>259693</v>
      </c>
      <c r="E26" s="170">
        <v>82</v>
      </c>
      <c r="F26" s="358" t="s">
        <v>323</v>
      </c>
      <c r="G26" s="359" t="s">
        <v>324</v>
      </c>
      <c r="H26" s="360">
        <v>300</v>
      </c>
      <c r="I26" s="911" t="s">
        <v>122</v>
      </c>
      <c r="J26" s="362">
        <f t="shared" si="0"/>
        <v>224.7</v>
      </c>
      <c r="K26" s="363">
        <v>41380.99722222222</v>
      </c>
      <c r="L26" s="363">
        <v>41381.27361111111</v>
      </c>
      <c r="M26" s="364">
        <f t="shared" si="1"/>
        <v>6.633333333302289</v>
      </c>
      <c r="N26" s="365">
        <f t="shared" si="2"/>
        <v>398</v>
      </c>
      <c r="O26" s="366" t="s">
        <v>309</v>
      </c>
      <c r="P26" s="274" t="str">
        <f t="shared" si="3"/>
        <v>--</v>
      </c>
      <c r="Q26" s="367" t="str">
        <f t="shared" si="4"/>
        <v>--</v>
      </c>
      <c r="R26" s="181" t="str">
        <f t="shared" si="5"/>
        <v>NO</v>
      </c>
      <c r="S26" s="368">
        <f t="shared" si="6"/>
        <v>2</v>
      </c>
      <c r="T26" s="369">
        <f t="shared" si="7"/>
        <v>2979.522</v>
      </c>
      <c r="U26" s="370" t="str">
        <f t="shared" si="8"/>
        <v>--</v>
      </c>
      <c r="V26" s="371" t="str">
        <f t="shared" si="9"/>
        <v>--</v>
      </c>
      <c r="W26" s="372" t="str">
        <f t="shared" si="10"/>
        <v>--</v>
      </c>
      <c r="X26" s="373" t="str">
        <f t="shared" si="11"/>
        <v>--</v>
      </c>
      <c r="Y26" s="374" t="str">
        <f t="shared" si="12"/>
        <v>--</v>
      </c>
      <c r="Z26" s="375" t="str">
        <f t="shared" si="13"/>
        <v>--</v>
      </c>
      <c r="AA26" s="376" t="str">
        <f t="shared" si="14"/>
        <v>--</v>
      </c>
      <c r="AB26" s="377" t="s">
        <v>80</v>
      </c>
      <c r="AC26" s="193">
        <f t="shared" si="15"/>
        <v>2979.522</v>
      </c>
      <c r="AD26" s="100"/>
    </row>
    <row r="27" spans="1:30" s="8" customFormat="1" ht="16.5" customHeight="1">
      <c r="A27" s="90"/>
      <c r="B27" s="288"/>
      <c r="C27" s="151">
        <v>21</v>
      </c>
      <c r="D27" s="151">
        <v>259707</v>
      </c>
      <c r="E27" s="151">
        <v>68</v>
      </c>
      <c r="F27" s="358" t="s">
        <v>325</v>
      </c>
      <c r="G27" s="359" t="s">
        <v>322</v>
      </c>
      <c r="H27" s="360">
        <v>150</v>
      </c>
      <c r="I27" s="911" t="s">
        <v>122</v>
      </c>
      <c r="J27" s="362">
        <f t="shared" si="0"/>
        <v>112.35</v>
      </c>
      <c r="K27" s="363">
        <v>41385.32777777778</v>
      </c>
      <c r="L27" s="363">
        <v>41385.69583333333</v>
      </c>
      <c r="M27" s="364">
        <f t="shared" si="1"/>
        <v>8.83333333331393</v>
      </c>
      <c r="N27" s="365">
        <f t="shared" si="2"/>
        <v>530</v>
      </c>
      <c r="O27" s="366" t="s">
        <v>309</v>
      </c>
      <c r="P27" s="274" t="str">
        <f t="shared" si="3"/>
        <v>--</v>
      </c>
      <c r="Q27" s="367" t="str">
        <f t="shared" si="4"/>
        <v>--</v>
      </c>
      <c r="R27" s="181" t="str">
        <f t="shared" si="5"/>
        <v>NO</v>
      </c>
      <c r="S27" s="368">
        <f t="shared" si="6"/>
        <v>2</v>
      </c>
      <c r="T27" s="369">
        <f t="shared" si="7"/>
        <v>1984.1009999999999</v>
      </c>
      <c r="U27" s="370" t="str">
        <f t="shared" si="8"/>
        <v>--</v>
      </c>
      <c r="V27" s="371" t="str">
        <f t="shared" si="9"/>
        <v>--</v>
      </c>
      <c r="W27" s="372" t="str">
        <f t="shared" si="10"/>
        <v>--</v>
      </c>
      <c r="X27" s="373" t="str">
        <f t="shared" si="11"/>
        <v>--</v>
      </c>
      <c r="Y27" s="374" t="str">
        <f t="shared" si="12"/>
        <v>--</v>
      </c>
      <c r="Z27" s="375" t="str">
        <f t="shared" si="13"/>
        <v>--</v>
      </c>
      <c r="AA27" s="376" t="str">
        <f t="shared" si="14"/>
        <v>--</v>
      </c>
      <c r="AB27" s="377" t="s">
        <v>80</v>
      </c>
      <c r="AC27" s="193">
        <f t="shared" si="15"/>
        <v>1984.1009999999999</v>
      </c>
      <c r="AD27" s="100"/>
    </row>
    <row r="28" spans="1:31" s="8" customFormat="1" ht="16.5" customHeight="1">
      <c r="A28" s="90"/>
      <c r="B28" s="288"/>
      <c r="C28" s="170">
        <v>22</v>
      </c>
      <c r="D28" s="170">
        <v>259708</v>
      </c>
      <c r="E28" s="170">
        <v>63</v>
      </c>
      <c r="F28" s="358" t="s">
        <v>405</v>
      </c>
      <c r="G28" s="359" t="s">
        <v>322</v>
      </c>
      <c r="H28" s="360">
        <v>200</v>
      </c>
      <c r="I28" s="588" t="s">
        <v>373</v>
      </c>
      <c r="J28" s="362">
        <f t="shared" si="0"/>
        <v>149.8</v>
      </c>
      <c r="K28" s="363">
        <v>41385.34027777778</v>
      </c>
      <c r="L28" s="363">
        <v>41385.74444444444</v>
      </c>
      <c r="M28" s="364">
        <f t="shared" si="1"/>
        <v>9.699999999837019</v>
      </c>
      <c r="N28" s="365">
        <f t="shared" si="2"/>
        <v>582</v>
      </c>
      <c r="O28" s="366" t="s">
        <v>309</v>
      </c>
      <c r="P28" s="274" t="str">
        <f t="shared" si="3"/>
        <v>--</v>
      </c>
      <c r="Q28" s="367" t="str">
        <f t="shared" si="4"/>
        <v>--</v>
      </c>
      <c r="R28" s="181" t="str">
        <f t="shared" si="5"/>
        <v>NO</v>
      </c>
      <c r="S28" s="368">
        <f t="shared" si="6"/>
        <v>2</v>
      </c>
      <c r="T28" s="369">
        <f t="shared" si="7"/>
        <v>2906.12</v>
      </c>
      <c r="U28" s="370" t="str">
        <f t="shared" si="8"/>
        <v>--</v>
      </c>
      <c r="V28" s="371" t="str">
        <f t="shared" si="9"/>
        <v>--</v>
      </c>
      <c r="W28" s="372" t="str">
        <f t="shared" si="10"/>
        <v>--</v>
      </c>
      <c r="X28" s="373" t="str">
        <f t="shared" si="11"/>
        <v>--</v>
      </c>
      <c r="Y28" s="374" t="str">
        <f t="shared" si="12"/>
        <v>--</v>
      </c>
      <c r="Z28" s="375" t="str">
        <f t="shared" si="13"/>
        <v>--</v>
      </c>
      <c r="AA28" s="376" t="str">
        <f t="shared" si="14"/>
        <v>--</v>
      </c>
      <c r="AB28" s="377" t="s">
        <v>80</v>
      </c>
      <c r="AC28" s="193">
        <v>0</v>
      </c>
      <c r="AD28" s="100"/>
      <c r="AE28" s="84"/>
    </row>
    <row r="29" spans="1:30" s="8" customFormat="1" ht="16.5" customHeight="1">
      <c r="A29" s="90"/>
      <c r="B29" s="288"/>
      <c r="C29" s="151">
        <v>23</v>
      </c>
      <c r="D29" s="151">
        <v>259900</v>
      </c>
      <c r="E29" s="151">
        <v>84</v>
      </c>
      <c r="F29" s="358" t="s">
        <v>326</v>
      </c>
      <c r="G29" s="359" t="s">
        <v>327</v>
      </c>
      <c r="H29" s="360">
        <v>150</v>
      </c>
      <c r="I29" s="911" t="s">
        <v>407</v>
      </c>
      <c r="J29" s="362">
        <f t="shared" si="0"/>
        <v>112.35</v>
      </c>
      <c r="K29" s="363">
        <v>41391.356944444444</v>
      </c>
      <c r="L29" s="363">
        <v>41393.78958333333</v>
      </c>
      <c r="M29" s="364">
        <f t="shared" si="1"/>
        <v>58.38333333330229</v>
      </c>
      <c r="N29" s="365">
        <f t="shared" si="2"/>
        <v>3503</v>
      </c>
      <c r="O29" s="366" t="s">
        <v>309</v>
      </c>
      <c r="P29" s="274" t="str">
        <f t="shared" si="3"/>
        <v>--</v>
      </c>
      <c r="Q29" s="367" t="str">
        <f t="shared" si="4"/>
        <v>--</v>
      </c>
      <c r="R29" s="181" t="str">
        <f t="shared" si="5"/>
        <v>NO</v>
      </c>
      <c r="S29" s="368">
        <f t="shared" si="6"/>
        <v>2</v>
      </c>
      <c r="T29" s="369">
        <f t="shared" si="7"/>
        <v>13117.986</v>
      </c>
      <c r="U29" s="370" t="str">
        <f t="shared" si="8"/>
        <v>--</v>
      </c>
      <c r="V29" s="371" t="str">
        <f t="shared" si="9"/>
        <v>--</v>
      </c>
      <c r="W29" s="372" t="str">
        <f t="shared" si="10"/>
        <v>--</v>
      </c>
      <c r="X29" s="373" t="str">
        <f t="shared" si="11"/>
        <v>--</v>
      </c>
      <c r="Y29" s="374" t="str">
        <f t="shared" si="12"/>
        <v>--</v>
      </c>
      <c r="Z29" s="375" t="str">
        <f t="shared" si="13"/>
        <v>--</v>
      </c>
      <c r="AA29" s="376" t="str">
        <f t="shared" si="14"/>
        <v>--</v>
      </c>
      <c r="AB29" s="377" t="s">
        <v>80</v>
      </c>
      <c r="AC29" s="193">
        <f t="shared" si="15"/>
        <v>13117.986</v>
      </c>
      <c r="AD29" s="100"/>
    </row>
    <row r="30" spans="1:30" s="8" customFormat="1" ht="16.5" customHeight="1">
      <c r="A30" s="90"/>
      <c r="B30" s="288"/>
      <c r="C30" s="170">
        <v>24</v>
      </c>
      <c r="D30" s="170">
        <v>260120</v>
      </c>
      <c r="E30" s="170">
        <v>84</v>
      </c>
      <c r="F30" s="358" t="s">
        <v>326</v>
      </c>
      <c r="G30" s="359" t="s">
        <v>327</v>
      </c>
      <c r="H30" s="360">
        <v>150</v>
      </c>
      <c r="I30" s="911" t="s">
        <v>407</v>
      </c>
      <c r="J30" s="362">
        <f t="shared" si="0"/>
        <v>112.35</v>
      </c>
      <c r="K30" s="363">
        <v>41394.666666666664</v>
      </c>
      <c r="L30" s="363">
        <v>41394.99930555555</v>
      </c>
      <c r="M30" s="364">
        <f t="shared" si="1"/>
        <v>7.983333333337214</v>
      </c>
      <c r="N30" s="365">
        <f t="shared" si="2"/>
        <v>479</v>
      </c>
      <c r="O30" s="366" t="s">
        <v>310</v>
      </c>
      <c r="P30" s="274" t="str">
        <f t="shared" si="3"/>
        <v>--</v>
      </c>
      <c r="Q30" s="367" t="str">
        <f t="shared" si="4"/>
        <v>NO</v>
      </c>
      <c r="R30" s="181" t="str">
        <f t="shared" si="5"/>
        <v>NO</v>
      </c>
      <c r="S30" s="368">
        <f t="shared" si="6"/>
        <v>20</v>
      </c>
      <c r="T30" s="369" t="str">
        <f t="shared" si="7"/>
        <v>--</v>
      </c>
      <c r="U30" s="370" t="str">
        <f t="shared" si="8"/>
        <v>--</v>
      </c>
      <c r="V30" s="371">
        <f t="shared" si="9"/>
        <v>2247</v>
      </c>
      <c r="W30" s="372">
        <f t="shared" si="10"/>
        <v>17931.06</v>
      </c>
      <c r="X30" s="373" t="str">
        <f t="shared" si="11"/>
        <v>--</v>
      </c>
      <c r="Y30" s="374" t="str">
        <f t="shared" si="12"/>
        <v>--</v>
      </c>
      <c r="Z30" s="375" t="str">
        <f t="shared" si="13"/>
        <v>--</v>
      </c>
      <c r="AA30" s="376" t="str">
        <f t="shared" si="14"/>
        <v>--</v>
      </c>
      <c r="AB30" s="377" t="s">
        <v>80</v>
      </c>
      <c r="AC30" s="193">
        <f t="shared" si="15"/>
        <v>20178.06</v>
      </c>
      <c r="AD30" s="100"/>
    </row>
    <row r="31" spans="1:30" s="8" customFormat="1" ht="16.5" customHeight="1">
      <c r="A31" s="90"/>
      <c r="B31" s="288"/>
      <c r="C31" s="151"/>
      <c r="D31" s="151"/>
      <c r="E31" s="151"/>
      <c r="F31" s="358"/>
      <c r="G31" s="359"/>
      <c r="H31" s="360"/>
      <c r="I31" s="361"/>
      <c r="J31" s="362">
        <f t="shared" si="0"/>
        <v>0</v>
      </c>
      <c r="K31" s="363"/>
      <c r="L31" s="363"/>
      <c r="M31" s="364">
        <f t="shared" si="1"/>
      </c>
      <c r="N31" s="365">
        <f t="shared" si="2"/>
      </c>
      <c r="O31" s="366"/>
      <c r="P31" s="274">
        <f t="shared" si="3"/>
      </c>
      <c r="Q31" s="367">
        <f t="shared" si="4"/>
      </c>
      <c r="R31" s="181">
        <f t="shared" si="5"/>
      </c>
      <c r="S31" s="368">
        <f t="shared" si="6"/>
        <v>20</v>
      </c>
      <c r="T31" s="369" t="str">
        <f t="shared" si="7"/>
        <v>--</v>
      </c>
      <c r="U31" s="370" t="str">
        <f t="shared" si="8"/>
        <v>--</v>
      </c>
      <c r="V31" s="371" t="str">
        <f t="shared" si="9"/>
        <v>--</v>
      </c>
      <c r="W31" s="372" t="str">
        <f t="shared" si="10"/>
        <v>--</v>
      </c>
      <c r="X31" s="373" t="str">
        <f t="shared" si="11"/>
        <v>--</v>
      </c>
      <c r="Y31" s="374" t="str">
        <f t="shared" si="12"/>
        <v>--</v>
      </c>
      <c r="Z31" s="375" t="str">
        <f t="shared" si="13"/>
        <v>--</v>
      </c>
      <c r="AA31" s="376" t="str">
        <f t="shared" si="14"/>
        <v>--</v>
      </c>
      <c r="AB31" s="377">
        <f aca="true" t="shared" si="16" ref="AB31:AB41">IF(F31="","","SI")</f>
      </c>
      <c r="AC31" s="193">
        <f t="shared" si="15"/>
      </c>
      <c r="AD31" s="100"/>
    </row>
    <row r="32" spans="1:30" s="8" customFormat="1" ht="16.5" customHeight="1">
      <c r="A32" s="90"/>
      <c r="B32" s="288"/>
      <c r="C32" s="170"/>
      <c r="D32" s="170"/>
      <c r="E32" s="170"/>
      <c r="F32" s="358"/>
      <c r="G32" s="378"/>
      <c r="H32" s="360"/>
      <c r="I32" s="361"/>
      <c r="J32" s="362">
        <f t="shared" si="0"/>
        <v>0</v>
      </c>
      <c r="K32" s="363"/>
      <c r="L32" s="363"/>
      <c r="M32" s="364">
        <f t="shared" si="1"/>
      </c>
      <c r="N32" s="365">
        <f t="shared" si="2"/>
      </c>
      <c r="O32" s="366"/>
      <c r="P32" s="274">
        <f t="shared" si="3"/>
      </c>
      <c r="Q32" s="367">
        <f t="shared" si="4"/>
      </c>
      <c r="R32" s="181">
        <f t="shared" si="5"/>
      </c>
      <c r="S32" s="368">
        <f t="shared" si="6"/>
        <v>20</v>
      </c>
      <c r="T32" s="369" t="str">
        <f t="shared" si="7"/>
        <v>--</v>
      </c>
      <c r="U32" s="370" t="str">
        <f t="shared" si="8"/>
        <v>--</v>
      </c>
      <c r="V32" s="371" t="str">
        <f t="shared" si="9"/>
        <v>--</v>
      </c>
      <c r="W32" s="372" t="str">
        <f t="shared" si="10"/>
        <v>--</v>
      </c>
      <c r="X32" s="373" t="str">
        <f t="shared" si="11"/>
        <v>--</v>
      </c>
      <c r="Y32" s="374" t="str">
        <f t="shared" si="12"/>
        <v>--</v>
      </c>
      <c r="Z32" s="375" t="str">
        <f t="shared" si="13"/>
        <v>--</v>
      </c>
      <c r="AA32" s="376" t="str">
        <f t="shared" si="14"/>
        <v>--</v>
      </c>
      <c r="AB32" s="377">
        <f t="shared" si="16"/>
      </c>
      <c r="AC32" s="193">
        <f t="shared" si="15"/>
      </c>
      <c r="AD32" s="100"/>
    </row>
    <row r="33" spans="1:30" s="8" customFormat="1" ht="16.5" customHeight="1">
      <c r="A33" s="90"/>
      <c r="B33" s="288"/>
      <c r="C33" s="151"/>
      <c r="D33" s="151"/>
      <c r="E33" s="151"/>
      <c r="F33" s="358"/>
      <c r="G33" s="378"/>
      <c r="H33" s="360"/>
      <c r="I33" s="361"/>
      <c r="J33" s="362">
        <f t="shared" si="0"/>
        <v>0</v>
      </c>
      <c r="K33" s="363"/>
      <c r="L33" s="363"/>
      <c r="M33" s="364">
        <f t="shared" si="1"/>
      </c>
      <c r="N33" s="365">
        <f t="shared" si="2"/>
      </c>
      <c r="O33" s="366"/>
      <c r="P33" s="274">
        <f t="shared" si="3"/>
      </c>
      <c r="Q33" s="367">
        <f t="shared" si="4"/>
      </c>
      <c r="R33" s="181">
        <f t="shared" si="5"/>
      </c>
      <c r="S33" s="368">
        <f t="shared" si="6"/>
        <v>20</v>
      </c>
      <c r="T33" s="369" t="str">
        <f t="shared" si="7"/>
        <v>--</v>
      </c>
      <c r="U33" s="370" t="str">
        <f t="shared" si="8"/>
        <v>--</v>
      </c>
      <c r="V33" s="371" t="str">
        <f t="shared" si="9"/>
        <v>--</v>
      </c>
      <c r="W33" s="372" t="str">
        <f t="shared" si="10"/>
        <v>--</v>
      </c>
      <c r="X33" s="373" t="str">
        <f t="shared" si="11"/>
        <v>--</v>
      </c>
      <c r="Y33" s="374" t="str">
        <f t="shared" si="12"/>
        <v>--</v>
      </c>
      <c r="Z33" s="375" t="str">
        <f t="shared" si="13"/>
        <v>--</v>
      </c>
      <c r="AA33" s="376" t="str">
        <f t="shared" si="14"/>
        <v>--</v>
      </c>
      <c r="AB33" s="377">
        <f t="shared" si="16"/>
      </c>
      <c r="AC33" s="193">
        <f t="shared" si="15"/>
      </c>
      <c r="AD33" s="100"/>
    </row>
    <row r="34" spans="1:30" s="8" customFormat="1" ht="16.5" customHeight="1">
      <c r="A34" s="90"/>
      <c r="B34" s="288"/>
      <c r="C34" s="170"/>
      <c r="D34" s="170"/>
      <c r="E34" s="170"/>
      <c r="F34" s="358"/>
      <c r="G34" s="378"/>
      <c r="H34" s="360"/>
      <c r="I34" s="361"/>
      <c r="J34" s="362">
        <f t="shared" si="0"/>
        <v>0</v>
      </c>
      <c r="K34" s="363"/>
      <c r="L34" s="363"/>
      <c r="M34" s="364">
        <f t="shared" si="1"/>
      </c>
      <c r="N34" s="365">
        <f t="shared" si="2"/>
      </c>
      <c r="O34" s="366"/>
      <c r="P34" s="274">
        <f t="shared" si="3"/>
      </c>
      <c r="Q34" s="367">
        <f t="shared" si="4"/>
      </c>
      <c r="R34" s="181">
        <f t="shared" si="5"/>
      </c>
      <c r="S34" s="368">
        <f t="shared" si="6"/>
        <v>20</v>
      </c>
      <c r="T34" s="369" t="str">
        <f t="shared" si="7"/>
        <v>--</v>
      </c>
      <c r="U34" s="370" t="str">
        <f t="shared" si="8"/>
        <v>--</v>
      </c>
      <c r="V34" s="371" t="str">
        <f t="shared" si="9"/>
        <v>--</v>
      </c>
      <c r="W34" s="372" t="str">
        <f t="shared" si="10"/>
        <v>--</v>
      </c>
      <c r="X34" s="373" t="str">
        <f t="shared" si="11"/>
        <v>--</v>
      </c>
      <c r="Y34" s="374" t="str">
        <f t="shared" si="12"/>
        <v>--</v>
      </c>
      <c r="Z34" s="375" t="str">
        <f t="shared" si="13"/>
        <v>--</v>
      </c>
      <c r="AA34" s="376" t="str">
        <f t="shared" si="14"/>
        <v>--</v>
      </c>
      <c r="AB34" s="377">
        <f t="shared" si="16"/>
      </c>
      <c r="AC34" s="193">
        <f t="shared" si="15"/>
      </c>
      <c r="AD34" s="100"/>
    </row>
    <row r="35" spans="1:30" s="8" customFormat="1" ht="16.5" customHeight="1">
      <c r="A35" s="90"/>
      <c r="B35" s="288"/>
      <c r="C35" s="151"/>
      <c r="D35" s="151"/>
      <c r="E35" s="151"/>
      <c r="F35" s="358"/>
      <c r="G35" s="378"/>
      <c r="H35" s="360"/>
      <c r="I35" s="361"/>
      <c r="J35" s="362">
        <f t="shared" si="0"/>
        <v>0</v>
      </c>
      <c r="K35" s="363"/>
      <c r="L35" s="363"/>
      <c r="M35" s="364">
        <f t="shared" si="1"/>
      </c>
      <c r="N35" s="365">
        <f t="shared" si="2"/>
      </c>
      <c r="O35" s="366"/>
      <c r="P35" s="274">
        <f t="shared" si="3"/>
      </c>
      <c r="Q35" s="367">
        <f t="shared" si="4"/>
      </c>
      <c r="R35" s="181">
        <f t="shared" si="5"/>
      </c>
      <c r="S35" s="368">
        <f t="shared" si="6"/>
        <v>20</v>
      </c>
      <c r="T35" s="369" t="str">
        <f t="shared" si="7"/>
        <v>--</v>
      </c>
      <c r="U35" s="370" t="str">
        <f t="shared" si="8"/>
        <v>--</v>
      </c>
      <c r="V35" s="371" t="str">
        <f t="shared" si="9"/>
        <v>--</v>
      </c>
      <c r="W35" s="372" t="str">
        <f t="shared" si="10"/>
        <v>--</v>
      </c>
      <c r="X35" s="373" t="str">
        <f t="shared" si="11"/>
        <v>--</v>
      </c>
      <c r="Y35" s="374" t="str">
        <f t="shared" si="12"/>
        <v>--</v>
      </c>
      <c r="Z35" s="375" t="str">
        <f t="shared" si="13"/>
        <v>--</v>
      </c>
      <c r="AA35" s="376" t="str">
        <f t="shared" si="14"/>
        <v>--</v>
      </c>
      <c r="AB35" s="377">
        <f t="shared" si="16"/>
      </c>
      <c r="AC35" s="193">
        <f t="shared" si="15"/>
      </c>
      <c r="AD35" s="100"/>
    </row>
    <row r="36" spans="1:30" s="8" customFormat="1" ht="16.5" customHeight="1">
      <c r="A36" s="90"/>
      <c r="B36" s="288"/>
      <c r="C36" s="170"/>
      <c r="D36" s="170"/>
      <c r="E36" s="170"/>
      <c r="F36" s="358"/>
      <c r="G36" s="378"/>
      <c r="H36" s="360"/>
      <c r="I36" s="361"/>
      <c r="J36" s="362">
        <f t="shared" si="0"/>
        <v>0</v>
      </c>
      <c r="K36" s="363"/>
      <c r="L36" s="363"/>
      <c r="M36" s="364">
        <f t="shared" si="1"/>
      </c>
      <c r="N36" s="365">
        <f t="shared" si="2"/>
      </c>
      <c r="O36" s="366"/>
      <c r="P36" s="274">
        <f t="shared" si="3"/>
      </c>
      <c r="Q36" s="367">
        <f t="shared" si="4"/>
      </c>
      <c r="R36" s="181">
        <f t="shared" si="5"/>
      </c>
      <c r="S36" s="368">
        <f t="shared" si="6"/>
        <v>20</v>
      </c>
      <c r="T36" s="369" t="str">
        <f t="shared" si="7"/>
        <v>--</v>
      </c>
      <c r="U36" s="370" t="str">
        <f t="shared" si="8"/>
        <v>--</v>
      </c>
      <c r="V36" s="371" t="str">
        <f t="shared" si="9"/>
        <v>--</v>
      </c>
      <c r="W36" s="372" t="str">
        <f t="shared" si="10"/>
        <v>--</v>
      </c>
      <c r="X36" s="373" t="str">
        <f t="shared" si="11"/>
        <v>--</v>
      </c>
      <c r="Y36" s="374" t="str">
        <f t="shared" si="12"/>
        <v>--</v>
      </c>
      <c r="Z36" s="375" t="str">
        <f t="shared" si="13"/>
        <v>--</v>
      </c>
      <c r="AA36" s="376" t="str">
        <f t="shared" si="14"/>
        <v>--</v>
      </c>
      <c r="AB36" s="377">
        <f t="shared" si="16"/>
      </c>
      <c r="AC36" s="193">
        <f t="shared" si="15"/>
      </c>
      <c r="AD36" s="100"/>
    </row>
    <row r="37" spans="1:30" s="8" customFormat="1" ht="16.5" customHeight="1">
      <c r="A37" s="90"/>
      <c r="B37" s="288"/>
      <c r="C37" s="151"/>
      <c r="D37" s="151"/>
      <c r="E37" s="151"/>
      <c r="F37" s="358"/>
      <c r="G37" s="378"/>
      <c r="H37" s="360"/>
      <c r="I37" s="361"/>
      <c r="J37" s="362">
        <f t="shared" si="0"/>
        <v>0</v>
      </c>
      <c r="K37" s="363"/>
      <c r="L37" s="363"/>
      <c r="M37" s="364">
        <f t="shared" si="1"/>
      </c>
      <c r="N37" s="365">
        <f t="shared" si="2"/>
      </c>
      <c r="O37" s="366"/>
      <c r="P37" s="274">
        <f t="shared" si="3"/>
      </c>
      <c r="Q37" s="367">
        <f t="shared" si="4"/>
      </c>
      <c r="R37" s="181">
        <f t="shared" si="5"/>
      </c>
      <c r="S37" s="368">
        <f t="shared" si="6"/>
        <v>20</v>
      </c>
      <c r="T37" s="369" t="str">
        <f t="shared" si="7"/>
        <v>--</v>
      </c>
      <c r="U37" s="370" t="str">
        <f t="shared" si="8"/>
        <v>--</v>
      </c>
      <c r="V37" s="371" t="str">
        <f t="shared" si="9"/>
        <v>--</v>
      </c>
      <c r="W37" s="372" t="str">
        <f t="shared" si="10"/>
        <v>--</v>
      </c>
      <c r="X37" s="373" t="str">
        <f t="shared" si="11"/>
        <v>--</v>
      </c>
      <c r="Y37" s="374" t="str">
        <f t="shared" si="12"/>
        <v>--</v>
      </c>
      <c r="Z37" s="375" t="str">
        <f t="shared" si="13"/>
        <v>--</v>
      </c>
      <c r="AA37" s="376" t="str">
        <f t="shared" si="14"/>
        <v>--</v>
      </c>
      <c r="AB37" s="377">
        <f t="shared" si="16"/>
      </c>
      <c r="AC37" s="193">
        <f t="shared" si="15"/>
      </c>
      <c r="AD37" s="100"/>
    </row>
    <row r="38" spans="1:30" s="8" customFormat="1" ht="16.5" customHeight="1">
      <c r="A38" s="90"/>
      <c r="B38" s="288"/>
      <c r="C38" s="170"/>
      <c r="D38" s="170"/>
      <c r="E38" s="170"/>
      <c r="F38" s="358"/>
      <c r="G38" s="378"/>
      <c r="H38" s="360"/>
      <c r="I38" s="361"/>
      <c r="J38" s="362">
        <f t="shared" si="0"/>
        <v>0</v>
      </c>
      <c r="K38" s="363"/>
      <c r="L38" s="363"/>
      <c r="M38" s="364">
        <f t="shared" si="1"/>
      </c>
      <c r="N38" s="365">
        <f t="shared" si="2"/>
      </c>
      <c r="O38" s="366"/>
      <c r="P38" s="274">
        <f t="shared" si="3"/>
      </c>
      <c r="Q38" s="367">
        <f t="shared" si="4"/>
      </c>
      <c r="R38" s="181">
        <f t="shared" si="5"/>
      </c>
      <c r="S38" s="368">
        <f t="shared" si="6"/>
        <v>20</v>
      </c>
      <c r="T38" s="369" t="str">
        <f t="shared" si="7"/>
        <v>--</v>
      </c>
      <c r="U38" s="370" t="str">
        <f t="shared" si="8"/>
        <v>--</v>
      </c>
      <c r="V38" s="371" t="str">
        <f t="shared" si="9"/>
        <v>--</v>
      </c>
      <c r="W38" s="372" t="str">
        <f t="shared" si="10"/>
        <v>--</v>
      </c>
      <c r="X38" s="373" t="str">
        <f t="shared" si="11"/>
        <v>--</v>
      </c>
      <c r="Y38" s="374" t="str">
        <f t="shared" si="12"/>
        <v>--</v>
      </c>
      <c r="Z38" s="375" t="str">
        <f t="shared" si="13"/>
        <v>--</v>
      </c>
      <c r="AA38" s="376" t="str">
        <f t="shared" si="14"/>
        <v>--</v>
      </c>
      <c r="AB38" s="377">
        <f t="shared" si="16"/>
      </c>
      <c r="AC38" s="193">
        <f t="shared" si="15"/>
      </c>
      <c r="AD38" s="100"/>
    </row>
    <row r="39" spans="1:30" s="8" customFormat="1" ht="16.5" customHeight="1">
      <c r="A39" s="90"/>
      <c r="B39" s="288"/>
      <c r="C39" s="151"/>
      <c r="D39" s="151"/>
      <c r="E39" s="151"/>
      <c r="F39" s="358"/>
      <c r="G39" s="378"/>
      <c r="H39" s="360"/>
      <c r="I39" s="361"/>
      <c r="J39" s="362">
        <f t="shared" si="0"/>
        <v>0</v>
      </c>
      <c r="K39" s="363"/>
      <c r="L39" s="363"/>
      <c r="M39" s="364">
        <f t="shared" si="1"/>
      </c>
      <c r="N39" s="365">
        <f t="shared" si="2"/>
      </c>
      <c r="O39" s="366"/>
      <c r="P39" s="274">
        <f t="shared" si="3"/>
      </c>
      <c r="Q39" s="367">
        <f t="shared" si="4"/>
      </c>
      <c r="R39" s="181">
        <f t="shared" si="5"/>
      </c>
      <c r="S39" s="368">
        <f t="shared" si="6"/>
        <v>20</v>
      </c>
      <c r="T39" s="369" t="str">
        <f t="shared" si="7"/>
        <v>--</v>
      </c>
      <c r="U39" s="370" t="str">
        <f t="shared" si="8"/>
        <v>--</v>
      </c>
      <c r="V39" s="371" t="str">
        <f t="shared" si="9"/>
        <v>--</v>
      </c>
      <c r="W39" s="372" t="str">
        <f t="shared" si="10"/>
        <v>--</v>
      </c>
      <c r="X39" s="373" t="str">
        <f t="shared" si="11"/>
        <v>--</v>
      </c>
      <c r="Y39" s="374" t="str">
        <f t="shared" si="12"/>
        <v>--</v>
      </c>
      <c r="Z39" s="375" t="str">
        <f t="shared" si="13"/>
        <v>--</v>
      </c>
      <c r="AA39" s="376" t="str">
        <f t="shared" si="14"/>
        <v>--</v>
      </c>
      <c r="AB39" s="377">
        <f t="shared" si="16"/>
      </c>
      <c r="AC39" s="193">
        <f t="shared" si="15"/>
      </c>
      <c r="AD39" s="100"/>
    </row>
    <row r="40" spans="1:30" s="8" customFormat="1" ht="16.5" customHeight="1">
      <c r="A40" s="90"/>
      <c r="B40" s="288"/>
      <c r="C40" s="170"/>
      <c r="D40" s="170"/>
      <c r="E40" s="170"/>
      <c r="F40" s="358"/>
      <c r="G40" s="378"/>
      <c r="H40" s="360"/>
      <c r="I40" s="361"/>
      <c r="J40" s="362">
        <f t="shared" si="0"/>
        <v>0</v>
      </c>
      <c r="K40" s="363"/>
      <c r="L40" s="363"/>
      <c r="M40" s="364">
        <f t="shared" si="1"/>
      </c>
      <c r="N40" s="365">
        <f t="shared" si="2"/>
      </c>
      <c r="O40" s="366"/>
      <c r="P40" s="274">
        <f t="shared" si="3"/>
      </c>
      <c r="Q40" s="367">
        <f t="shared" si="4"/>
      </c>
      <c r="R40" s="181">
        <f t="shared" si="5"/>
      </c>
      <c r="S40" s="368">
        <f t="shared" si="6"/>
        <v>20</v>
      </c>
      <c r="T40" s="369" t="str">
        <f t="shared" si="7"/>
        <v>--</v>
      </c>
      <c r="U40" s="370" t="str">
        <f t="shared" si="8"/>
        <v>--</v>
      </c>
      <c r="V40" s="371" t="str">
        <f t="shared" si="9"/>
        <v>--</v>
      </c>
      <c r="W40" s="372" t="str">
        <f t="shared" si="10"/>
        <v>--</v>
      </c>
      <c r="X40" s="373" t="str">
        <f t="shared" si="11"/>
        <v>--</v>
      </c>
      <c r="Y40" s="374" t="str">
        <f t="shared" si="12"/>
        <v>--</v>
      </c>
      <c r="Z40" s="375" t="str">
        <f t="shared" si="13"/>
        <v>--</v>
      </c>
      <c r="AA40" s="376" t="str">
        <f t="shared" si="14"/>
        <v>--</v>
      </c>
      <c r="AB40" s="377">
        <f t="shared" si="16"/>
      </c>
      <c r="AC40" s="193">
        <f t="shared" si="15"/>
      </c>
      <c r="AD40" s="100"/>
    </row>
    <row r="41" spans="1:30" s="8" customFormat="1" ht="16.5" customHeight="1">
      <c r="A41" s="90"/>
      <c r="B41" s="288"/>
      <c r="C41" s="151"/>
      <c r="D41" s="151"/>
      <c r="E41" s="151"/>
      <c r="F41" s="358"/>
      <c r="G41" s="378"/>
      <c r="H41" s="360"/>
      <c r="I41" s="361"/>
      <c r="J41" s="362">
        <f t="shared" si="0"/>
        <v>0</v>
      </c>
      <c r="K41" s="363"/>
      <c r="L41" s="363"/>
      <c r="M41" s="364">
        <f t="shared" si="1"/>
      </c>
      <c r="N41" s="365">
        <f t="shared" si="2"/>
      </c>
      <c r="O41" s="366"/>
      <c r="P41" s="274">
        <f t="shared" si="3"/>
      </c>
      <c r="Q41" s="367">
        <f t="shared" si="4"/>
      </c>
      <c r="R41" s="181">
        <f t="shared" si="5"/>
      </c>
      <c r="S41" s="368">
        <f t="shared" si="6"/>
        <v>20</v>
      </c>
      <c r="T41" s="369" t="str">
        <f t="shared" si="7"/>
        <v>--</v>
      </c>
      <c r="U41" s="370" t="str">
        <f t="shared" si="8"/>
        <v>--</v>
      </c>
      <c r="V41" s="371" t="str">
        <f t="shared" si="9"/>
        <v>--</v>
      </c>
      <c r="W41" s="372" t="str">
        <f t="shared" si="10"/>
        <v>--</v>
      </c>
      <c r="X41" s="373" t="str">
        <f t="shared" si="11"/>
        <v>--</v>
      </c>
      <c r="Y41" s="374" t="str">
        <f t="shared" si="12"/>
        <v>--</v>
      </c>
      <c r="Z41" s="375" t="str">
        <f t="shared" si="13"/>
        <v>--</v>
      </c>
      <c r="AA41" s="376" t="str">
        <f t="shared" si="14"/>
        <v>--</v>
      </c>
      <c r="AB41" s="377">
        <f t="shared" si="16"/>
      </c>
      <c r="AC41" s="193">
        <f t="shared" si="15"/>
      </c>
      <c r="AD41" s="100"/>
    </row>
    <row r="42" spans="1:30" s="8" customFormat="1" ht="16.5" customHeight="1" thickBot="1">
      <c r="A42" s="90"/>
      <c r="B42" s="288"/>
      <c r="C42" s="170"/>
      <c r="D42" s="170"/>
      <c r="E42" s="170"/>
      <c r="F42" s="379"/>
      <c r="G42" s="380"/>
      <c r="H42" s="379"/>
      <c r="I42" s="381"/>
      <c r="J42" s="382"/>
      <c r="K42" s="383"/>
      <c r="L42" s="384"/>
      <c r="M42" s="385"/>
      <c r="N42" s="386"/>
      <c r="O42" s="387"/>
      <c r="P42" s="217"/>
      <c r="Q42" s="388"/>
      <c r="R42" s="387"/>
      <c r="S42" s="389"/>
      <c r="T42" s="390"/>
      <c r="U42" s="391"/>
      <c r="V42" s="392"/>
      <c r="W42" s="393"/>
      <c r="X42" s="394"/>
      <c r="Y42" s="395"/>
      <c r="Z42" s="396"/>
      <c r="AA42" s="397"/>
      <c r="AB42" s="398"/>
      <c r="AC42" s="399"/>
      <c r="AD42" s="100"/>
    </row>
    <row r="43" spans="1:30" s="8" customFormat="1" ht="16.5" customHeight="1" thickBot="1" thickTop="1">
      <c r="A43" s="90"/>
      <c r="B43" s="288"/>
      <c r="C43" s="230" t="s">
        <v>297</v>
      </c>
      <c r="D43" s="271" t="s">
        <v>400</v>
      </c>
      <c r="E43" s="230"/>
      <c r="F43" s="231"/>
      <c r="G43" s="84"/>
      <c r="H43" s="84"/>
      <c r="I43" s="84"/>
      <c r="J43" s="84"/>
      <c r="K43" s="84"/>
      <c r="L43" s="315"/>
      <c r="M43" s="84"/>
      <c r="N43" s="84"/>
      <c r="O43" s="84"/>
      <c r="P43" s="84"/>
      <c r="Q43" s="84"/>
      <c r="R43" s="84"/>
      <c r="S43" s="84"/>
      <c r="T43" s="400">
        <f aca="true" t="shared" si="17" ref="T43:AA43">SUM(T20:T42)</f>
        <v>27868.043</v>
      </c>
      <c r="U43" s="401">
        <f t="shared" si="17"/>
        <v>0</v>
      </c>
      <c r="V43" s="402">
        <f t="shared" si="17"/>
        <v>2247</v>
      </c>
      <c r="W43" s="403">
        <f t="shared" si="17"/>
        <v>17931.06</v>
      </c>
      <c r="X43" s="404">
        <f t="shared" si="17"/>
        <v>0</v>
      </c>
      <c r="Y43" s="405">
        <f t="shared" si="17"/>
        <v>0</v>
      </c>
      <c r="Z43" s="406">
        <f t="shared" si="17"/>
        <v>2453589.18</v>
      </c>
      <c r="AA43" s="407">
        <f t="shared" si="17"/>
        <v>0</v>
      </c>
      <c r="AB43" s="90"/>
      <c r="AC43" s="408">
        <f>ROUND(SUM(AC20:AC42),2)</f>
        <v>2493920.58</v>
      </c>
      <c r="AD43" s="100"/>
    </row>
    <row r="44" spans="1:30" s="8" customFormat="1" ht="16.5" customHeight="1" thickBot="1" thickTop="1">
      <c r="A44" s="90"/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1"/>
    </row>
    <row r="45" spans="1:31" ht="16.5" customHeight="1" thickTop="1">
      <c r="A45" s="412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</row>
    <row r="46" spans="1:31" ht="16.5" customHeight="1">
      <c r="A46" s="412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</row>
    <row r="47" spans="1:31" ht="16.5" customHeight="1">
      <c r="A47" s="41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</row>
    <row r="48" spans="1:31" ht="16.5" customHeight="1">
      <c r="A48" s="412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</row>
    <row r="49" spans="6:31" ht="16.5" customHeight="1"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</row>
    <row r="50" spans="6:31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</row>
    <row r="51" spans="6:31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3"/>
      <c r="AE51" s="413"/>
    </row>
    <row r="52" spans="6:31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</row>
    <row r="53" spans="6:31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</row>
    <row r="54" spans="6:31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</row>
    <row r="55" spans="6:31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</row>
    <row r="56" spans="6:31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</row>
    <row r="57" spans="6:31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</row>
    <row r="58" spans="6:31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</row>
    <row r="59" spans="6:31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</row>
    <row r="60" spans="6:31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</row>
    <row r="61" spans="6:31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</row>
    <row r="62" spans="6:31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</row>
    <row r="63" spans="6:31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3"/>
      <c r="AD63" s="413"/>
      <c r="AE63" s="413"/>
    </row>
    <row r="64" spans="6:31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3"/>
      <c r="AE64" s="413"/>
    </row>
    <row r="65" spans="6:31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3"/>
      <c r="AD65" s="413"/>
      <c r="AE65" s="413"/>
    </row>
    <row r="66" spans="6:31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3"/>
      <c r="AD66" s="413"/>
      <c r="AE66" s="413"/>
    </row>
    <row r="67" spans="6:31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3"/>
      <c r="AD67" s="413"/>
      <c r="AE67" s="413"/>
    </row>
    <row r="68" spans="6:31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3"/>
      <c r="AD68" s="413"/>
      <c r="AE68" s="413"/>
    </row>
    <row r="69" spans="6:31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</row>
    <row r="70" spans="6:31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</row>
    <row r="71" spans="6:31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</row>
    <row r="72" spans="6:31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</row>
    <row r="73" spans="6:31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</row>
    <row r="74" spans="6:31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</row>
    <row r="75" spans="6:31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</row>
    <row r="76" spans="6:31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3"/>
      <c r="AD76" s="413"/>
      <c r="AE76" s="413"/>
    </row>
    <row r="77" spans="6:31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3"/>
      <c r="AD77" s="413"/>
      <c r="AE77" s="413"/>
    </row>
    <row r="78" spans="6:31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13"/>
    </row>
    <row r="79" spans="6:31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</row>
    <row r="80" spans="6:31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3"/>
      <c r="AD80" s="413"/>
      <c r="AE80" s="413"/>
    </row>
    <row r="81" spans="6:31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</row>
    <row r="82" spans="6:31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3"/>
      <c r="AD82" s="413"/>
      <c r="AE82" s="413"/>
    </row>
    <row r="83" spans="6:31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</row>
    <row r="84" spans="6:31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3"/>
      <c r="AD84" s="413"/>
      <c r="AE84" s="413"/>
    </row>
    <row r="85" spans="6:31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3"/>
      <c r="AD85" s="413"/>
      <c r="AE85" s="413"/>
    </row>
    <row r="86" spans="6:31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3"/>
      <c r="AD86" s="413"/>
      <c r="AE86" s="413"/>
    </row>
    <row r="87" spans="6:31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</row>
    <row r="88" spans="6:31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</row>
    <row r="89" spans="6:31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</row>
    <row r="90" spans="6:31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</row>
    <row r="91" spans="6:31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</row>
    <row r="92" spans="6:31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3"/>
    </row>
    <row r="93" spans="6:31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</row>
    <row r="94" spans="6:31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  <c r="AE94" s="413"/>
    </row>
    <row r="95" spans="6:31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</row>
    <row r="96" spans="6:31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</row>
    <row r="97" spans="6:31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</row>
    <row r="98" spans="6:31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</row>
    <row r="99" spans="6:31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</row>
    <row r="100" spans="6:31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13"/>
      <c r="AD100" s="413"/>
      <c r="AE100" s="413"/>
    </row>
    <row r="101" spans="6:31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13"/>
      <c r="AD101" s="413"/>
      <c r="AE101" s="413"/>
    </row>
    <row r="102" spans="6:31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13"/>
      <c r="AD102" s="413"/>
      <c r="AE102" s="413"/>
    </row>
    <row r="103" spans="6:31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</row>
    <row r="104" spans="6:31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</row>
    <row r="105" spans="6:31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</row>
    <row r="106" spans="6:31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3"/>
      <c r="AE106" s="413"/>
    </row>
    <row r="107" spans="6:31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</row>
    <row r="108" spans="6:31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13"/>
      <c r="AD108" s="413"/>
      <c r="AE108" s="413"/>
    </row>
    <row r="109" spans="6:31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13"/>
      <c r="AD109" s="413"/>
      <c r="AE109" s="413"/>
    </row>
    <row r="110" spans="6:31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</row>
    <row r="111" spans="6:31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</row>
    <row r="112" spans="6:31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</row>
    <row r="113" spans="6:31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</row>
    <row r="114" spans="6:31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</row>
    <row r="115" spans="6:31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</row>
    <row r="116" spans="6:31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</row>
    <row r="117" spans="6:31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13"/>
      <c r="AD117" s="413"/>
      <c r="AE117" s="413"/>
    </row>
    <row r="118" spans="6:31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</row>
    <row r="119" spans="6:31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</row>
    <row r="120" spans="6:31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</row>
    <row r="121" spans="6:31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</row>
    <row r="122" spans="6:31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13"/>
      <c r="AD122" s="413"/>
      <c r="AE122" s="413"/>
    </row>
    <row r="123" spans="6:31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13"/>
      <c r="AD123" s="413"/>
      <c r="AE123" s="413"/>
    </row>
    <row r="124" spans="6:31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13"/>
      <c r="AD124" s="413"/>
      <c r="AE124" s="413"/>
    </row>
    <row r="125" spans="6:31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13"/>
      <c r="AD125" s="413"/>
      <c r="AE125" s="413"/>
    </row>
    <row r="126" spans="6:31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13"/>
      <c r="AD126" s="413"/>
      <c r="AE126" s="413"/>
    </row>
    <row r="127" spans="6:31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13"/>
      <c r="AD127" s="413"/>
      <c r="AE127" s="413"/>
    </row>
    <row r="128" spans="6:31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3"/>
    </row>
    <row r="129" spans="6:31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13"/>
      <c r="AD129" s="413"/>
      <c r="AE129" s="413"/>
    </row>
    <row r="130" spans="6:31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13"/>
      <c r="AD130" s="413"/>
      <c r="AE130" s="413"/>
    </row>
    <row r="131" spans="6:31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13"/>
      <c r="AD131" s="413"/>
      <c r="AE131" s="413"/>
    </row>
    <row r="132" spans="6:31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13"/>
      <c r="AD132" s="413"/>
      <c r="AE132" s="413"/>
    </row>
    <row r="133" spans="6:31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13"/>
      <c r="AD133" s="413"/>
      <c r="AE133" s="413"/>
    </row>
    <row r="134" spans="6:31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</row>
    <row r="135" spans="6:31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</row>
    <row r="136" spans="6:31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</row>
    <row r="137" spans="6:31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413"/>
    </row>
    <row r="138" spans="6:31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13"/>
      <c r="AD138" s="413"/>
      <c r="AE138" s="413"/>
    </row>
    <row r="139" spans="6:31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13"/>
      <c r="AD139" s="413"/>
      <c r="AE139" s="413"/>
    </row>
    <row r="140" spans="6:31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</row>
    <row r="141" spans="6:31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13"/>
      <c r="AD141" s="413"/>
      <c r="AE141" s="413"/>
    </row>
    <row r="142" spans="6:31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13"/>
      <c r="AD142" s="413"/>
      <c r="AE142" s="413"/>
    </row>
    <row r="143" spans="6:31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</row>
    <row r="144" spans="6:31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3"/>
    </row>
    <row r="145" spans="6:31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</row>
    <row r="146" spans="6:31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  <c r="AD146" s="413"/>
      <c r="AE146" s="413"/>
    </row>
    <row r="147" spans="6:31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  <c r="Z147" s="413"/>
      <c r="AA147" s="413"/>
      <c r="AB147" s="413"/>
      <c r="AC147" s="413"/>
      <c r="AD147" s="413"/>
      <c r="AE147" s="413"/>
    </row>
    <row r="148" spans="6:31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  <c r="Z148" s="413"/>
      <c r="AA148" s="413"/>
      <c r="AB148" s="413"/>
      <c r="AC148" s="413"/>
      <c r="AD148" s="413"/>
      <c r="AE148" s="413"/>
    </row>
    <row r="149" spans="6:31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</row>
    <row r="150" spans="6:31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  <c r="Z150" s="413"/>
      <c r="AA150" s="413"/>
      <c r="AB150" s="413"/>
      <c r="AC150" s="413"/>
      <c r="AD150" s="413"/>
      <c r="AE150" s="413"/>
    </row>
    <row r="151" spans="6:31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  <c r="Z151" s="413"/>
      <c r="AA151" s="413"/>
      <c r="AB151" s="413"/>
      <c r="AC151" s="413"/>
      <c r="AD151" s="413"/>
      <c r="AE151" s="413"/>
    </row>
    <row r="152" spans="6:31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  <c r="Z152" s="413"/>
      <c r="AA152" s="413"/>
      <c r="AB152" s="413"/>
      <c r="AC152" s="413"/>
      <c r="AD152" s="413"/>
      <c r="AE152" s="413"/>
    </row>
    <row r="153" ht="16.5" customHeight="1">
      <c r="AE153" s="413"/>
    </row>
    <row r="154" ht="16.5" customHeight="1">
      <c r="AE154" s="413"/>
    </row>
    <row r="155" ht="16.5" customHeight="1">
      <c r="AE155" s="413"/>
    </row>
    <row r="156" ht="16.5" customHeight="1">
      <c r="AE156" s="413"/>
    </row>
    <row r="157" ht="16.5" customHeight="1"/>
    <row r="158" ht="16.5" customHeight="1"/>
    <row r="15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19"/>
    </row>
    <row r="8" spans="2:23" s="18" customFormat="1" ht="20.25">
      <c r="B8" s="96"/>
      <c r="C8" s="23"/>
      <c r="D8" s="23"/>
      <c r="E8" s="23"/>
      <c r="F8" s="420" t="s">
        <v>21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422" t="s">
        <v>63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90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422" t="s">
        <v>64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90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'TOT-0412'!B14</f>
        <v>Desde el 01 al 30 de abril de 2013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66</v>
      </c>
      <c r="G17" s="436">
        <v>148.761</v>
      </c>
      <c r="H17" s="437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67</v>
      </c>
      <c r="G18" s="439">
        <v>133.866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68</v>
      </c>
      <c r="G19" s="439">
        <v>119.01</v>
      </c>
      <c r="H19" s="437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317" t="s">
        <v>26</v>
      </c>
      <c r="D21" s="112" t="s">
        <v>27</v>
      </c>
      <c r="E21" s="112" t="s">
        <v>28</v>
      </c>
      <c r="F21" s="115" t="s">
        <v>56</v>
      </c>
      <c r="G21" s="441" t="s">
        <v>57</v>
      </c>
      <c r="H21" s="442" t="s">
        <v>29</v>
      </c>
      <c r="I21" s="322" t="s">
        <v>33</v>
      </c>
      <c r="J21" s="113" t="s">
        <v>34</v>
      </c>
      <c r="K21" s="441" t="s">
        <v>35</v>
      </c>
      <c r="L21" s="443" t="s">
        <v>36</v>
      </c>
      <c r="M21" s="443" t="s">
        <v>37</v>
      </c>
      <c r="N21" s="120" t="s">
        <v>296</v>
      </c>
      <c r="O21" s="119" t="s">
        <v>40</v>
      </c>
      <c r="P21" s="444" t="s">
        <v>32</v>
      </c>
      <c r="Q21" s="445" t="s">
        <v>69</v>
      </c>
      <c r="R21" s="446" t="s">
        <v>70</v>
      </c>
      <c r="S21" s="447"/>
      <c r="T21" s="448" t="s">
        <v>45</v>
      </c>
      <c r="U21" s="131" t="s">
        <v>47</v>
      </c>
      <c r="V21" s="321" t="s">
        <v>48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3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/>
      <c r="W22" s="60"/>
    </row>
    <row r="23" spans="2:23" s="8" customFormat="1" ht="16.5" customHeight="1">
      <c r="B23" s="55"/>
      <c r="C23" s="151"/>
      <c r="D23" s="151"/>
      <c r="E23" s="151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1">
        <v>25</v>
      </c>
      <c r="D24" s="151">
        <v>259346</v>
      </c>
      <c r="E24" s="170">
        <v>115</v>
      </c>
      <c r="F24" s="464" t="s">
        <v>328</v>
      </c>
      <c r="G24" s="464" t="s">
        <v>329</v>
      </c>
      <c r="H24" s="465">
        <v>132</v>
      </c>
      <c r="I24" s="466">
        <f aca="true" t="shared" si="0" ref="I24:I43">IF(H24=500,$G$17,IF(H24=220,$G$18,$G$19))</f>
        <v>119.01</v>
      </c>
      <c r="J24" s="467">
        <v>41366.38263888889</v>
      </c>
      <c r="K24" s="468">
        <v>41366.73402777778</v>
      </c>
      <c r="L24" s="469">
        <f aca="true" t="shared" si="1" ref="L24:L43">IF(F24="","",(K24-J24)*24)</f>
        <v>8.43333333323244</v>
      </c>
      <c r="M24" s="470">
        <f aca="true" t="shared" si="2" ref="M24:M43">IF(F24="","",ROUND((K24-J24)*24*60,0))</f>
        <v>506</v>
      </c>
      <c r="N24" s="179" t="s">
        <v>309</v>
      </c>
      <c r="O24" s="181" t="str">
        <f aca="true" t="shared" si="3" ref="O24:O43">IF(F24="","",IF(N24="P","--","NO"))</f>
        <v>--</v>
      </c>
      <c r="P24" s="471">
        <f aca="true" t="shared" si="4" ref="P24:P43">IF(H24=500,$H$17,IF(H24=220,$H$18,$H$19))</f>
        <v>40</v>
      </c>
      <c r="Q24" s="472">
        <f aca="true" t="shared" si="5" ref="Q24:Q43">IF(N24="P",I24*P24*ROUND(M24/60,2)*0.1,"--")</f>
        <v>4013.0172000000007</v>
      </c>
      <c r="R24" s="460" t="str">
        <f aca="true" t="shared" si="6" ref="R24:R43">IF(AND(N24="F",O24="NO"),I24*P24,"--")</f>
        <v>--</v>
      </c>
      <c r="S24" s="461" t="str">
        <f aca="true" t="shared" si="7" ref="S24:S43">IF(N24="F",I24*P24*ROUND(M24/60,2),"--")</f>
        <v>--</v>
      </c>
      <c r="T24" s="462" t="str">
        <f aca="true" t="shared" si="8" ref="T24:T43">IF(N24="RF",I24*P24*ROUND(M24/60,2),"--")</f>
        <v>--</v>
      </c>
      <c r="U24" s="181" t="s">
        <v>80</v>
      </c>
      <c r="V24" s="473">
        <f>IF(F24="","",SUM(Q24:T24)*IF(U24="SI",1,2))</f>
        <v>4013.0172000000007</v>
      </c>
      <c r="W24" s="60"/>
    </row>
    <row r="25" spans="2:23" s="8" customFormat="1" ht="16.5" customHeight="1">
      <c r="B25" s="55"/>
      <c r="C25" s="151">
        <v>26</v>
      </c>
      <c r="D25" s="151">
        <v>259347</v>
      </c>
      <c r="E25" s="151">
        <v>104</v>
      </c>
      <c r="F25" s="464" t="s">
        <v>330</v>
      </c>
      <c r="G25" s="464" t="s">
        <v>331</v>
      </c>
      <c r="H25" s="465">
        <v>132</v>
      </c>
      <c r="I25" s="466">
        <f t="shared" si="0"/>
        <v>119.01</v>
      </c>
      <c r="J25" s="467">
        <v>41367.35</v>
      </c>
      <c r="K25" s="468">
        <v>41367.55902777778</v>
      </c>
      <c r="L25" s="469">
        <f t="shared" si="1"/>
        <v>5.0166666667792015</v>
      </c>
      <c r="M25" s="470">
        <f t="shared" si="2"/>
        <v>301</v>
      </c>
      <c r="N25" s="179" t="s">
        <v>309</v>
      </c>
      <c r="O25" s="181" t="str">
        <f t="shared" si="3"/>
        <v>--</v>
      </c>
      <c r="P25" s="471">
        <f t="shared" si="4"/>
        <v>40</v>
      </c>
      <c r="Q25" s="472">
        <f t="shared" si="5"/>
        <v>2389.7208000000005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1" t="s">
        <v>80</v>
      </c>
      <c r="V25" s="473">
        <v>0</v>
      </c>
      <c r="W25" s="60"/>
    </row>
    <row r="26" spans="2:23" s="8" customFormat="1" ht="16.5" customHeight="1">
      <c r="B26" s="55"/>
      <c r="C26" s="151">
        <v>27</v>
      </c>
      <c r="D26" s="151">
        <v>259348</v>
      </c>
      <c r="E26" s="170">
        <v>5234</v>
      </c>
      <c r="F26" s="464" t="s">
        <v>408</v>
      </c>
      <c r="G26" s="464" t="s">
        <v>409</v>
      </c>
      <c r="H26" s="589">
        <v>500</v>
      </c>
      <c r="I26" s="466">
        <f t="shared" si="0"/>
        <v>148.761</v>
      </c>
      <c r="J26" s="467">
        <v>41367.379166666666</v>
      </c>
      <c r="K26" s="468">
        <v>41367.79583333333</v>
      </c>
      <c r="L26" s="469">
        <f t="shared" si="1"/>
        <v>9.999999999941792</v>
      </c>
      <c r="M26" s="470">
        <f t="shared" si="2"/>
        <v>600</v>
      </c>
      <c r="N26" s="179" t="s">
        <v>309</v>
      </c>
      <c r="O26" s="181" t="str">
        <f t="shared" si="3"/>
        <v>--</v>
      </c>
      <c r="P26" s="471">
        <f t="shared" si="4"/>
        <v>200</v>
      </c>
      <c r="Q26" s="472">
        <f t="shared" si="5"/>
        <v>29752.2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1" t="s">
        <v>80</v>
      </c>
      <c r="V26" s="473">
        <v>0</v>
      </c>
      <c r="W26" s="60"/>
    </row>
    <row r="27" spans="2:23" s="8" customFormat="1" ht="16.5" customHeight="1">
      <c r="B27" s="55"/>
      <c r="C27" s="151">
        <v>28</v>
      </c>
      <c r="D27" s="151">
        <v>259350</v>
      </c>
      <c r="E27" s="151">
        <v>129</v>
      </c>
      <c r="F27" s="464" t="s">
        <v>332</v>
      </c>
      <c r="G27" s="464" t="s">
        <v>333</v>
      </c>
      <c r="H27" s="465">
        <v>132</v>
      </c>
      <c r="I27" s="466">
        <f t="shared" si="0"/>
        <v>119.01</v>
      </c>
      <c r="J27" s="467">
        <v>41368.36944444444</v>
      </c>
      <c r="K27" s="468">
        <v>41368.68958333333</v>
      </c>
      <c r="L27" s="469">
        <f t="shared" si="1"/>
        <v>7.683333333407063</v>
      </c>
      <c r="M27" s="470">
        <f t="shared" si="2"/>
        <v>461</v>
      </c>
      <c r="N27" s="179" t="s">
        <v>309</v>
      </c>
      <c r="O27" s="181" t="str">
        <f t="shared" si="3"/>
        <v>--</v>
      </c>
      <c r="P27" s="471">
        <f t="shared" si="4"/>
        <v>40</v>
      </c>
      <c r="Q27" s="472">
        <f t="shared" si="5"/>
        <v>3655.9872000000005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1" t="s">
        <v>80</v>
      </c>
      <c r="V27" s="473">
        <v>0</v>
      </c>
      <c r="W27" s="60"/>
    </row>
    <row r="28" spans="2:23" s="8" customFormat="1" ht="16.5" customHeight="1">
      <c r="B28" s="55"/>
      <c r="C28" s="151">
        <v>29</v>
      </c>
      <c r="D28" s="151">
        <v>259351</v>
      </c>
      <c r="E28" s="170">
        <v>94</v>
      </c>
      <c r="F28" s="464" t="s">
        <v>334</v>
      </c>
      <c r="G28" s="464" t="s">
        <v>335</v>
      </c>
      <c r="H28" s="465">
        <v>500</v>
      </c>
      <c r="I28" s="466">
        <f t="shared" si="0"/>
        <v>148.761</v>
      </c>
      <c r="J28" s="467">
        <v>41368.375</v>
      </c>
      <c r="K28" s="468">
        <v>41368.50555555556</v>
      </c>
      <c r="L28" s="469">
        <f t="shared" si="1"/>
        <v>3.1333333334187046</v>
      </c>
      <c r="M28" s="470">
        <f t="shared" si="2"/>
        <v>188</v>
      </c>
      <c r="N28" s="179" t="s">
        <v>309</v>
      </c>
      <c r="O28" s="181" t="str">
        <f t="shared" si="3"/>
        <v>--</v>
      </c>
      <c r="P28" s="471">
        <f t="shared" si="4"/>
        <v>200</v>
      </c>
      <c r="Q28" s="472">
        <f t="shared" si="5"/>
        <v>9312.4386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1" t="s">
        <v>80</v>
      </c>
      <c r="V28" s="473">
        <v>0</v>
      </c>
      <c r="W28" s="60"/>
    </row>
    <row r="29" spans="2:23" s="8" customFormat="1" ht="16.5" customHeight="1">
      <c r="B29" s="55"/>
      <c r="C29" s="151">
        <v>30</v>
      </c>
      <c r="D29" s="151">
        <v>259352</v>
      </c>
      <c r="E29" s="151">
        <v>86</v>
      </c>
      <c r="F29" s="464" t="s">
        <v>336</v>
      </c>
      <c r="G29" s="464" t="s">
        <v>337</v>
      </c>
      <c r="H29" s="465">
        <v>500</v>
      </c>
      <c r="I29" s="466">
        <f t="shared" si="0"/>
        <v>148.761</v>
      </c>
      <c r="J29" s="467">
        <v>41368.38333333333</v>
      </c>
      <c r="K29" s="468">
        <v>41368.44305555556</v>
      </c>
      <c r="L29" s="469">
        <f t="shared" si="1"/>
        <v>1.4333333334652707</v>
      </c>
      <c r="M29" s="470">
        <f t="shared" si="2"/>
        <v>86</v>
      </c>
      <c r="N29" s="179" t="s">
        <v>309</v>
      </c>
      <c r="O29" s="181" t="str">
        <f t="shared" si="3"/>
        <v>--</v>
      </c>
      <c r="P29" s="471">
        <f t="shared" si="4"/>
        <v>200</v>
      </c>
      <c r="Q29" s="472">
        <f t="shared" si="5"/>
        <v>4254.564600000001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1" t="s">
        <v>80</v>
      </c>
      <c r="V29" s="473">
        <v>0</v>
      </c>
      <c r="W29" s="60"/>
    </row>
    <row r="30" spans="2:23" s="8" customFormat="1" ht="16.5" customHeight="1">
      <c r="B30" s="55"/>
      <c r="C30" s="151">
        <v>31</v>
      </c>
      <c r="D30" s="151">
        <v>259355</v>
      </c>
      <c r="E30" s="170">
        <v>131</v>
      </c>
      <c r="F30" s="464" t="s">
        <v>338</v>
      </c>
      <c r="G30" s="464" t="s">
        <v>339</v>
      </c>
      <c r="H30" s="465">
        <v>132</v>
      </c>
      <c r="I30" s="466">
        <f t="shared" si="0"/>
        <v>119.01</v>
      </c>
      <c r="J30" s="467">
        <v>41370.30138888889</v>
      </c>
      <c r="K30" s="468">
        <v>41370.53611111111</v>
      </c>
      <c r="L30" s="469">
        <f t="shared" si="1"/>
        <v>5.633333333360497</v>
      </c>
      <c r="M30" s="470">
        <f t="shared" si="2"/>
        <v>338</v>
      </c>
      <c r="N30" s="179" t="s">
        <v>309</v>
      </c>
      <c r="O30" s="181" t="str">
        <f t="shared" si="3"/>
        <v>--</v>
      </c>
      <c r="P30" s="471">
        <f t="shared" si="4"/>
        <v>40</v>
      </c>
      <c r="Q30" s="472">
        <f t="shared" si="5"/>
        <v>2680.1052000000004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1" t="s">
        <v>80</v>
      </c>
      <c r="V30" s="473">
        <v>0</v>
      </c>
      <c r="W30" s="60"/>
    </row>
    <row r="31" spans="2:23" s="8" customFormat="1" ht="16.5" customHeight="1">
      <c r="B31" s="55"/>
      <c r="C31" s="151">
        <v>32</v>
      </c>
      <c r="D31" s="151">
        <v>259356</v>
      </c>
      <c r="E31" s="151">
        <v>4567</v>
      </c>
      <c r="F31" s="464" t="s">
        <v>340</v>
      </c>
      <c r="G31" s="464" t="s">
        <v>341</v>
      </c>
      <c r="H31" s="465">
        <v>132</v>
      </c>
      <c r="I31" s="466">
        <f t="shared" si="0"/>
        <v>119.01</v>
      </c>
      <c r="J31" s="467">
        <v>41371.32083333333</v>
      </c>
      <c r="K31" s="468">
        <v>41371.53888888889</v>
      </c>
      <c r="L31" s="469">
        <f t="shared" si="1"/>
        <v>5.233333333453629</v>
      </c>
      <c r="M31" s="470">
        <f t="shared" si="2"/>
        <v>314</v>
      </c>
      <c r="N31" s="179" t="s">
        <v>309</v>
      </c>
      <c r="O31" s="181" t="str">
        <f t="shared" si="3"/>
        <v>--</v>
      </c>
      <c r="P31" s="471">
        <f t="shared" si="4"/>
        <v>40</v>
      </c>
      <c r="Q31" s="472">
        <f t="shared" si="5"/>
        <v>2489.6892000000007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1" t="s">
        <v>80</v>
      </c>
      <c r="V31" s="473">
        <v>0</v>
      </c>
      <c r="W31" s="60"/>
    </row>
    <row r="32" spans="2:23" s="8" customFormat="1" ht="16.5" customHeight="1">
      <c r="B32" s="55"/>
      <c r="C32" s="151">
        <v>33</v>
      </c>
      <c r="D32" s="151">
        <v>259357</v>
      </c>
      <c r="E32" s="170">
        <v>134</v>
      </c>
      <c r="F32" s="464" t="s">
        <v>338</v>
      </c>
      <c r="G32" s="464" t="s">
        <v>342</v>
      </c>
      <c r="H32" s="465">
        <v>132</v>
      </c>
      <c r="I32" s="466">
        <f t="shared" si="0"/>
        <v>119.01</v>
      </c>
      <c r="J32" s="467">
        <v>41371.34444444445</v>
      </c>
      <c r="K32" s="468">
        <v>41371.66180555556</v>
      </c>
      <c r="L32" s="469">
        <f t="shared" si="1"/>
        <v>7.616666666697711</v>
      </c>
      <c r="M32" s="470">
        <f t="shared" si="2"/>
        <v>457</v>
      </c>
      <c r="N32" s="179" t="s">
        <v>309</v>
      </c>
      <c r="O32" s="181" t="str">
        <f t="shared" si="3"/>
        <v>--</v>
      </c>
      <c r="P32" s="471">
        <f t="shared" si="4"/>
        <v>40</v>
      </c>
      <c r="Q32" s="472">
        <f t="shared" si="5"/>
        <v>3627.4248000000007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1" t="s">
        <v>80</v>
      </c>
      <c r="V32" s="473">
        <v>0</v>
      </c>
      <c r="W32" s="60"/>
    </row>
    <row r="33" spans="2:23" s="8" customFormat="1" ht="16.5" customHeight="1">
      <c r="B33" s="55"/>
      <c r="C33" s="151">
        <v>34</v>
      </c>
      <c r="D33" s="151">
        <v>259520</v>
      </c>
      <c r="E33" s="151">
        <v>2641</v>
      </c>
      <c r="F33" s="464" t="s">
        <v>343</v>
      </c>
      <c r="G33" s="464" t="s">
        <v>344</v>
      </c>
      <c r="H33" s="465">
        <v>500</v>
      </c>
      <c r="I33" s="466">
        <f t="shared" si="0"/>
        <v>148.761</v>
      </c>
      <c r="J33" s="467">
        <v>41375.27291666667</v>
      </c>
      <c r="K33" s="468">
        <v>41375.68958333333</v>
      </c>
      <c r="L33" s="469">
        <f t="shared" si="1"/>
        <v>9.999999999941792</v>
      </c>
      <c r="M33" s="470">
        <f t="shared" si="2"/>
        <v>600</v>
      </c>
      <c r="N33" s="179" t="s">
        <v>309</v>
      </c>
      <c r="O33" s="181" t="str">
        <f t="shared" si="3"/>
        <v>--</v>
      </c>
      <c r="P33" s="471">
        <f t="shared" si="4"/>
        <v>200</v>
      </c>
      <c r="Q33" s="472">
        <f t="shared" si="5"/>
        <v>29752.2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1" t="s">
        <v>80</v>
      </c>
      <c r="V33" s="473">
        <v>0</v>
      </c>
      <c r="W33" s="60"/>
    </row>
    <row r="34" spans="2:23" s="8" customFormat="1" ht="16.5" customHeight="1">
      <c r="B34" s="55"/>
      <c r="C34" s="151">
        <v>35</v>
      </c>
      <c r="D34" s="151">
        <v>259523</v>
      </c>
      <c r="E34" s="170">
        <v>2642</v>
      </c>
      <c r="F34" s="464" t="s">
        <v>343</v>
      </c>
      <c r="G34" s="464" t="s">
        <v>345</v>
      </c>
      <c r="H34" s="465">
        <v>500</v>
      </c>
      <c r="I34" s="466">
        <f t="shared" si="0"/>
        <v>148.761</v>
      </c>
      <c r="J34" s="467">
        <v>41376.71597222222</v>
      </c>
      <c r="K34" s="468">
        <v>41377.13263888889</v>
      </c>
      <c r="L34" s="469">
        <f t="shared" si="1"/>
        <v>10.000000000116415</v>
      </c>
      <c r="M34" s="470">
        <f t="shared" si="2"/>
        <v>600</v>
      </c>
      <c r="N34" s="179" t="s">
        <v>309</v>
      </c>
      <c r="O34" s="181" t="str">
        <f t="shared" si="3"/>
        <v>--</v>
      </c>
      <c r="P34" s="471">
        <f t="shared" si="4"/>
        <v>200</v>
      </c>
      <c r="Q34" s="472">
        <f t="shared" si="5"/>
        <v>29752.2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1" t="s">
        <v>80</v>
      </c>
      <c r="V34" s="473">
        <v>0</v>
      </c>
      <c r="W34" s="60"/>
    </row>
    <row r="35" spans="2:23" s="8" customFormat="1" ht="16.5" customHeight="1">
      <c r="B35" s="55"/>
      <c r="C35" s="151">
        <v>36</v>
      </c>
      <c r="D35" s="151">
        <v>259524</v>
      </c>
      <c r="E35" s="151">
        <v>2768</v>
      </c>
      <c r="F35" s="464" t="s">
        <v>343</v>
      </c>
      <c r="G35" s="464" t="s">
        <v>346</v>
      </c>
      <c r="H35" s="465">
        <v>500</v>
      </c>
      <c r="I35" s="466">
        <f t="shared" si="0"/>
        <v>148.761</v>
      </c>
      <c r="J35" s="467">
        <v>41377.65347222222</v>
      </c>
      <c r="K35" s="468">
        <v>41377.660416666666</v>
      </c>
      <c r="L35" s="469">
        <f t="shared" si="1"/>
        <v>0.16666666668606922</v>
      </c>
      <c r="M35" s="470">
        <f t="shared" si="2"/>
        <v>10</v>
      </c>
      <c r="N35" s="179" t="s">
        <v>309</v>
      </c>
      <c r="O35" s="181" t="str">
        <f t="shared" si="3"/>
        <v>--</v>
      </c>
      <c r="P35" s="471">
        <f t="shared" si="4"/>
        <v>200</v>
      </c>
      <c r="Q35" s="472">
        <f t="shared" si="5"/>
        <v>505.7874000000001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1" t="s">
        <v>80</v>
      </c>
      <c r="V35" s="473">
        <v>0</v>
      </c>
      <c r="W35" s="60"/>
    </row>
    <row r="36" spans="2:23" s="8" customFormat="1" ht="16.5" customHeight="1">
      <c r="B36" s="55"/>
      <c r="C36" s="151">
        <v>37</v>
      </c>
      <c r="D36" s="151">
        <v>259526</v>
      </c>
      <c r="E36" s="170">
        <v>2619</v>
      </c>
      <c r="F36" s="464" t="s">
        <v>330</v>
      </c>
      <c r="G36" s="464" t="s">
        <v>347</v>
      </c>
      <c r="H36" s="465">
        <v>132</v>
      </c>
      <c r="I36" s="466">
        <f t="shared" si="0"/>
        <v>119.01</v>
      </c>
      <c r="J36" s="467">
        <v>41378.30625</v>
      </c>
      <c r="K36" s="468">
        <v>41378.805555555555</v>
      </c>
      <c r="L36" s="469">
        <f t="shared" si="1"/>
        <v>11.983333333279006</v>
      </c>
      <c r="M36" s="470">
        <f t="shared" si="2"/>
        <v>719</v>
      </c>
      <c r="N36" s="179" t="s">
        <v>309</v>
      </c>
      <c r="O36" s="181" t="str">
        <f t="shared" si="3"/>
        <v>--</v>
      </c>
      <c r="P36" s="471">
        <f t="shared" si="4"/>
        <v>40</v>
      </c>
      <c r="Q36" s="472">
        <f t="shared" si="5"/>
        <v>5702.959200000001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1" t="s">
        <v>80</v>
      </c>
      <c r="V36" s="473">
        <f>IF(F36="","",SUM(Q36:T36)*IF(U36="SI",1,2))</f>
        <v>5702.959200000001</v>
      </c>
      <c r="W36" s="60"/>
    </row>
    <row r="37" spans="2:23" s="8" customFormat="1" ht="16.5" customHeight="1">
      <c r="B37" s="55"/>
      <c r="C37" s="151">
        <v>38</v>
      </c>
      <c r="D37" s="151">
        <v>259527</v>
      </c>
      <c r="E37" s="151">
        <v>116</v>
      </c>
      <c r="F37" s="464" t="s">
        <v>340</v>
      </c>
      <c r="G37" s="464" t="s">
        <v>348</v>
      </c>
      <c r="H37" s="465">
        <v>132</v>
      </c>
      <c r="I37" s="466">
        <f t="shared" si="0"/>
        <v>119.01</v>
      </c>
      <c r="J37" s="467">
        <v>41378.32361111111</v>
      </c>
      <c r="K37" s="468">
        <v>41378.61041666667</v>
      </c>
      <c r="L37" s="469">
        <f t="shared" si="1"/>
        <v>6.883333333418705</v>
      </c>
      <c r="M37" s="470">
        <f t="shared" si="2"/>
        <v>413</v>
      </c>
      <c r="N37" s="179" t="s">
        <v>309</v>
      </c>
      <c r="O37" s="181" t="str">
        <f t="shared" si="3"/>
        <v>--</v>
      </c>
      <c r="P37" s="471">
        <f t="shared" si="4"/>
        <v>40</v>
      </c>
      <c r="Q37" s="472">
        <f t="shared" si="5"/>
        <v>3275.1552000000006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1" t="s">
        <v>80</v>
      </c>
      <c r="V37" s="473">
        <v>0</v>
      </c>
      <c r="W37" s="60"/>
    </row>
    <row r="38" spans="2:23" s="8" customFormat="1" ht="16.5" customHeight="1">
      <c r="B38" s="55"/>
      <c r="C38" s="151">
        <v>39</v>
      </c>
      <c r="D38" s="151">
        <v>259528</v>
      </c>
      <c r="E38" s="170">
        <v>5210</v>
      </c>
      <c r="F38" s="464" t="s">
        <v>410</v>
      </c>
      <c r="G38" s="464" t="s">
        <v>411</v>
      </c>
      <c r="H38" s="589">
        <v>132</v>
      </c>
      <c r="I38" s="466">
        <f t="shared" si="0"/>
        <v>119.01</v>
      </c>
      <c r="J38" s="467">
        <v>41378.35555555556</v>
      </c>
      <c r="K38" s="468">
        <v>41378.71319444444</v>
      </c>
      <c r="L38" s="469">
        <f t="shared" si="1"/>
        <v>8.583333333197515</v>
      </c>
      <c r="M38" s="470">
        <f t="shared" si="2"/>
        <v>515</v>
      </c>
      <c r="N38" s="179" t="s">
        <v>309</v>
      </c>
      <c r="O38" s="181" t="str">
        <f t="shared" si="3"/>
        <v>--</v>
      </c>
      <c r="P38" s="471">
        <f t="shared" si="4"/>
        <v>40</v>
      </c>
      <c r="Q38" s="472">
        <f t="shared" si="5"/>
        <v>4084.4232000000006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1" t="s">
        <v>80</v>
      </c>
      <c r="V38" s="473">
        <v>0</v>
      </c>
      <c r="W38" s="60"/>
    </row>
    <row r="39" spans="2:23" s="8" customFormat="1" ht="16.5" customHeight="1">
      <c r="B39" s="55"/>
      <c r="C39" s="151">
        <v>40</v>
      </c>
      <c r="D39" s="151">
        <v>259531</v>
      </c>
      <c r="E39" s="151">
        <v>2768</v>
      </c>
      <c r="F39" s="464" t="s">
        <v>343</v>
      </c>
      <c r="G39" s="464" t="s">
        <v>346</v>
      </c>
      <c r="H39" s="465">
        <v>500</v>
      </c>
      <c r="I39" s="466">
        <f t="shared" si="0"/>
        <v>148.761</v>
      </c>
      <c r="J39" s="467">
        <v>41378.59444444445</v>
      </c>
      <c r="K39" s="468">
        <v>41378.76597222222</v>
      </c>
      <c r="L39" s="469">
        <f t="shared" si="1"/>
        <v>4.116666666639503</v>
      </c>
      <c r="M39" s="470">
        <f t="shared" si="2"/>
        <v>247</v>
      </c>
      <c r="N39" s="179" t="s">
        <v>309</v>
      </c>
      <c r="O39" s="181" t="str">
        <f t="shared" si="3"/>
        <v>--</v>
      </c>
      <c r="P39" s="471">
        <f t="shared" si="4"/>
        <v>200</v>
      </c>
      <c r="Q39" s="472">
        <f t="shared" si="5"/>
        <v>12257.906400000002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1" t="s">
        <v>80</v>
      </c>
      <c r="V39" s="473">
        <f>IF(F39="","",SUM(Q39:T39)*IF(U39="SI",1,2))</f>
        <v>12257.906400000002</v>
      </c>
      <c r="W39" s="60"/>
    </row>
    <row r="40" spans="2:23" s="8" customFormat="1" ht="16.5" customHeight="1">
      <c r="B40" s="55"/>
      <c r="C40" s="151">
        <v>41</v>
      </c>
      <c r="D40" s="151">
        <v>259532</v>
      </c>
      <c r="E40" s="170">
        <v>5210</v>
      </c>
      <c r="F40" s="464" t="s">
        <v>410</v>
      </c>
      <c r="G40" s="464" t="s">
        <v>411</v>
      </c>
      <c r="H40" s="589">
        <v>132</v>
      </c>
      <c r="I40" s="466">
        <f t="shared" si="0"/>
        <v>119.01</v>
      </c>
      <c r="J40" s="467">
        <v>41378.71388888889</v>
      </c>
      <c r="K40" s="468">
        <v>41378.790972222225</v>
      </c>
      <c r="L40" s="469">
        <f t="shared" si="1"/>
        <v>1.8500000000931323</v>
      </c>
      <c r="M40" s="470">
        <f t="shared" si="2"/>
        <v>111</v>
      </c>
      <c r="N40" s="179" t="s">
        <v>310</v>
      </c>
      <c r="O40" s="181" t="s">
        <v>80</v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>
        <f t="shared" si="7"/>
        <v>8806.740000000002</v>
      </c>
      <c r="T40" s="462" t="str">
        <f t="shared" si="8"/>
        <v>--</v>
      </c>
      <c r="U40" s="181" t="s">
        <v>80</v>
      </c>
      <c r="V40" s="473">
        <f>IF(F40="","",SUM(Q40:T40)*IF(U40="SI",1,2))</f>
        <v>8806.740000000002</v>
      </c>
      <c r="W40" s="60"/>
    </row>
    <row r="41" spans="2:23" s="8" customFormat="1" ht="16.5" customHeight="1">
      <c r="B41" s="55"/>
      <c r="C41" s="151">
        <v>42</v>
      </c>
      <c r="D41" s="151">
        <v>259681</v>
      </c>
      <c r="E41" s="151">
        <v>1695</v>
      </c>
      <c r="F41" s="464" t="s">
        <v>349</v>
      </c>
      <c r="G41" s="464" t="s">
        <v>350</v>
      </c>
      <c r="H41" s="465">
        <v>220</v>
      </c>
      <c r="I41" s="466">
        <f t="shared" si="0"/>
        <v>133.866</v>
      </c>
      <c r="J41" s="467">
        <v>41380.70138888889</v>
      </c>
      <c r="K41" s="468">
        <v>41380.76527777778</v>
      </c>
      <c r="L41" s="469">
        <f t="shared" si="1"/>
        <v>1.5333333332673647</v>
      </c>
      <c r="M41" s="470">
        <f t="shared" si="2"/>
        <v>92</v>
      </c>
      <c r="N41" s="179" t="s">
        <v>310</v>
      </c>
      <c r="O41" s="181" t="str">
        <f t="shared" si="3"/>
        <v>NO</v>
      </c>
      <c r="P41" s="471">
        <f t="shared" si="4"/>
        <v>100</v>
      </c>
      <c r="Q41" s="472" t="str">
        <f t="shared" si="5"/>
        <v>--</v>
      </c>
      <c r="R41" s="460">
        <f t="shared" si="6"/>
        <v>13386.600000000002</v>
      </c>
      <c r="S41" s="461">
        <f t="shared" si="7"/>
        <v>20481.498000000003</v>
      </c>
      <c r="T41" s="462" t="str">
        <f t="shared" si="8"/>
        <v>--</v>
      </c>
      <c r="U41" s="181" t="s">
        <v>80</v>
      </c>
      <c r="V41" s="473">
        <f>IF(F41="","",SUM(Q41:T41)*IF(U41="SI",1,2))</f>
        <v>33868.098000000005</v>
      </c>
      <c r="W41" s="60"/>
    </row>
    <row r="42" spans="2:23" s="8" customFormat="1" ht="16.5" customHeight="1">
      <c r="B42" s="55"/>
      <c r="C42" s="151">
        <v>43</v>
      </c>
      <c r="D42" s="151">
        <v>259683</v>
      </c>
      <c r="E42" s="170">
        <v>5241</v>
      </c>
      <c r="F42" s="464" t="s">
        <v>412</v>
      </c>
      <c r="G42" s="464" t="s">
        <v>413</v>
      </c>
      <c r="H42" s="589">
        <v>132</v>
      </c>
      <c r="I42" s="466">
        <f t="shared" si="0"/>
        <v>119.01</v>
      </c>
      <c r="J42" s="467">
        <v>41381.334027777775</v>
      </c>
      <c r="K42" s="468">
        <v>41381.725694444445</v>
      </c>
      <c r="L42" s="469">
        <f t="shared" si="1"/>
        <v>9.40000000008149</v>
      </c>
      <c r="M42" s="470">
        <f t="shared" si="2"/>
        <v>564</v>
      </c>
      <c r="N42" s="179" t="s">
        <v>309</v>
      </c>
      <c r="O42" s="181" t="str">
        <f t="shared" si="3"/>
        <v>--</v>
      </c>
      <c r="P42" s="471">
        <f t="shared" si="4"/>
        <v>40</v>
      </c>
      <c r="Q42" s="472">
        <f t="shared" si="5"/>
        <v>4474.776000000001</v>
      </c>
      <c r="R42" s="460" t="str">
        <f t="shared" si="6"/>
        <v>--</v>
      </c>
      <c r="S42" s="461" t="str">
        <f t="shared" si="7"/>
        <v>--</v>
      </c>
      <c r="T42" s="462" t="str">
        <f t="shared" si="8"/>
        <v>--</v>
      </c>
      <c r="U42" s="181" t="s">
        <v>80</v>
      </c>
      <c r="V42" s="473">
        <v>0</v>
      </c>
      <c r="W42" s="60"/>
    </row>
    <row r="43" spans="2:23" s="8" customFormat="1" ht="16.5" customHeight="1">
      <c r="B43" s="55"/>
      <c r="C43" s="151"/>
      <c r="D43" s="151"/>
      <c r="E43" s="151"/>
      <c r="F43" s="464"/>
      <c r="G43" s="464"/>
      <c r="H43" s="465"/>
      <c r="I43" s="466">
        <f t="shared" si="0"/>
        <v>119.01</v>
      </c>
      <c r="J43" s="467"/>
      <c r="K43" s="468"/>
      <c r="L43" s="469">
        <f t="shared" si="1"/>
      </c>
      <c r="M43" s="470">
        <f t="shared" si="2"/>
      </c>
      <c r="N43" s="179"/>
      <c r="O43" s="181">
        <f t="shared" si="3"/>
      </c>
      <c r="P43" s="471">
        <f t="shared" si="4"/>
        <v>40</v>
      </c>
      <c r="Q43" s="472" t="str">
        <f t="shared" si="5"/>
        <v>--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1">
        <f>IF(F43="","","SI")</f>
      </c>
      <c r="V43" s="473">
        <f>IF(F43="","",SUM(Q43:T43)*IF(U43="SI",1,2))</f>
      </c>
      <c r="W43" s="60"/>
    </row>
    <row r="44" spans="2:23" s="8" customFormat="1" ht="16.5" customHeight="1" thickBot="1">
      <c r="B44" s="55"/>
      <c r="C44" s="209"/>
      <c r="D44" s="209"/>
      <c r="E44" s="209"/>
      <c r="F44" s="209"/>
      <c r="G44" s="209"/>
      <c r="H44" s="209"/>
      <c r="I44" s="382"/>
      <c r="J44" s="474"/>
      <c r="K44" s="474"/>
      <c r="L44" s="475"/>
      <c r="M44" s="475"/>
      <c r="N44" s="474"/>
      <c r="O44" s="216"/>
      <c r="P44" s="476"/>
      <c r="Q44" s="477"/>
      <c r="R44" s="478"/>
      <c r="S44" s="479"/>
      <c r="T44" s="480"/>
      <c r="U44" s="216"/>
      <c r="V44" s="481"/>
      <c r="W44" s="60"/>
    </row>
    <row r="45" spans="2:23" s="8" customFormat="1" ht="16.5" customHeight="1" thickBot="1" thickTop="1">
      <c r="B45" s="55"/>
      <c r="C45" s="230" t="s">
        <v>297</v>
      </c>
      <c r="D45" s="271" t="s">
        <v>400</v>
      </c>
      <c r="E45" s="230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2">
        <f>SUM(Q22:Q44)</f>
        <v>151980.55500000002</v>
      </c>
      <c r="R45" s="483">
        <f>SUM(R22:R44)</f>
        <v>13386.600000000002</v>
      </c>
      <c r="S45" s="484">
        <f>SUM(S22:S44)</f>
        <v>29288.238000000005</v>
      </c>
      <c r="T45" s="485">
        <f>SUM(T22:T44)</f>
        <v>0</v>
      </c>
      <c r="U45" s="486"/>
      <c r="V45" s="487">
        <f>ROUND(SUM(V22:V44),2)</f>
        <v>64648.72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3"/>
      <c r="X47" s="413"/>
      <c r="Y47" s="413"/>
    </row>
    <row r="48" spans="23:25" ht="16.5" customHeight="1">
      <c r="W48" s="413"/>
      <c r="X48" s="413"/>
      <c r="Y48" s="413"/>
    </row>
    <row r="49" spans="23:25" ht="16.5" customHeight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6:25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19"/>
    </row>
    <row r="8" spans="2:23" s="18" customFormat="1" ht="20.25">
      <c r="B8" s="96"/>
      <c r="C8" s="23"/>
      <c r="D8" s="23"/>
      <c r="E8" s="23"/>
      <c r="F8" s="420" t="s">
        <v>21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18" customFormat="1" ht="20.25">
      <c r="B10" s="96"/>
      <c r="C10" s="23"/>
      <c r="D10" s="23"/>
      <c r="E10" s="23"/>
      <c r="F10" s="422" t="s">
        <v>63</v>
      </c>
      <c r="G10" s="423"/>
      <c r="H10" s="283"/>
      <c r="I10" s="424"/>
      <c r="K10" s="424"/>
      <c r="L10" s="424"/>
      <c r="M10" s="424"/>
      <c r="N10" s="424"/>
      <c r="O10" s="424"/>
      <c r="P10" s="424"/>
      <c r="Q10" s="23"/>
      <c r="R10" s="23"/>
      <c r="S10" s="23"/>
      <c r="T10" s="23"/>
      <c r="U10" s="23"/>
      <c r="V10" s="23"/>
      <c r="W10" s="421"/>
    </row>
    <row r="11" spans="2:23" s="8" customFormat="1" ht="13.5">
      <c r="B11" s="55"/>
      <c r="C11" s="11"/>
      <c r="D11" s="11"/>
      <c r="E11" s="11"/>
      <c r="F11" s="425"/>
      <c r="G11" s="425"/>
      <c r="H11" s="90"/>
      <c r="I11" s="426"/>
      <c r="J11" s="67"/>
      <c r="K11" s="426"/>
      <c r="L11" s="426"/>
      <c r="M11" s="426"/>
      <c r="N11" s="426"/>
      <c r="O11" s="426"/>
      <c r="P11" s="426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6"/>
      <c r="C12" s="23"/>
      <c r="D12" s="23"/>
      <c r="E12" s="23"/>
      <c r="F12" s="422" t="s">
        <v>64</v>
      </c>
      <c r="G12" s="423"/>
      <c r="H12" s="283"/>
      <c r="I12" s="424"/>
      <c r="K12" s="424"/>
      <c r="L12" s="424"/>
      <c r="M12" s="424"/>
      <c r="N12" s="424"/>
      <c r="O12" s="424"/>
      <c r="P12" s="424"/>
      <c r="Q12" s="23"/>
      <c r="R12" s="23"/>
      <c r="S12" s="23"/>
      <c r="T12" s="23"/>
      <c r="U12" s="23"/>
      <c r="V12" s="23"/>
      <c r="W12" s="421"/>
    </row>
    <row r="13" spans="2:23" s="8" customFormat="1" ht="13.5">
      <c r="B13" s="55"/>
      <c r="C13" s="11"/>
      <c r="D13" s="11"/>
      <c r="E13" s="11"/>
      <c r="F13" s="425"/>
      <c r="G13" s="425"/>
      <c r="H13" s="90"/>
      <c r="I13" s="426"/>
      <c r="J13" s="67"/>
      <c r="K13" s="426"/>
      <c r="L13" s="426"/>
      <c r="M13" s="426"/>
      <c r="N13" s="426"/>
      <c r="O13" s="426"/>
      <c r="P13" s="426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'TOT-0412'!B14</f>
        <v>Desde el 01 al 30 de abril de 2013</v>
      </c>
      <c r="C14" s="39"/>
      <c r="D14" s="39"/>
      <c r="E14" s="39"/>
      <c r="F14" s="39"/>
      <c r="G14" s="39"/>
      <c r="H14" s="39"/>
      <c r="I14" s="427"/>
      <c r="J14" s="427"/>
      <c r="K14" s="427"/>
      <c r="L14" s="427"/>
      <c r="M14" s="427"/>
      <c r="N14" s="427"/>
      <c r="O14" s="427"/>
      <c r="P14" s="427"/>
      <c r="Q14" s="39"/>
      <c r="R14" s="39"/>
      <c r="S14" s="39"/>
      <c r="T14" s="39"/>
      <c r="U14" s="39"/>
      <c r="V14" s="39"/>
      <c r="W14" s="428"/>
    </row>
    <row r="15" spans="2:23" s="8" customFormat="1" ht="14.25" thickBot="1">
      <c r="B15" s="429"/>
      <c r="C15" s="430"/>
      <c r="D15" s="430"/>
      <c r="E15" s="430"/>
      <c r="F15" s="430"/>
      <c r="G15" s="430"/>
      <c r="H15" s="430"/>
      <c r="I15" s="431"/>
      <c r="J15" s="431"/>
      <c r="K15" s="431"/>
      <c r="L15" s="431"/>
      <c r="M15" s="431"/>
      <c r="N15" s="431"/>
      <c r="O15" s="431"/>
      <c r="P15" s="431"/>
      <c r="Q15" s="430"/>
      <c r="R15" s="430"/>
      <c r="S15" s="430"/>
      <c r="T15" s="430"/>
      <c r="U15" s="430"/>
      <c r="V15" s="430"/>
      <c r="W15" s="432"/>
    </row>
    <row r="16" spans="2:23" s="8" customFormat="1" ht="15" thickBot="1" thickTop="1">
      <c r="B16" s="55"/>
      <c r="C16" s="11"/>
      <c r="D16" s="11"/>
      <c r="E16" s="11"/>
      <c r="F16" s="433"/>
      <c r="G16" s="433"/>
      <c r="H16" s="434" t="s">
        <v>65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5" t="s">
        <v>66</v>
      </c>
      <c r="G17" s="436">
        <v>148.761</v>
      </c>
      <c r="H17" s="437">
        <v>200</v>
      </c>
      <c r="V17" s="110"/>
      <c r="W17" s="60"/>
    </row>
    <row r="18" spans="2:23" s="8" customFormat="1" ht="16.5" customHeight="1" thickBot="1" thickTop="1">
      <c r="B18" s="55"/>
      <c r="C18" s="11"/>
      <c r="D18" s="11"/>
      <c r="E18" s="11"/>
      <c r="F18" s="438" t="s">
        <v>67</v>
      </c>
      <c r="G18" s="439">
        <v>133.866</v>
      </c>
      <c r="H18" s="437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40" t="s">
        <v>68</v>
      </c>
      <c r="G19" s="439">
        <v>119.01</v>
      </c>
      <c r="H19" s="437">
        <v>40</v>
      </c>
      <c r="K19" s="108"/>
      <c r="L19" s="109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1">
        <v>3</v>
      </c>
      <c r="D20" s="111">
        <v>4</v>
      </c>
      <c r="E20" s="111">
        <v>5</v>
      </c>
      <c r="F20" s="111">
        <v>6</v>
      </c>
      <c r="G20" s="111">
        <v>7</v>
      </c>
      <c r="H20" s="111">
        <v>8</v>
      </c>
      <c r="I20" s="111">
        <v>9</v>
      </c>
      <c r="J20" s="111">
        <v>10</v>
      </c>
      <c r="K20" s="111">
        <v>11</v>
      </c>
      <c r="L20" s="111">
        <v>12</v>
      </c>
      <c r="M20" s="111">
        <v>13</v>
      </c>
      <c r="N20" s="111">
        <v>14</v>
      </c>
      <c r="O20" s="111">
        <v>15</v>
      </c>
      <c r="P20" s="111">
        <v>16</v>
      </c>
      <c r="Q20" s="111">
        <v>17</v>
      </c>
      <c r="R20" s="111">
        <v>18</v>
      </c>
      <c r="S20" s="111">
        <v>19</v>
      </c>
      <c r="T20" s="111">
        <v>20</v>
      </c>
      <c r="U20" s="111">
        <v>21</v>
      </c>
      <c r="V20" s="111">
        <v>22</v>
      </c>
      <c r="W20" s="60"/>
    </row>
    <row r="21" spans="2:23" s="8" customFormat="1" ht="33.75" customHeight="1" thickBot="1" thickTop="1">
      <c r="B21" s="55"/>
      <c r="C21" s="317" t="s">
        <v>26</v>
      </c>
      <c r="D21" s="112" t="s">
        <v>27</v>
      </c>
      <c r="E21" s="112" t="s">
        <v>28</v>
      </c>
      <c r="F21" s="115" t="s">
        <v>56</v>
      </c>
      <c r="G21" s="441" t="s">
        <v>57</v>
      </c>
      <c r="H21" s="442" t="s">
        <v>29</v>
      </c>
      <c r="I21" s="322" t="s">
        <v>33</v>
      </c>
      <c r="J21" s="113" t="s">
        <v>34</v>
      </c>
      <c r="K21" s="441" t="s">
        <v>35</v>
      </c>
      <c r="L21" s="443" t="s">
        <v>36</v>
      </c>
      <c r="M21" s="443" t="s">
        <v>37</v>
      </c>
      <c r="N21" s="120" t="s">
        <v>296</v>
      </c>
      <c r="O21" s="119" t="s">
        <v>40</v>
      </c>
      <c r="P21" s="444" t="s">
        <v>32</v>
      </c>
      <c r="Q21" s="445" t="s">
        <v>69</v>
      </c>
      <c r="R21" s="446" t="s">
        <v>70</v>
      </c>
      <c r="S21" s="447"/>
      <c r="T21" s="448" t="s">
        <v>45</v>
      </c>
      <c r="U21" s="131" t="s">
        <v>47</v>
      </c>
      <c r="V21" s="321" t="s">
        <v>48</v>
      </c>
      <c r="W21" s="60"/>
    </row>
    <row r="22" spans="2:23" s="8" customFormat="1" ht="16.5" customHeight="1" thickTop="1">
      <c r="B22" s="55"/>
      <c r="C22" s="331"/>
      <c r="D22" s="331"/>
      <c r="E22" s="331"/>
      <c r="F22" s="449"/>
      <c r="G22" s="449"/>
      <c r="H22" s="449"/>
      <c r="I22" s="273"/>
      <c r="J22" s="449"/>
      <c r="K22" s="449"/>
      <c r="L22" s="449"/>
      <c r="M22" s="449"/>
      <c r="N22" s="449"/>
      <c r="O22" s="449"/>
      <c r="P22" s="450"/>
      <c r="Q22" s="451"/>
      <c r="R22" s="452"/>
      <c r="S22" s="453"/>
      <c r="T22" s="454"/>
      <c r="U22" s="449"/>
      <c r="V22" s="455">
        <f>'SA-04 (1)'!V45</f>
        <v>64648.72</v>
      </c>
      <c r="W22" s="60"/>
    </row>
    <row r="23" spans="2:23" s="8" customFormat="1" ht="16.5" customHeight="1">
      <c r="B23" s="55"/>
      <c r="C23" s="151"/>
      <c r="D23" s="151"/>
      <c r="E23" s="151"/>
      <c r="F23" s="456"/>
      <c r="G23" s="456"/>
      <c r="H23" s="456"/>
      <c r="I23" s="457"/>
      <c r="J23" s="456"/>
      <c r="K23" s="456"/>
      <c r="L23" s="456"/>
      <c r="M23" s="456"/>
      <c r="N23" s="456"/>
      <c r="O23" s="456"/>
      <c r="P23" s="458"/>
      <c r="Q23" s="459"/>
      <c r="R23" s="460"/>
      <c r="S23" s="461"/>
      <c r="T23" s="462"/>
      <c r="U23" s="456"/>
      <c r="V23" s="463"/>
      <c r="W23" s="60"/>
    </row>
    <row r="24" spans="2:23" s="8" customFormat="1" ht="16.5" customHeight="1">
      <c r="B24" s="55"/>
      <c r="C24" s="151">
        <v>44</v>
      </c>
      <c r="D24" s="151">
        <v>259689</v>
      </c>
      <c r="E24" s="170">
        <v>693</v>
      </c>
      <c r="F24" s="464" t="s">
        <v>351</v>
      </c>
      <c r="G24" s="464" t="s">
        <v>352</v>
      </c>
      <c r="H24" s="465">
        <v>132</v>
      </c>
      <c r="I24" s="466">
        <f aca="true" t="shared" si="0" ref="I24:I43">IF(H24=500,$G$17,IF(H24=220,$G$18,$G$19))</f>
        <v>119.01</v>
      </c>
      <c r="J24" s="467">
        <v>41381.50208333333</v>
      </c>
      <c r="K24" s="468">
        <v>41381.652083333334</v>
      </c>
      <c r="L24" s="469">
        <f aca="true" t="shared" si="1" ref="L24:L43">IF(F24="","",(K24-J24)*24)</f>
        <v>3.6000000000349246</v>
      </c>
      <c r="M24" s="470">
        <f aca="true" t="shared" si="2" ref="M24:M43">IF(F24="","",ROUND((K24-J24)*24*60,0))</f>
        <v>216</v>
      </c>
      <c r="N24" s="179" t="s">
        <v>309</v>
      </c>
      <c r="O24" s="181" t="str">
        <f aca="true" t="shared" si="3" ref="O24:O43">IF(F24="","",IF(N24="P","--","NO"))</f>
        <v>--</v>
      </c>
      <c r="P24" s="471">
        <f aca="true" t="shared" si="4" ref="P24:P43">IF(H24=500,$H$17,IF(H24=220,$H$18,$H$19))</f>
        <v>40</v>
      </c>
      <c r="Q24" s="472">
        <f aca="true" t="shared" si="5" ref="Q24:Q43">IF(N24="P",I24*P24*ROUND(M24/60,2)*0.1,"--")</f>
        <v>1713.7440000000004</v>
      </c>
      <c r="R24" s="460" t="str">
        <f aca="true" t="shared" si="6" ref="R24:R43">IF(AND(N24="F",O24="NO"),I24*P24,"--")</f>
        <v>--</v>
      </c>
      <c r="S24" s="461" t="str">
        <f aca="true" t="shared" si="7" ref="S24:S43">IF(N24="F",I24*P24*ROUND(M24/60,2),"--")</f>
        <v>--</v>
      </c>
      <c r="T24" s="462" t="str">
        <f aca="true" t="shared" si="8" ref="T24:T43">IF(N24="RF",I24*P24*ROUND(M24/60,2),"--")</f>
        <v>--</v>
      </c>
      <c r="U24" s="181" t="s">
        <v>80</v>
      </c>
      <c r="V24" s="473">
        <f aca="true" t="shared" si="9" ref="V24:V43">IF(F24="","",SUM(Q24:T24)*IF(U24="SI",1,2))</f>
        <v>1713.7440000000004</v>
      </c>
      <c r="W24" s="60"/>
    </row>
    <row r="25" spans="2:23" s="8" customFormat="1" ht="16.5" customHeight="1">
      <c r="B25" s="55"/>
      <c r="C25" s="151">
        <v>45</v>
      </c>
      <c r="D25" s="151">
        <v>259697</v>
      </c>
      <c r="E25" s="151">
        <v>693</v>
      </c>
      <c r="F25" s="464" t="s">
        <v>351</v>
      </c>
      <c r="G25" s="464" t="s">
        <v>352</v>
      </c>
      <c r="H25" s="465">
        <v>132</v>
      </c>
      <c r="I25" s="466">
        <f t="shared" si="0"/>
        <v>119.01</v>
      </c>
      <c r="J25" s="467">
        <v>41382.373611111114</v>
      </c>
      <c r="K25" s="468">
        <v>41382.60138888889</v>
      </c>
      <c r="L25" s="469">
        <f t="shared" si="1"/>
        <v>5.466666666674428</v>
      </c>
      <c r="M25" s="470">
        <f t="shared" si="2"/>
        <v>328</v>
      </c>
      <c r="N25" s="179" t="s">
        <v>309</v>
      </c>
      <c r="O25" s="181" t="str">
        <f t="shared" si="3"/>
        <v>--</v>
      </c>
      <c r="P25" s="471">
        <f t="shared" si="4"/>
        <v>40</v>
      </c>
      <c r="Q25" s="472">
        <f t="shared" si="5"/>
        <v>2603.9388000000004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1" t="s">
        <v>80</v>
      </c>
      <c r="V25" s="473">
        <f t="shared" si="9"/>
        <v>2603.9388000000004</v>
      </c>
      <c r="W25" s="60"/>
    </row>
    <row r="26" spans="2:23" s="8" customFormat="1" ht="16.5" customHeight="1">
      <c r="B26" s="55"/>
      <c r="C26" s="151">
        <v>46</v>
      </c>
      <c r="D26" s="151">
        <v>259700</v>
      </c>
      <c r="E26" s="170">
        <v>98</v>
      </c>
      <c r="F26" s="464" t="s">
        <v>353</v>
      </c>
      <c r="G26" s="464" t="s">
        <v>354</v>
      </c>
      <c r="H26" s="465">
        <v>500</v>
      </c>
      <c r="I26" s="466">
        <f t="shared" si="0"/>
        <v>148.761</v>
      </c>
      <c r="J26" s="467">
        <v>41382.62152777778</v>
      </c>
      <c r="K26" s="468">
        <v>41382.665972222225</v>
      </c>
      <c r="L26" s="469">
        <f t="shared" si="1"/>
        <v>1.0666666666511446</v>
      </c>
      <c r="M26" s="470">
        <f t="shared" si="2"/>
        <v>64</v>
      </c>
      <c r="N26" s="179" t="s">
        <v>310</v>
      </c>
      <c r="O26" s="181" t="s">
        <v>80</v>
      </c>
      <c r="P26" s="471">
        <f t="shared" si="4"/>
        <v>200</v>
      </c>
      <c r="Q26" s="472" t="str">
        <f t="shared" si="5"/>
        <v>--</v>
      </c>
      <c r="R26" s="460" t="str">
        <f t="shared" si="6"/>
        <v>--</v>
      </c>
      <c r="S26" s="461">
        <f t="shared" si="7"/>
        <v>31834.854000000003</v>
      </c>
      <c r="T26" s="462" t="str">
        <f t="shared" si="8"/>
        <v>--</v>
      </c>
      <c r="U26" s="181" t="s">
        <v>80</v>
      </c>
      <c r="V26" s="473">
        <f t="shared" si="9"/>
        <v>31834.854000000003</v>
      </c>
      <c r="W26" s="60"/>
    </row>
    <row r="27" spans="2:23" s="8" customFormat="1" ht="16.5" customHeight="1">
      <c r="B27" s="55"/>
      <c r="C27" s="151">
        <v>47</v>
      </c>
      <c r="D27" s="151">
        <v>259704</v>
      </c>
      <c r="E27" s="151">
        <v>2737</v>
      </c>
      <c r="F27" s="464" t="s">
        <v>355</v>
      </c>
      <c r="G27" s="464" t="s">
        <v>356</v>
      </c>
      <c r="H27" s="465">
        <v>132</v>
      </c>
      <c r="I27" s="466">
        <f t="shared" si="0"/>
        <v>119.01</v>
      </c>
      <c r="J27" s="467">
        <v>41383.43194444444</v>
      </c>
      <c r="K27" s="468">
        <v>41383.631944444445</v>
      </c>
      <c r="L27" s="469">
        <f t="shared" si="1"/>
        <v>4.800000000104774</v>
      </c>
      <c r="M27" s="470">
        <f t="shared" si="2"/>
        <v>288</v>
      </c>
      <c r="N27" s="179" t="s">
        <v>309</v>
      </c>
      <c r="O27" s="181" t="str">
        <f t="shared" si="3"/>
        <v>--</v>
      </c>
      <c r="P27" s="471">
        <f t="shared" si="4"/>
        <v>40</v>
      </c>
      <c r="Q27" s="472">
        <f t="shared" si="5"/>
        <v>2284.992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1" t="s">
        <v>80</v>
      </c>
      <c r="V27" s="473">
        <f t="shared" si="9"/>
        <v>2284.992</v>
      </c>
      <c r="W27" s="60"/>
    </row>
    <row r="28" spans="2:23" s="8" customFormat="1" ht="16.5" customHeight="1">
      <c r="B28" s="55"/>
      <c r="C28" s="151">
        <v>48</v>
      </c>
      <c r="D28" s="151">
        <v>259881</v>
      </c>
      <c r="E28" s="170">
        <v>132</v>
      </c>
      <c r="F28" s="464" t="s">
        <v>338</v>
      </c>
      <c r="G28" s="464" t="s">
        <v>357</v>
      </c>
      <c r="H28" s="465">
        <v>132</v>
      </c>
      <c r="I28" s="466">
        <f t="shared" si="0"/>
        <v>119.01</v>
      </c>
      <c r="J28" s="467">
        <v>41387.35972222222</v>
      </c>
      <c r="K28" s="468">
        <v>41387.654861111114</v>
      </c>
      <c r="L28" s="469">
        <f t="shared" si="1"/>
        <v>7.083333333372138</v>
      </c>
      <c r="M28" s="470">
        <f t="shared" si="2"/>
        <v>425</v>
      </c>
      <c r="N28" s="179" t="s">
        <v>309</v>
      </c>
      <c r="O28" s="181" t="str">
        <f t="shared" si="3"/>
        <v>--</v>
      </c>
      <c r="P28" s="471">
        <f t="shared" si="4"/>
        <v>40</v>
      </c>
      <c r="Q28" s="472">
        <f t="shared" si="5"/>
        <v>3370.3632000000007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1" t="s">
        <v>80</v>
      </c>
      <c r="V28" s="473">
        <v>0</v>
      </c>
      <c r="W28" s="60"/>
    </row>
    <row r="29" spans="2:23" s="8" customFormat="1" ht="16.5" customHeight="1">
      <c r="B29" s="55"/>
      <c r="C29" s="151">
        <v>49</v>
      </c>
      <c r="D29" s="151">
        <v>259886</v>
      </c>
      <c r="E29" s="151">
        <v>142</v>
      </c>
      <c r="F29" s="464" t="s">
        <v>323</v>
      </c>
      <c r="G29" s="464" t="s">
        <v>358</v>
      </c>
      <c r="H29" s="465">
        <v>132</v>
      </c>
      <c r="I29" s="466">
        <f t="shared" si="0"/>
        <v>119.01</v>
      </c>
      <c r="J29" s="467">
        <v>41388.38402777778</v>
      </c>
      <c r="K29" s="468">
        <v>41388.48541666667</v>
      </c>
      <c r="L29" s="469">
        <f t="shared" si="1"/>
        <v>2.433333333407063</v>
      </c>
      <c r="M29" s="470">
        <f t="shared" si="2"/>
        <v>146</v>
      </c>
      <c r="N29" s="179" t="s">
        <v>309</v>
      </c>
      <c r="O29" s="181" t="str">
        <f t="shared" si="3"/>
        <v>--</v>
      </c>
      <c r="P29" s="471">
        <f t="shared" si="4"/>
        <v>40</v>
      </c>
      <c r="Q29" s="472">
        <f t="shared" si="5"/>
        <v>1156.7772000000002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1" t="s">
        <v>80</v>
      </c>
      <c r="V29" s="473">
        <v>0</v>
      </c>
      <c r="W29" s="60"/>
    </row>
    <row r="30" spans="2:23" s="8" customFormat="1" ht="16.5" customHeight="1">
      <c r="B30" s="55"/>
      <c r="C30" s="151">
        <v>50</v>
      </c>
      <c r="D30" s="151">
        <v>259896</v>
      </c>
      <c r="E30" s="170">
        <v>4782</v>
      </c>
      <c r="F30" s="464" t="s">
        <v>414</v>
      </c>
      <c r="G30" s="464" t="s">
        <v>415</v>
      </c>
      <c r="H30" s="589">
        <v>500</v>
      </c>
      <c r="I30" s="466">
        <f t="shared" si="0"/>
        <v>148.761</v>
      </c>
      <c r="J30" s="467">
        <v>41391.03958333333</v>
      </c>
      <c r="K30" s="468">
        <v>41391.45625</v>
      </c>
      <c r="L30" s="469">
        <f t="shared" si="1"/>
        <v>10.000000000116415</v>
      </c>
      <c r="M30" s="470">
        <f t="shared" si="2"/>
        <v>600</v>
      </c>
      <c r="N30" s="179" t="s">
        <v>309</v>
      </c>
      <c r="O30" s="181" t="str">
        <f t="shared" si="3"/>
        <v>--</v>
      </c>
      <c r="P30" s="471">
        <f t="shared" si="4"/>
        <v>200</v>
      </c>
      <c r="Q30" s="472">
        <f t="shared" si="5"/>
        <v>29752.2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1" t="s">
        <v>80</v>
      </c>
      <c r="V30" s="473">
        <v>0</v>
      </c>
      <c r="W30" s="60"/>
    </row>
    <row r="31" spans="2:23" s="8" customFormat="1" ht="16.5" customHeight="1">
      <c r="B31" s="55"/>
      <c r="C31" s="151">
        <v>51</v>
      </c>
      <c r="D31" s="151">
        <v>259898</v>
      </c>
      <c r="E31" s="151">
        <v>4824</v>
      </c>
      <c r="F31" s="464" t="s">
        <v>416</v>
      </c>
      <c r="G31" s="464" t="s">
        <v>417</v>
      </c>
      <c r="H31" s="589">
        <v>500</v>
      </c>
      <c r="I31" s="466">
        <f t="shared" si="0"/>
        <v>148.761</v>
      </c>
      <c r="J31" s="467">
        <v>41391.339583333334</v>
      </c>
      <c r="K31" s="468">
        <v>41391.763194444444</v>
      </c>
      <c r="L31" s="469">
        <f t="shared" si="1"/>
        <v>10.166666666627862</v>
      </c>
      <c r="M31" s="470">
        <f t="shared" si="2"/>
        <v>610</v>
      </c>
      <c r="N31" s="179" t="s">
        <v>309</v>
      </c>
      <c r="O31" s="181" t="str">
        <f t="shared" si="3"/>
        <v>--</v>
      </c>
      <c r="P31" s="471">
        <f t="shared" si="4"/>
        <v>200</v>
      </c>
      <c r="Q31" s="472">
        <f t="shared" si="5"/>
        <v>30257.9874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1" t="s">
        <v>80</v>
      </c>
      <c r="V31" s="473">
        <v>0</v>
      </c>
      <c r="W31" s="60"/>
    </row>
    <row r="32" spans="2:23" s="8" customFormat="1" ht="16.5" customHeight="1">
      <c r="B32" s="55"/>
      <c r="C32" s="151">
        <v>52</v>
      </c>
      <c r="D32" s="151">
        <v>259902</v>
      </c>
      <c r="E32" s="170">
        <v>4758</v>
      </c>
      <c r="F32" s="464" t="s">
        <v>414</v>
      </c>
      <c r="G32" s="464" t="s">
        <v>418</v>
      </c>
      <c r="H32" s="589">
        <v>500</v>
      </c>
      <c r="I32" s="466">
        <f t="shared" si="0"/>
        <v>148.761</v>
      </c>
      <c r="J32" s="467">
        <v>41392.58819444444</v>
      </c>
      <c r="K32" s="468">
        <v>41393.00486111111</v>
      </c>
      <c r="L32" s="469">
        <f t="shared" si="1"/>
        <v>10.000000000116415</v>
      </c>
      <c r="M32" s="470">
        <f t="shared" si="2"/>
        <v>600</v>
      </c>
      <c r="N32" s="179" t="s">
        <v>309</v>
      </c>
      <c r="O32" s="181" t="str">
        <f t="shared" si="3"/>
        <v>--</v>
      </c>
      <c r="P32" s="471">
        <f t="shared" si="4"/>
        <v>200</v>
      </c>
      <c r="Q32" s="472">
        <f t="shared" si="5"/>
        <v>29752.2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1" t="s">
        <v>80</v>
      </c>
      <c r="V32" s="473">
        <v>0</v>
      </c>
      <c r="W32" s="60"/>
    </row>
    <row r="33" spans="2:23" s="8" customFormat="1" ht="16.5" customHeight="1">
      <c r="B33" s="55"/>
      <c r="C33" s="151">
        <v>53</v>
      </c>
      <c r="D33" s="151">
        <v>260116</v>
      </c>
      <c r="E33" s="151">
        <v>2033</v>
      </c>
      <c r="F33" s="464" t="s">
        <v>330</v>
      </c>
      <c r="G33" s="464" t="s">
        <v>359</v>
      </c>
      <c r="H33" s="465">
        <v>132</v>
      </c>
      <c r="I33" s="466">
        <f t="shared" si="0"/>
        <v>119.01</v>
      </c>
      <c r="J33" s="467">
        <v>41393.381944444445</v>
      </c>
      <c r="K33" s="468">
        <v>41393.683333333334</v>
      </c>
      <c r="L33" s="469">
        <f t="shared" si="1"/>
        <v>7.233333333337214</v>
      </c>
      <c r="M33" s="470">
        <f t="shared" si="2"/>
        <v>434</v>
      </c>
      <c r="N33" s="179" t="s">
        <v>309</v>
      </c>
      <c r="O33" s="181" t="str">
        <f t="shared" si="3"/>
        <v>--</v>
      </c>
      <c r="P33" s="471">
        <f t="shared" si="4"/>
        <v>40</v>
      </c>
      <c r="Q33" s="472">
        <f t="shared" si="5"/>
        <v>3441.7692000000006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1" t="s">
        <v>80</v>
      </c>
      <c r="V33" s="473">
        <f t="shared" si="9"/>
        <v>3441.7692000000006</v>
      </c>
      <c r="W33" s="60"/>
    </row>
    <row r="34" spans="2:23" s="8" customFormat="1" ht="16.5" customHeight="1">
      <c r="B34" s="55"/>
      <c r="C34" s="151">
        <v>54</v>
      </c>
      <c r="D34" s="151">
        <v>260119</v>
      </c>
      <c r="E34" s="170">
        <v>2646</v>
      </c>
      <c r="F34" s="464" t="s">
        <v>330</v>
      </c>
      <c r="G34" s="464" t="s">
        <v>360</v>
      </c>
      <c r="H34" s="465">
        <v>132</v>
      </c>
      <c r="I34" s="466">
        <f t="shared" si="0"/>
        <v>119.01</v>
      </c>
      <c r="J34" s="467">
        <v>41394.365277777775</v>
      </c>
      <c r="K34" s="468">
        <v>41394.697916666664</v>
      </c>
      <c r="L34" s="469">
        <f t="shared" si="1"/>
        <v>7.983333333337214</v>
      </c>
      <c r="M34" s="470">
        <f t="shared" si="2"/>
        <v>479</v>
      </c>
      <c r="N34" s="179" t="s">
        <v>309</v>
      </c>
      <c r="O34" s="181" t="str">
        <f t="shared" si="3"/>
        <v>--</v>
      </c>
      <c r="P34" s="471">
        <f t="shared" si="4"/>
        <v>40</v>
      </c>
      <c r="Q34" s="472">
        <f t="shared" si="5"/>
        <v>3798.799200000001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1" t="s">
        <v>80</v>
      </c>
      <c r="V34" s="473">
        <f t="shared" si="9"/>
        <v>3798.799200000001</v>
      </c>
      <c r="W34" s="60"/>
    </row>
    <row r="35" spans="2:23" s="8" customFormat="1" ht="16.5" customHeight="1">
      <c r="B35" s="55"/>
      <c r="C35" s="151"/>
      <c r="D35" s="151"/>
      <c r="E35" s="151"/>
      <c r="F35" s="464"/>
      <c r="G35" s="464"/>
      <c r="H35" s="465"/>
      <c r="I35" s="466">
        <f t="shared" si="0"/>
        <v>119.01</v>
      </c>
      <c r="J35" s="467"/>
      <c r="K35" s="468"/>
      <c r="L35" s="469">
        <f t="shared" si="1"/>
      </c>
      <c r="M35" s="470">
        <f t="shared" si="2"/>
      </c>
      <c r="N35" s="179"/>
      <c r="O35" s="181">
        <f t="shared" si="3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1">
        <f aca="true" t="shared" si="10" ref="U35:U43">IF(F35="","","SI")</f>
      </c>
      <c r="V35" s="473">
        <f t="shared" si="9"/>
      </c>
      <c r="W35" s="60"/>
    </row>
    <row r="36" spans="2:23" s="8" customFormat="1" ht="16.5" customHeight="1">
      <c r="B36" s="55"/>
      <c r="C36" s="151"/>
      <c r="D36" s="151"/>
      <c r="E36" s="170"/>
      <c r="F36" s="464"/>
      <c r="G36" s="464"/>
      <c r="H36" s="465"/>
      <c r="I36" s="466">
        <f t="shared" si="0"/>
        <v>119.01</v>
      </c>
      <c r="J36" s="467"/>
      <c r="K36" s="468"/>
      <c r="L36" s="469">
        <f t="shared" si="1"/>
      </c>
      <c r="M36" s="470">
        <f t="shared" si="2"/>
      </c>
      <c r="N36" s="179"/>
      <c r="O36" s="181">
        <f t="shared" si="3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1">
        <f t="shared" si="10"/>
      </c>
      <c r="V36" s="473">
        <f t="shared" si="9"/>
      </c>
      <c r="W36" s="60"/>
    </row>
    <row r="37" spans="2:23" s="8" customFormat="1" ht="16.5" customHeight="1">
      <c r="B37" s="55"/>
      <c r="C37" s="151"/>
      <c r="D37" s="151"/>
      <c r="E37" s="151"/>
      <c r="F37" s="464"/>
      <c r="G37" s="464"/>
      <c r="H37" s="465"/>
      <c r="I37" s="466">
        <f t="shared" si="0"/>
        <v>119.01</v>
      </c>
      <c r="J37" s="467"/>
      <c r="K37" s="468"/>
      <c r="L37" s="469">
        <f t="shared" si="1"/>
      </c>
      <c r="M37" s="470">
        <f t="shared" si="2"/>
      </c>
      <c r="N37" s="179"/>
      <c r="O37" s="181">
        <f t="shared" si="3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1">
        <f t="shared" si="10"/>
      </c>
      <c r="V37" s="473">
        <f t="shared" si="9"/>
      </c>
      <c r="W37" s="60"/>
    </row>
    <row r="38" spans="2:23" s="8" customFormat="1" ht="16.5" customHeight="1">
      <c r="B38" s="55"/>
      <c r="C38" s="151"/>
      <c r="D38" s="151"/>
      <c r="E38" s="170"/>
      <c r="F38" s="464"/>
      <c r="G38" s="464"/>
      <c r="H38" s="465"/>
      <c r="I38" s="466">
        <f t="shared" si="0"/>
        <v>119.01</v>
      </c>
      <c r="J38" s="467"/>
      <c r="K38" s="468"/>
      <c r="L38" s="469">
        <f t="shared" si="1"/>
      </c>
      <c r="M38" s="470">
        <f t="shared" si="2"/>
      </c>
      <c r="N38" s="179"/>
      <c r="O38" s="181">
        <f t="shared" si="3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1">
        <f t="shared" si="10"/>
      </c>
      <c r="V38" s="473">
        <f t="shared" si="9"/>
      </c>
      <c r="W38" s="60"/>
    </row>
    <row r="39" spans="2:23" s="8" customFormat="1" ht="16.5" customHeight="1">
      <c r="B39" s="55"/>
      <c r="C39" s="151"/>
      <c r="D39" s="151"/>
      <c r="E39" s="151"/>
      <c r="F39" s="464"/>
      <c r="G39" s="464"/>
      <c r="H39" s="465"/>
      <c r="I39" s="466">
        <f t="shared" si="0"/>
        <v>119.01</v>
      </c>
      <c r="J39" s="467"/>
      <c r="K39" s="468"/>
      <c r="L39" s="469">
        <f t="shared" si="1"/>
      </c>
      <c r="M39" s="470">
        <f t="shared" si="2"/>
      </c>
      <c r="N39" s="179"/>
      <c r="O39" s="181">
        <f t="shared" si="3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1">
        <f t="shared" si="10"/>
      </c>
      <c r="V39" s="473">
        <f t="shared" si="9"/>
      </c>
      <c r="W39" s="60"/>
    </row>
    <row r="40" spans="2:23" s="8" customFormat="1" ht="16.5" customHeight="1">
      <c r="B40" s="55"/>
      <c r="C40" s="151"/>
      <c r="D40" s="151"/>
      <c r="E40" s="170"/>
      <c r="F40" s="464"/>
      <c r="G40" s="464"/>
      <c r="H40" s="465"/>
      <c r="I40" s="466">
        <f t="shared" si="0"/>
        <v>119.01</v>
      </c>
      <c r="J40" s="467"/>
      <c r="K40" s="468"/>
      <c r="L40" s="469">
        <f t="shared" si="1"/>
      </c>
      <c r="M40" s="470">
        <f t="shared" si="2"/>
      </c>
      <c r="N40" s="179"/>
      <c r="O40" s="181">
        <f t="shared" si="3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1">
        <f t="shared" si="10"/>
      </c>
      <c r="V40" s="473">
        <f t="shared" si="9"/>
      </c>
      <c r="W40" s="60"/>
    </row>
    <row r="41" spans="2:23" s="8" customFormat="1" ht="16.5" customHeight="1">
      <c r="B41" s="55"/>
      <c r="C41" s="151"/>
      <c r="D41" s="151"/>
      <c r="E41" s="151"/>
      <c r="F41" s="464"/>
      <c r="G41" s="464"/>
      <c r="H41" s="465"/>
      <c r="I41" s="466">
        <f t="shared" si="0"/>
        <v>119.01</v>
      </c>
      <c r="J41" s="467"/>
      <c r="K41" s="468"/>
      <c r="L41" s="469">
        <f t="shared" si="1"/>
      </c>
      <c r="M41" s="470">
        <f t="shared" si="2"/>
      </c>
      <c r="N41" s="179"/>
      <c r="O41" s="181">
        <f t="shared" si="3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1">
        <f t="shared" si="10"/>
      </c>
      <c r="V41" s="473">
        <f t="shared" si="9"/>
      </c>
      <c r="W41" s="60"/>
    </row>
    <row r="42" spans="2:23" s="8" customFormat="1" ht="16.5" customHeight="1">
      <c r="B42" s="55"/>
      <c r="C42" s="151"/>
      <c r="D42" s="151"/>
      <c r="E42" s="170"/>
      <c r="F42" s="464"/>
      <c r="G42" s="464"/>
      <c r="H42" s="465"/>
      <c r="I42" s="466">
        <f t="shared" si="0"/>
        <v>119.01</v>
      </c>
      <c r="J42" s="467"/>
      <c r="K42" s="468"/>
      <c r="L42" s="469">
        <f t="shared" si="1"/>
      </c>
      <c r="M42" s="470">
        <f t="shared" si="2"/>
      </c>
      <c r="N42" s="179"/>
      <c r="O42" s="181">
        <f t="shared" si="3"/>
      </c>
      <c r="P42" s="471">
        <f t="shared" si="4"/>
        <v>40</v>
      </c>
      <c r="Q42" s="472" t="str">
        <f t="shared" si="5"/>
        <v>--</v>
      </c>
      <c r="R42" s="460" t="str">
        <f t="shared" si="6"/>
        <v>--</v>
      </c>
      <c r="S42" s="461" t="str">
        <f t="shared" si="7"/>
        <v>--</v>
      </c>
      <c r="T42" s="462" t="str">
        <f t="shared" si="8"/>
        <v>--</v>
      </c>
      <c r="U42" s="181">
        <f t="shared" si="10"/>
      </c>
      <c r="V42" s="473">
        <f t="shared" si="9"/>
      </c>
      <c r="W42" s="60"/>
    </row>
    <row r="43" spans="2:23" s="8" customFormat="1" ht="16.5" customHeight="1">
      <c r="B43" s="55"/>
      <c r="C43" s="151"/>
      <c r="D43" s="151"/>
      <c r="E43" s="151"/>
      <c r="F43" s="464"/>
      <c r="G43" s="464"/>
      <c r="H43" s="465"/>
      <c r="I43" s="466">
        <f t="shared" si="0"/>
        <v>119.01</v>
      </c>
      <c r="J43" s="467"/>
      <c r="K43" s="468"/>
      <c r="L43" s="469">
        <f t="shared" si="1"/>
      </c>
      <c r="M43" s="470">
        <f t="shared" si="2"/>
      </c>
      <c r="N43" s="179"/>
      <c r="O43" s="181">
        <f t="shared" si="3"/>
      </c>
      <c r="P43" s="471">
        <f t="shared" si="4"/>
        <v>40</v>
      </c>
      <c r="Q43" s="472" t="str">
        <f t="shared" si="5"/>
        <v>--</v>
      </c>
      <c r="R43" s="460" t="str">
        <f t="shared" si="6"/>
        <v>--</v>
      </c>
      <c r="S43" s="461" t="str">
        <f t="shared" si="7"/>
        <v>--</v>
      </c>
      <c r="T43" s="462" t="str">
        <f t="shared" si="8"/>
        <v>--</v>
      </c>
      <c r="U43" s="181">
        <f t="shared" si="10"/>
      </c>
      <c r="V43" s="473">
        <f t="shared" si="9"/>
      </c>
      <c r="W43" s="60"/>
    </row>
    <row r="44" spans="2:23" s="8" customFormat="1" ht="16.5" customHeight="1" thickBot="1">
      <c r="B44" s="55"/>
      <c r="C44" s="209"/>
      <c r="D44" s="209"/>
      <c r="E44" s="209"/>
      <c r="F44" s="209"/>
      <c r="G44" s="209"/>
      <c r="H44" s="209"/>
      <c r="I44" s="382"/>
      <c r="J44" s="474"/>
      <c r="K44" s="474"/>
      <c r="L44" s="475"/>
      <c r="M44" s="475"/>
      <c r="N44" s="474"/>
      <c r="O44" s="216"/>
      <c r="P44" s="476"/>
      <c r="Q44" s="477"/>
      <c r="R44" s="478"/>
      <c r="S44" s="479"/>
      <c r="T44" s="480"/>
      <c r="U44" s="216"/>
      <c r="V44" s="481"/>
      <c r="W44" s="60"/>
    </row>
    <row r="45" spans="2:23" s="8" customFormat="1" ht="16.5" customHeight="1" thickBot="1" thickTop="1">
      <c r="B45" s="55"/>
      <c r="C45" s="230" t="s">
        <v>297</v>
      </c>
      <c r="D45" s="271" t="s">
        <v>400</v>
      </c>
      <c r="E45" s="230"/>
      <c r="F45" s="231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2">
        <f>SUM(Q22:Q44)</f>
        <v>108132.771</v>
      </c>
      <c r="R45" s="483">
        <f>SUM(R22:R44)</f>
        <v>0</v>
      </c>
      <c r="S45" s="484">
        <f>SUM(S22:S44)</f>
        <v>31834.854000000003</v>
      </c>
      <c r="T45" s="485">
        <f>SUM(T22:T44)</f>
        <v>0</v>
      </c>
      <c r="U45" s="486"/>
      <c r="V45" s="487">
        <f>ROUND(SUM(V22:V44),2)</f>
        <v>110326.82</v>
      </c>
      <c r="W45" s="60"/>
    </row>
    <row r="46" spans="2:23" s="8" customFormat="1" ht="16.5" customHeight="1" thickBot="1" thickTop="1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7"/>
    </row>
    <row r="47" spans="23:25" ht="16.5" customHeight="1" thickTop="1">
      <c r="W47" s="413"/>
      <c r="X47" s="413"/>
      <c r="Y47" s="413"/>
    </row>
    <row r="48" spans="23:25" ht="16.5" customHeight="1">
      <c r="W48" s="413"/>
      <c r="X48" s="413"/>
      <c r="Y48" s="413"/>
    </row>
    <row r="49" spans="23:25" ht="16.5" customHeight="1">
      <c r="W49" s="413"/>
      <c r="X49" s="413"/>
      <c r="Y49" s="413"/>
    </row>
    <row r="50" spans="23:25" ht="16.5" customHeight="1">
      <c r="W50" s="413"/>
      <c r="X50" s="413"/>
      <c r="Y50" s="413"/>
    </row>
    <row r="51" spans="23:25" ht="16.5" customHeight="1">
      <c r="W51" s="413"/>
      <c r="X51" s="413"/>
      <c r="Y51" s="413"/>
    </row>
    <row r="52" spans="6:25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58" spans="6:25" ht="16.5" customHeight="1">
      <c r="F158" s="413"/>
      <c r="G158" s="413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</row>
    <row r="159" spans="6:25" ht="16.5" customHeight="1">
      <c r="F159" s="413"/>
      <c r="G159" s="413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Y157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9"/>
      <c r="B2" s="2" t="str">
        <f>+'TOT-0412'!B2</f>
        <v>ANEXO V al Memorándum  D.T.E.E.  N°     461       / 2014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90"/>
    </row>
    <row r="4" spans="1:4" s="14" customFormat="1" ht="11.25">
      <c r="A4" s="12" t="s">
        <v>2</v>
      </c>
      <c r="B4" s="91"/>
      <c r="C4" s="91"/>
      <c r="D4" s="91"/>
    </row>
    <row r="5" spans="1:4" s="14" customFormat="1" ht="11.25">
      <c r="A5" s="12" t="s">
        <v>3</v>
      </c>
      <c r="B5" s="91"/>
      <c r="C5" s="91"/>
      <c r="D5" s="91"/>
    </row>
    <row r="6" s="8" customFormat="1" ht="13.5" thickBot="1"/>
    <row r="7" spans="2:23" s="8" customFormat="1" ht="13.5" thickTop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19"/>
    </row>
    <row r="8" spans="2:23" s="18" customFormat="1" ht="20.25">
      <c r="B8" s="96"/>
      <c r="C8" s="23"/>
      <c r="D8" s="23"/>
      <c r="E8" s="23"/>
      <c r="F8" s="420" t="s">
        <v>21</v>
      </c>
      <c r="N8" s="283"/>
      <c r="O8" s="283"/>
      <c r="P8" s="285"/>
      <c r="Q8" s="23"/>
      <c r="R8" s="23"/>
      <c r="S8" s="23"/>
      <c r="T8" s="23"/>
      <c r="U8" s="23"/>
      <c r="V8" s="23"/>
      <c r="W8" s="421"/>
    </row>
    <row r="9" spans="2:23" s="8" customFormat="1" ht="12.75">
      <c r="B9" s="55"/>
      <c r="C9" s="11"/>
      <c r="D9" s="11"/>
      <c r="E9" s="11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60"/>
    </row>
    <row r="10" spans="2:23" s="249" customFormat="1" ht="33" customHeight="1">
      <c r="B10" s="250"/>
      <c r="C10" s="251"/>
      <c r="D10" s="251"/>
      <c r="E10" s="251"/>
      <c r="F10" s="488" t="s">
        <v>63</v>
      </c>
      <c r="G10" s="489"/>
      <c r="H10" s="418"/>
      <c r="I10" s="490"/>
      <c r="K10" s="490"/>
      <c r="L10" s="490"/>
      <c r="M10" s="490"/>
      <c r="N10" s="490"/>
      <c r="O10" s="490"/>
      <c r="P10" s="490"/>
      <c r="Q10" s="251"/>
      <c r="R10" s="251"/>
      <c r="S10" s="251"/>
      <c r="T10" s="251"/>
      <c r="U10" s="251"/>
      <c r="V10" s="251"/>
      <c r="W10" s="491"/>
    </row>
    <row r="11" spans="2:23" s="254" customFormat="1" ht="33" customHeight="1">
      <c r="B11" s="255"/>
      <c r="C11" s="256"/>
      <c r="D11" s="256"/>
      <c r="E11" s="256"/>
      <c r="F11" s="488" t="s">
        <v>71</v>
      </c>
      <c r="G11" s="492"/>
      <c r="H11" s="414"/>
      <c r="I11" s="493"/>
      <c r="J11" s="494"/>
      <c r="K11" s="493"/>
      <c r="L11" s="493"/>
      <c r="M11" s="493"/>
      <c r="N11" s="493"/>
      <c r="O11" s="493"/>
      <c r="P11" s="493"/>
      <c r="Q11" s="256"/>
      <c r="R11" s="256"/>
      <c r="S11" s="256"/>
      <c r="T11" s="256"/>
      <c r="U11" s="256"/>
      <c r="V11" s="256"/>
      <c r="W11" s="495"/>
    </row>
    <row r="12" spans="2:23" s="8" customFormat="1" ht="19.5">
      <c r="B12" s="35" t="str">
        <f>'TOT-0412'!B14</f>
        <v>Desde el 01 al 30 de abril de 2013</v>
      </c>
      <c r="C12" s="39"/>
      <c r="D12" s="39"/>
      <c r="E12" s="39"/>
      <c r="F12" s="39"/>
      <c r="G12" s="39"/>
      <c r="H12" s="39"/>
      <c r="I12" s="427"/>
      <c r="J12" s="427"/>
      <c r="K12" s="427"/>
      <c r="L12" s="427"/>
      <c r="M12" s="427"/>
      <c r="N12" s="427"/>
      <c r="O12" s="427"/>
      <c r="P12" s="427"/>
      <c r="Q12" s="39"/>
      <c r="R12" s="39"/>
      <c r="S12" s="39"/>
      <c r="T12" s="39"/>
      <c r="U12" s="39"/>
      <c r="V12" s="39"/>
      <c r="W12" s="428"/>
    </row>
    <row r="13" spans="2:23" s="8" customFormat="1" ht="14.25" thickBot="1">
      <c r="B13" s="429"/>
      <c r="C13" s="430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0"/>
      <c r="R13" s="430"/>
      <c r="S13" s="430"/>
      <c r="T13" s="430"/>
      <c r="U13" s="430"/>
      <c r="V13" s="430"/>
      <c r="W13" s="432"/>
    </row>
    <row r="14" spans="2:23" s="8" customFormat="1" ht="15" thickBot="1" thickTop="1">
      <c r="B14" s="55"/>
      <c r="C14" s="11"/>
      <c r="D14" s="11"/>
      <c r="E14" s="11"/>
      <c r="F14" s="433"/>
      <c r="G14" s="433"/>
      <c r="H14" s="434" t="s">
        <v>65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35" t="s">
        <v>66</v>
      </c>
      <c r="G15" s="436">
        <v>54.313</v>
      </c>
      <c r="H15" s="437">
        <v>200</v>
      </c>
      <c r="V15" s="110"/>
      <c r="W15" s="60"/>
    </row>
    <row r="16" spans="2:23" s="8" customFormat="1" ht="16.5" customHeight="1" thickBot="1" thickTop="1">
      <c r="B16" s="55"/>
      <c r="C16" s="11"/>
      <c r="D16" s="11"/>
      <c r="E16" s="11"/>
      <c r="F16" s="438" t="s">
        <v>67</v>
      </c>
      <c r="G16" s="439" t="s">
        <v>72</v>
      </c>
      <c r="H16" s="437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40" t="s">
        <v>68</v>
      </c>
      <c r="G17" s="496">
        <v>43.452</v>
      </c>
      <c r="H17" s="437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1">
        <v>3</v>
      </c>
      <c r="D18" s="111">
        <v>4</v>
      </c>
      <c r="E18" s="111">
        <v>5</v>
      </c>
      <c r="F18" s="111">
        <v>6</v>
      </c>
      <c r="G18" s="111">
        <v>7</v>
      </c>
      <c r="H18" s="111">
        <v>8</v>
      </c>
      <c r="I18" s="111">
        <v>9</v>
      </c>
      <c r="J18" s="111">
        <v>10</v>
      </c>
      <c r="K18" s="111">
        <v>11</v>
      </c>
      <c r="L18" s="111">
        <v>12</v>
      </c>
      <c r="M18" s="111">
        <v>13</v>
      </c>
      <c r="N18" s="111">
        <v>14</v>
      </c>
      <c r="O18" s="111">
        <v>15</v>
      </c>
      <c r="P18" s="111">
        <v>16</v>
      </c>
      <c r="Q18" s="111">
        <v>17</v>
      </c>
      <c r="R18" s="111">
        <v>18</v>
      </c>
      <c r="S18" s="111">
        <v>19</v>
      </c>
      <c r="T18" s="111">
        <v>20</v>
      </c>
      <c r="U18" s="111">
        <v>21</v>
      </c>
      <c r="V18" s="111">
        <v>22</v>
      </c>
      <c r="W18" s="60"/>
    </row>
    <row r="19" spans="2:23" s="8" customFormat="1" ht="33.75" customHeight="1" thickBot="1" thickTop="1">
      <c r="B19" s="55"/>
      <c r="C19" s="317" t="s">
        <v>26</v>
      </c>
      <c r="D19" s="112" t="s">
        <v>27</v>
      </c>
      <c r="E19" s="112" t="s">
        <v>28</v>
      </c>
      <c r="F19" s="115" t="s">
        <v>56</v>
      </c>
      <c r="G19" s="441" t="s">
        <v>57</v>
      </c>
      <c r="H19" s="442" t="s">
        <v>29</v>
      </c>
      <c r="I19" s="322" t="s">
        <v>33</v>
      </c>
      <c r="J19" s="113" t="s">
        <v>34</v>
      </c>
      <c r="K19" s="441" t="s">
        <v>35</v>
      </c>
      <c r="L19" s="443" t="s">
        <v>36</v>
      </c>
      <c r="M19" s="443" t="s">
        <v>37</v>
      </c>
      <c r="N19" s="120" t="s">
        <v>296</v>
      </c>
      <c r="O19" s="119" t="s">
        <v>40</v>
      </c>
      <c r="P19" s="444" t="s">
        <v>32</v>
      </c>
      <c r="Q19" s="445" t="s">
        <v>69</v>
      </c>
      <c r="R19" s="446" t="s">
        <v>70</v>
      </c>
      <c r="S19" s="447"/>
      <c r="T19" s="448" t="s">
        <v>45</v>
      </c>
      <c r="U19" s="131" t="s">
        <v>47</v>
      </c>
      <c r="V19" s="321" t="s">
        <v>48</v>
      </c>
      <c r="W19" s="60"/>
    </row>
    <row r="20" spans="2:23" s="8" customFormat="1" ht="16.5" customHeight="1" thickTop="1">
      <c r="B20" s="55"/>
      <c r="C20" s="331"/>
      <c r="D20" s="331"/>
      <c r="E20" s="331"/>
      <c r="F20" s="449"/>
      <c r="G20" s="449"/>
      <c r="H20" s="449"/>
      <c r="I20" s="273"/>
      <c r="J20" s="449"/>
      <c r="K20" s="449"/>
      <c r="L20" s="449"/>
      <c r="M20" s="449"/>
      <c r="N20" s="449"/>
      <c r="O20" s="449"/>
      <c r="P20" s="450"/>
      <c r="Q20" s="451"/>
      <c r="R20" s="452"/>
      <c r="S20" s="453"/>
      <c r="T20" s="454"/>
      <c r="U20" s="449"/>
      <c r="V20" s="455"/>
      <c r="W20" s="60"/>
    </row>
    <row r="21" spans="2:23" s="8" customFormat="1" ht="16.5" customHeight="1">
      <c r="B21" s="55"/>
      <c r="C21" s="151"/>
      <c r="D21" s="151"/>
      <c r="E21" s="151"/>
      <c r="F21" s="456"/>
      <c r="G21" s="456"/>
      <c r="H21" s="456"/>
      <c r="I21" s="457"/>
      <c r="J21" s="456"/>
      <c r="K21" s="456"/>
      <c r="L21" s="456"/>
      <c r="M21" s="456"/>
      <c r="N21" s="456"/>
      <c r="O21" s="456"/>
      <c r="P21" s="458"/>
      <c r="Q21" s="459"/>
      <c r="R21" s="460"/>
      <c r="S21" s="461"/>
      <c r="T21" s="462"/>
      <c r="U21" s="456"/>
      <c r="V21" s="463"/>
      <c r="W21" s="60"/>
    </row>
    <row r="22" spans="2:23" s="8" customFormat="1" ht="16.5" customHeight="1">
      <c r="B22" s="55"/>
      <c r="C22" s="151">
        <v>55</v>
      </c>
      <c r="D22" s="151">
        <v>259515</v>
      </c>
      <c r="E22" s="170">
        <v>2594</v>
      </c>
      <c r="F22" s="464" t="s">
        <v>353</v>
      </c>
      <c r="G22" s="464" t="s">
        <v>361</v>
      </c>
      <c r="H22" s="465">
        <v>132</v>
      </c>
      <c r="I22" s="466">
        <f aca="true" t="shared" si="0" ref="I22:I41">IF(H22=500,$G$15,IF(H22=220,$G$16,$G$17))</f>
        <v>43.452</v>
      </c>
      <c r="J22" s="467">
        <v>41373.395833333336</v>
      </c>
      <c r="K22" s="468">
        <v>41373.614583333336</v>
      </c>
      <c r="L22" s="469">
        <f aca="true" t="shared" si="1" ref="L22:L41">IF(F22="","",(K22-J22)*24)</f>
        <v>5.25</v>
      </c>
      <c r="M22" s="470">
        <f aca="true" t="shared" si="2" ref="M22:M41">IF(F22="","",ROUND((K22-J22)*24*60,0))</f>
        <v>315</v>
      </c>
      <c r="N22" s="179" t="s">
        <v>309</v>
      </c>
      <c r="O22" s="181" t="str">
        <f aca="true" t="shared" si="3" ref="O22:O41">IF(F22="","",IF(N22="P","--","NO"))</f>
        <v>--</v>
      </c>
      <c r="P22" s="471">
        <f aca="true" t="shared" si="4" ref="P22:P41">IF(H22=500,$H$15,IF(H22=220,$H$16,$H$17))</f>
        <v>40</v>
      </c>
      <c r="Q22" s="472">
        <f aca="true" t="shared" si="5" ref="Q22:Q41">IF(N22="P",I22*P22*ROUND(M22/60,2)*0.1,"--")</f>
        <v>912.4920000000001</v>
      </c>
      <c r="R22" s="460" t="str">
        <f aca="true" t="shared" si="6" ref="R22:R41">IF(AND(N22="F",O22="NO"),I22*P22,"--")</f>
        <v>--</v>
      </c>
      <c r="S22" s="461" t="str">
        <f aca="true" t="shared" si="7" ref="S22:S41">IF(N22="F",I22*P22*ROUND(M22/60,2),"--")</f>
        <v>--</v>
      </c>
      <c r="T22" s="462" t="str">
        <f aca="true" t="shared" si="8" ref="T22:T41">IF(N22="RF",I22*P22*ROUND(M22/60,2),"--")</f>
        <v>--</v>
      </c>
      <c r="U22" s="181" t="s">
        <v>80</v>
      </c>
      <c r="V22" s="473">
        <f aca="true" t="shared" si="9" ref="V22:V41">IF(F22="","",SUM(Q22:T22)*IF(U22="SI",1,2))</f>
        <v>912.4920000000001</v>
      </c>
      <c r="W22" s="60"/>
    </row>
    <row r="23" spans="2:23" s="8" customFormat="1" ht="16.5" customHeight="1">
      <c r="B23" s="55"/>
      <c r="C23" s="151">
        <v>56</v>
      </c>
      <c r="D23" s="151">
        <v>259675</v>
      </c>
      <c r="E23" s="151">
        <v>2636</v>
      </c>
      <c r="F23" s="464" t="s">
        <v>362</v>
      </c>
      <c r="G23" s="464" t="s">
        <v>363</v>
      </c>
      <c r="H23" s="465">
        <v>500</v>
      </c>
      <c r="I23" s="466">
        <f t="shared" si="0"/>
        <v>54.313</v>
      </c>
      <c r="J23" s="467">
        <v>41379.33611111111</v>
      </c>
      <c r="K23" s="468">
        <v>41379.64166666667</v>
      </c>
      <c r="L23" s="469">
        <f t="shared" si="1"/>
        <v>7.333333333488554</v>
      </c>
      <c r="M23" s="470">
        <f t="shared" si="2"/>
        <v>440</v>
      </c>
      <c r="N23" s="179" t="s">
        <v>309</v>
      </c>
      <c r="O23" s="181" t="str">
        <f t="shared" si="3"/>
        <v>--</v>
      </c>
      <c r="P23" s="471">
        <f t="shared" si="4"/>
        <v>200</v>
      </c>
      <c r="Q23" s="472">
        <f t="shared" si="5"/>
        <v>7962.2858000000015</v>
      </c>
      <c r="R23" s="460" t="str">
        <f t="shared" si="6"/>
        <v>--</v>
      </c>
      <c r="S23" s="461" t="str">
        <f t="shared" si="7"/>
        <v>--</v>
      </c>
      <c r="T23" s="462" t="str">
        <f t="shared" si="8"/>
        <v>--</v>
      </c>
      <c r="U23" s="181" t="s">
        <v>80</v>
      </c>
      <c r="V23" s="473">
        <f t="shared" si="9"/>
        <v>7962.2858000000015</v>
      </c>
      <c r="W23" s="60"/>
    </row>
    <row r="24" spans="2:23" s="8" customFormat="1" ht="16.5" customHeight="1">
      <c r="B24" s="55"/>
      <c r="C24" s="151">
        <v>57</v>
      </c>
      <c r="D24" s="151">
        <v>259705</v>
      </c>
      <c r="E24" s="170">
        <v>2598</v>
      </c>
      <c r="F24" s="464" t="s">
        <v>353</v>
      </c>
      <c r="G24" s="464" t="s">
        <v>364</v>
      </c>
      <c r="H24" s="465">
        <v>132</v>
      </c>
      <c r="I24" s="466">
        <f t="shared" si="0"/>
        <v>43.452</v>
      </c>
      <c r="J24" s="467">
        <v>41383.438888888886</v>
      </c>
      <c r="K24" s="468">
        <v>41383.71805555555</v>
      </c>
      <c r="L24" s="469">
        <f t="shared" si="1"/>
        <v>6.7000000000116415</v>
      </c>
      <c r="M24" s="470">
        <f t="shared" si="2"/>
        <v>402</v>
      </c>
      <c r="N24" s="179" t="s">
        <v>309</v>
      </c>
      <c r="O24" s="181" t="str">
        <f t="shared" si="3"/>
        <v>--</v>
      </c>
      <c r="P24" s="471">
        <f t="shared" si="4"/>
        <v>40</v>
      </c>
      <c r="Q24" s="472">
        <f t="shared" si="5"/>
        <v>1164.5136</v>
      </c>
      <c r="R24" s="460" t="str">
        <f t="shared" si="6"/>
        <v>--</v>
      </c>
      <c r="S24" s="461" t="str">
        <f t="shared" si="7"/>
        <v>--</v>
      </c>
      <c r="T24" s="462" t="str">
        <f t="shared" si="8"/>
        <v>--</v>
      </c>
      <c r="U24" s="181" t="s">
        <v>80</v>
      </c>
      <c r="V24" s="473">
        <f t="shared" si="9"/>
        <v>1164.5136</v>
      </c>
      <c r="W24" s="60"/>
    </row>
    <row r="25" spans="2:23" s="8" customFormat="1" ht="16.5" customHeight="1">
      <c r="B25" s="55"/>
      <c r="C25" s="151">
        <v>58</v>
      </c>
      <c r="D25" s="151">
        <v>259892</v>
      </c>
      <c r="E25" s="151">
        <v>2604</v>
      </c>
      <c r="F25" s="464" t="s">
        <v>365</v>
      </c>
      <c r="G25" s="464" t="s">
        <v>366</v>
      </c>
      <c r="H25" s="465">
        <v>132</v>
      </c>
      <c r="I25" s="466">
        <f t="shared" si="0"/>
        <v>43.452</v>
      </c>
      <c r="J25" s="467">
        <v>41389.49166666667</v>
      </c>
      <c r="K25" s="468">
        <v>41389.61597222222</v>
      </c>
      <c r="L25" s="469">
        <f t="shared" si="1"/>
        <v>2.983333333279006</v>
      </c>
      <c r="M25" s="470">
        <f t="shared" si="2"/>
        <v>179</v>
      </c>
      <c r="N25" s="179" t="s">
        <v>309</v>
      </c>
      <c r="O25" s="181" t="str">
        <f t="shared" si="3"/>
        <v>--</v>
      </c>
      <c r="P25" s="471">
        <f t="shared" si="4"/>
        <v>40</v>
      </c>
      <c r="Q25" s="472">
        <f t="shared" si="5"/>
        <v>517.94784</v>
      </c>
      <c r="R25" s="460" t="str">
        <f t="shared" si="6"/>
        <v>--</v>
      </c>
      <c r="S25" s="461" t="str">
        <f t="shared" si="7"/>
        <v>--</v>
      </c>
      <c r="T25" s="462" t="str">
        <f t="shared" si="8"/>
        <v>--</v>
      </c>
      <c r="U25" s="181" t="s">
        <v>80</v>
      </c>
      <c r="V25" s="473">
        <f t="shared" si="9"/>
        <v>517.94784</v>
      </c>
      <c r="W25" s="60"/>
    </row>
    <row r="26" spans="2:23" s="8" customFormat="1" ht="16.5" customHeight="1">
      <c r="B26" s="55"/>
      <c r="C26" s="151">
        <v>59</v>
      </c>
      <c r="D26" s="151">
        <v>259895</v>
      </c>
      <c r="E26" s="170">
        <v>2597</v>
      </c>
      <c r="F26" s="464" t="s">
        <v>353</v>
      </c>
      <c r="G26" s="464" t="s">
        <v>367</v>
      </c>
      <c r="H26" s="465">
        <v>132</v>
      </c>
      <c r="I26" s="466">
        <f t="shared" si="0"/>
        <v>43.452</v>
      </c>
      <c r="J26" s="467">
        <v>41390.40069444444</v>
      </c>
      <c r="K26" s="468">
        <v>41390.711805555555</v>
      </c>
      <c r="L26" s="469">
        <f t="shared" si="1"/>
        <v>7.466666666732635</v>
      </c>
      <c r="M26" s="470">
        <f t="shared" si="2"/>
        <v>448</v>
      </c>
      <c r="N26" s="179" t="s">
        <v>309</v>
      </c>
      <c r="O26" s="181" t="str">
        <f t="shared" si="3"/>
        <v>--</v>
      </c>
      <c r="P26" s="471">
        <f t="shared" si="4"/>
        <v>40</v>
      </c>
      <c r="Q26" s="472">
        <f t="shared" si="5"/>
        <v>1298.3457600000002</v>
      </c>
      <c r="R26" s="460" t="str">
        <f t="shared" si="6"/>
        <v>--</v>
      </c>
      <c r="S26" s="461" t="str">
        <f t="shared" si="7"/>
        <v>--</v>
      </c>
      <c r="T26" s="462" t="str">
        <f t="shared" si="8"/>
        <v>--</v>
      </c>
      <c r="U26" s="181" t="s">
        <v>80</v>
      </c>
      <c r="V26" s="473">
        <f t="shared" si="9"/>
        <v>1298.3457600000002</v>
      </c>
      <c r="W26" s="60"/>
    </row>
    <row r="27" spans="2:23" s="8" customFormat="1" ht="16.5" customHeight="1">
      <c r="B27" s="55"/>
      <c r="C27" s="151">
        <v>60</v>
      </c>
      <c r="D27" s="151">
        <v>260117</v>
      </c>
      <c r="E27" s="151">
        <v>2586</v>
      </c>
      <c r="F27" s="464" t="s">
        <v>368</v>
      </c>
      <c r="G27" s="464" t="s">
        <v>369</v>
      </c>
      <c r="H27" s="465">
        <v>132</v>
      </c>
      <c r="I27" s="466">
        <f t="shared" si="0"/>
        <v>43.452</v>
      </c>
      <c r="J27" s="467">
        <v>41393.46041666667</v>
      </c>
      <c r="K27" s="468">
        <v>41393.60625</v>
      </c>
      <c r="L27" s="469">
        <f t="shared" si="1"/>
        <v>3.4999999998835847</v>
      </c>
      <c r="M27" s="470">
        <f t="shared" si="2"/>
        <v>210</v>
      </c>
      <c r="N27" s="179" t="s">
        <v>309</v>
      </c>
      <c r="O27" s="181" t="str">
        <f t="shared" si="3"/>
        <v>--</v>
      </c>
      <c r="P27" s="471">
        <f t="shared" si="4"/>
        <v>40</v>
      </c>
      <c r="Q27" s="472">
        <f t="shared" si="5"/>
        <v>608.328</v>
      </c>
      <c r="R27" s="460" t="str">
        <f t="shared" si="6"/>
        <v>--</v>
      </c>
      <c r="S27" s="461" t="str">
        <f t="shared" si="7"/>
        <v>--</v>
      </c>
      <c r="T27" s="462" t="str">
        <f t="shared" si="8"/>
        <v>--</v>
      </c>
      <c r="U27" s="181" t="s">
        <v>80</v>
      </c>
      <c r="V27" s="473">
        <f t="shared" si="9"/>
        <v>608.328</v>
      </c>
      <c r="W27" s="60"/>
    </row>
    <row r="28" spans="2:23" s="8" customFormat="1" ht="16.5" customHeight="1">
      <c r="B28" s="55"/>
      <c r="C28" s="151"/>
      <c r="D28" s="151"/>
      <c r="E28" s="170"/>
      <c r="F28" s="464"/>
      <c r="G28" s="464"/>
      <c r="H28" s="465"/>
      <c r="I28" s="466">
        <f t="shared" si="0"/>
        <v>43.452</v>
      </c>
      <c r="J28" s="467"/>
      <c r="K28" s="468"/>
      <c r="L28" s="469">
        <f t="shared" si="1"/>
      </c>
      <c r="M28" s="470">
        <f t="shared" si="2"/>
      </c>
      <c r="N28" s="179"/>
      <c r="O28" s="181">
        <f t="shared" si="3"/>
      </c>
      <c r="P28" s="471">
        <f t="shared" si="4"/>
        <v>40</v>
      </c>
      <c r="Q28" s="472" t="str">
        <f t="shared" si="5"/>
        <v>--</v>
      </c>
      <c r="R28" s="460" t="str">
        <f t="shared" si="6"/>
        <v>--</v>
      </c>
      <c r="S28" s="461" t="str">
        <f t="shared" si="7"/>
        <v>--</v>
      </c>
      <c r="T28" s="462" t="str">
        <f t="shared" si="8"/>
        <v>--</v>
      </c>
      <c r="U28" s="181">
        <f aca="true" t="shared" si="10" ref="U28:U41">IF(F28="","","SI")</f>
      </c>
      <c r="V28" s="473">
        <f t="shared" si="9"/>
      </c>
      <c r="W28" s="60"/>
    </row>
    <row r="29" spans="2:23" s="8" customFormat="1" ht="16.5" customHeight="1">
      <c r="B29" s="55"/>
      <c r="C29" s="151"/>
      <c r="D29" s="151"/>
      <c r="E29" s="151"/>
      <c r="F29" s="464"/>
      <c r="G29" s="464"/>
      <c r="H29" s="465"/>
      <c r="I29" s="466">
        <f t="shared" si="0"/>
        <v>43.452</v>
      </c>
      <c r="J29" s="467"/>
      <c r="K29" s="468"/>
      <c r="L29" s="469">
        <f t="shared" si="1"/>
      </c>
      <c r="M29" s="470">
        <f t="shared" si="2"/>
      </c>
      <c r="N29" s="179"/>
      <c r="O29" s="181">
        <f t="shared" si="3"/>
      </c>
      <c r="P29" s="471">
        <f t="shared" si="4"/>
        <v>40</v>
      </c>
      <c r="Q29" s="472" t="str">
        <f t="shared" si="5"/>
        <v>--</v>
      </c>
      <c r="R29" s="460" t="str">
        <f t="shared" si="6"/>
        <v>--</v>
      </c>
      <c r="S29" s="461" t="str">
        <f t="shared" si="7"/>
        <v>--</v>
      </c>
      <c r="T29" s="462" t="str">
        <f t="shared" si="8"/>
        <v>--</v>
      </c>
      <c r="U29" s="181">
        <f t="shared" si="10"/>
      </c>
      <c r="V29" s="473">
        <f t="shared" si="9"/>
      </c>
      <c r="W29" s="60"/>
    </row>
    <row r="30" spans="2:23" s="8" customFormat="1" ht="16.5" customHeight="1">
      <c r="B30" s="55"/>
      <c r="C30" s="151"/>
      <c r="D30" s="151"/>
      <c r="E30" s="170"/>
      <c r="F30" s="464"/>
      <c r="G30" s="464"/>
      <c r="H30" s="465"/>
      <c r="I30" s="466">
        <f t="shared" si="0"/>
        <v>43.452</v>
      </c>
      <c r="J30" s="467"/>
      <c r="K30" s="468"/>
      <c r="L30" s="469">
        <f t="shared" si="1"/>
      </c>
      <c r="M30" s="470">
        <f t="shared" si="2"/>
      </c>
      <c r="N30" s="179"/>
      <c r="O30" s="181">
        <f t="shared" si="3"/>
      </c>
      <c r="P30" s="471">
        <f t="shared" si="4"/>
        <v>40</v>
      </c>
      <c r="Q30" s="472" t="str">
        <f t="shared" si="5"/>
        <v>--</v>
      </c>
      <c r="R30" s="460" t="str">
        <f t="shared" si="6"/>
        <v>--</v>
      </c>
      <c r="S30" s="461" t="str">
        <f t="shared" si="7"/>
        <v>--</v>
      </c>
      <c r="T30" s="462" t="str">
        <f t="shared" si="8"/>
        <v>--</v>
      </c>
      <c r="U30" s="181">
        <f t="shared" si="10"/>
      </c>
      <c r="V30" s="473">
        <f t="shared" si="9"/>
      </c>
      <c r="W30" s="60"/>
    </row>
    <row r="31" spans="2:23" s="8" customFormat="1" ht="16.5" customHeight="1">
      <c r="B31" s="55"/>
      <c r="C31" s="151"/>
      <c r="D31" s="151"/>
      <c r="E31" s="151"/>
      <c r="F31" s="464"/>
      <c r="G31" s="464"/>
      <c r="H31" s="465"/>
      <c r="I31" s="466">
        <f t="shared" si="0"/>
        <v>43.452</v>
      </c>
      <c r="J31" s="467"/>
      <c r="K31" s="468"/>
      <c r="L31" s="469">
        <f t="shared" si="1"/>
      </c>
      <c r="M31" s="470">
        <f t="shared" si="2"/>
      </c>
      <c r="N31" s="179"/>
      <c r="O31" s="181">
        <f t="shared" si="3"/>
      </c>
      <c r="P31" s="471">
        <f t="shared" si="4"/>
        <v>40</v>
      </c>
      <c r="Q31" s="472" t="str">
        <f t="shared" si="5"/>
        <v>--</v>
      </c>
      <c r="R31" s="460" t="str">
        <f t="shared" si="6"/>
        <v>--</v>
      </c>
      <c r="S31" s="461" t="str">
        <f t="shared" si="7"/>
        <v>--</v>
      </c>
      <c r="T31" s="462" t="str">
        <f t="shared" si="8"/>
        <v>--</v>
      </c>
      <c r="U31" s="181">
        <f t="shared" si="10"/>
      </c>
      <c r="V31" s="473">
        <f t="shared" si="9"/>
      </c>
      <c r="W31" s="60"/>
    </row>
    <row r="32" spans="2:23" s="8" customFormat="1" ht="16.5" customHeight="1">
      <c r="B32" s="55"/>
      <c r="C32" s="151"/>
      <c r="D32" s="151"/>
      <c r="E32" s="170"/>
      <c r="F32" s="464"/>
      <c r="G32" s="464"/>
      <c r="H32" s="465"/>
      <c r="I32" s="466">
        <f t="shared" si="0"/>
        <v>43.452</v>
      </c>
      <c r="J32" s="467"/>
      <c r="K32" s="468"/>
      <c r="L32" s="469">
        <f t="shared" si="1"/>
      </c>
      <c r="M32" s="470">
        <f t="shared" si="2"/>
      </c>
      <c r="N32" s="179"/>
      <c r="O32" s="181">
        <f t="shared" si="3"/>
      </c>
      <c r="P32" s="471">
        <f t="shared" si="4"/>
        <v>40</v>
      </c>
      <c r="Q32" s="472" t="str">
        <f t="shared" si="5"/>
        <v>--</v>
      </c>
      <c r="R32" s="460" t="str">
        <f t="shared" si="6"/>
        <v>--</v>
      </c>
      <c r="S32" s="461" t="str">
        <f t="shared" si="7"/>
        <v>--</v>
      </c>
      <c r="T32" s="462" t="str">
        <f t="shared" si="8"/>
        <v>--</v>
      </c>
      <c r="U32" s="181">
        <f t="shared" si="10"/>
      </c>
      <c r="V32" s="473">
        <f t="shared" si="9"/>
      </c>
      <c r="W32" s="60"/>
    </row>
    <row r="33" spans="2:23" s="8" customFormat="1" ht="16.5" customHeight="1">
      <c r="B33" s="55"/>
      <c r="C33" s="151"/>
      <c r="D33" s="151"/>
      <c r="E33" s="151"/>
      <c r="F33" s="464"/>
      <c r="G33" s="464"/>
      <c r="H33" s="465"/>
      <c r="I33" s="466">
        <f t="shared" si="0"/>
        <v>43.452</v>
      </c>
      <c r="J33" s="467"/>
      <c r="K33" s="468"/>
      <c r="L33" s="469">
        <f t="shared" si="1"/>
      </c>
      <c r="M33" s="470">
        <f t="shared" si="2"/>
      </c>
      <c r="N33" s="179"/>
      <c r="O33" s="181">
        <f t="shared" si="3"/>
      </c>
      <c r="P33" s="471">
        <f t="shared" si="4"/>
        <v>40</v>
      </c>
      <c r="Q33" s="472" t="str">
        <f t="shared" si="5"/>
        <v>--</v>
      </c>
      <c r="R33" s="460" t="str">
        <f t="shared" si="6"/>
        <v>--</v>
      </c>
      <c r="S33" s="461" t="str">
        <f t="shared" si="7"/>
        <v>--</v>
      </c>
      <c r="T33" s="462" t="str">
        <f t="shared" si="8"/>
        <v>--</v>
      </c>
      <c r="U33" s="181">
        <f t="shared" si="10"/>
      </c>
      <c r="V33" s="473">
        <f t="shared" si="9"/>
      </c>
      <c r="W33" s="60"/>
    </row>
    <row r="34" spans="2:23" s="8" customFormat="1" ht="16.5" customHeight="1">
      <c r="B34" s="55"/>
      <c r="C34" s="151"/>
      <c r="D34" s="151"/>
      <c r="E34" s="170"/>
      <c r="F34" s="464"/>
      <c r="G34" s="464"/>
      <c r="H34" s="465"/>
      <c r="I34" s="466">
        <f t="shared" si="0"/>
        <v>43.452</v>
      </c>
      <c r="J34" s="467"/>
      <c r="K34" s="468"/>
      <c r="L34" s="469">
        <f t="shared" si="1"/>
      </c>
      <c r="M34" s="470">
        <f t="shared" si="2"/>
      </c>
      <c r="N34" s="179"/>
      <c r="O34" s="181">
        <f t="shared" si="3"/>
      </c>
      <c r="P34" s="471">
        <f t="shared" si="4"/>
        <v>40</v>
      </c>
      <c r="Q34" s="472" t="str">
        <f t="shared" si="5"/>
        <v>--</v>
      </c>
      <c r="R34" s="460" t="str">
        <f t="shared" si="6"/>
        <v>--</v>
      </c>
      <c r="S34" s="461" t="str">
        <f t="shared" si="7"/>
        <v>--</v>
      </c>
      <c r="T34" s="462" t="str">
        <f t="shared" si="8"/>
        <v>--</v>
      </c>
      <c r="U34" s="181">
        <f t="shared" si="10"/>
      </c>
      <c r="V34" s="473">
        <f t="shared" si="9"/>
      </c>
      <c r="W34" s="60"/>
    </row>
    <row r="35" spans="2:23" s="8" customFormat="1" ht="16.5" customHeight="1">
      <c r="B35" s="55"/>
      <c r="C35" s="151"/>
      <c r="D35" s="151"/>
      <c r="E35" s="151"/>
      <c r="F35" s="464"/>
      <c r="G35" s="464"/>
      <c r="H35" s="465"/>
      <c r="I35" s="466">
        <f t="shared" si="0"/>
        <v>43.452</v>
      </c>
      <c r="J35" s="467"/>
      <c r="K35" s="468"/>
      <c r="L35" s="469">
        <f t="shared" si="1"/>
      </c>
      <c r="M35" s="470">
        <f t="shared" si="2"/>
      </c>
      <c r="N35" s="179"/>
      <c r="O35" s="181">
        <f t="shared" si="3"/>
      </c>
      <c r="P35" s="471">
        <f t="shared" si="4"/>
        <v>40</v>
      </c>
      <c r="Q35" s="472" t="str">
        <f t="shared" si="5"/>
        <v>--</v>
      </c>
      <c r="R35" s="460" t="str">
        <f t="shared" si="6"/>
        <v>--</v>
      </c>
      <c r="S35" s="461" t="str">
        <f t="shared" si="7"/>
        <v>--</v>
      </c>
      <c r="T35" s="462" t="str">
        <f t="shared" si="8"/>
        <v>--</v>
      </c>
      <c r="U35" s="181">
        <f t="shared" si="10"/>
      </c>
      <c r="V35" s="473">
        <f t="shared" si="9"/>
      </c>
      <c r="W35" s="60"/>
    </row>
    <row r="36" spans="2:23" s="8" customFormat="1" ht="16.5" customHeight="1">
      <c r="B36" s="55"/>
      <c r="C36" s="151"/>
      <c r="D36" s="151"/>
      <c r="E36" s="170"/>
      <c r="F36" s="464"/>
      <c r="G36" s="464"/>
      <c r="H36" s="465"/>
      <c r="I36" s="466">
        <f t="shared" si="0"/>
        <v>43.452</v>
      </c>
      <c r="J36" s="467"/>
      <c r="K36" s="468"/>
      <c r="L36" s="469">
        <f t="shared" si="1"/>
      </c>
      <c r="M36" s="470">
        <f t="shared" si="2"/>
      </c>
      <c r="N36" s="179"/>
      <c r="O36" s="181">
        <f t="shared" si="3"/>
      </c>
      <c r="P36" s="471">
        <f t="shared" si="4"/>
        <v>40</v>
      </c>
      <c r="Q36" s="472" t="str">
        <f t="shared" si="5"/>
        <v>--</v>
      </c>
      <c r="R36" s="460" t="str">
        <f t="shared" si="6"/>
        <v>--</v>
      </c>
      <c r="S36" s="461" t="str">
        <f t="shared" si="7"/>
        <v>--</v>
      </c>
      <c r="T36" s="462" t="str">
        <f t="shared" si="8"/>
        <v>--</v>
      </c>
      <c r="U36" s="181">
        <f t="shared" si="10"/>
      </c>
      <c r="V36" s="473">
        <f t="shared" si="9"/>
      </c>
      <c r="W36" s="60"/>
    </row>
    <row r="37" spans="2:23" s="8" customFormat="1" ht="16.5" customHeight="1">
      <c r="B37" s="55"/>
      <c r="C37" s="151"/>
      <c r="D37" s="151"/>
      <c r="E37" s="151"/>
      <c r="F37" s="464"/>
      <c r="G37" s="464"/>
      <c r="H37" s="465"/>
      <c r="I37" s="466">
        <f t="shared" si="0"/>
        <v>43.452</v>
      </c>
      <c r="J37" s="467"/>
      <c r="K37" s="468"/>
      <c r="L37" s="469">
        <f t="shared" si="1"/>
      </c>
      <c r="M37" s="470">
        <f t="shared" si="2"/>
      </c>
      <c r="N37" s="179"/>
      <c r="O37" s="181">
        <f t="shared" si="3"/>
      </c>
      <c r="P37" s="471">
        <f t="shared" si="4"/>
        <v>40</v>
      </c>
      <c r="Q37" s="472" t="str">
        <f t="shared" si="5"/>
        <v>--</v>
      </c>
      <c r="R37" s="460" t="str">
        <f t="shared" si="6"/>
        <v>--</v>
      </c>
      <c r="S37" s="461" t="str">
        <f t="shared" si="7"/>
        <v>--</v>
      </c>
      <c r="T37" s="462" t="str">
        <f t="shared" si="8"/>
        <v>--</v>
      </c>
      <c r="U37" s="181">
        <f t="shared" si="10"/>
      </c>
      <c r="V37" s="473">
        <f t="shared" si="9"/>
      </c>
      <c r="W37" s="60"/>
    </row>
    <row r="38" spans="2:23" s="8" customFormat="1" ht="16.5" customHeight="1">
      <c r="B38" s="55"/>
      <c r="C38" s="151"/>
      <c r="D38" s="151"/>
      <c r="E38" s="170"/>
      <c r="F38" s="464"/>
      <c r="G38" s="464"/>
      <c r="H38" s="465"/>
      <c r="I38" s="466">
        <f t="shared" si="0"/>
        <v>43.452</v>
      </c>
      <c r="J38" s="467"/>
      <c r="K38" s="468"/>
      <c r="L38" s="469">
        <f t="shared" si="1"/>
      </c>
      <c r="M38" s="470">
        <f t="shared" si="2"/>
      </c>
      <c r="N38" s="179"/>
      <c r="O38" s="181">
        <f t="shared" si="3"/>
      </c>
      <c r="P38" s="471">
        <f t="shared" si="4"/>
        <v>40</v>
      </c>
      <c r="Q38" s="472" t="str">
        <f t="shared" si="5"/>
        <v>--</v>
      </c>
      <c r="R38" s="460" t="str">
        <f t="shared" si="6"/>
        <v>--</v>
      </c>
      <c r="S38" s="461" t="str">
        <f t="shared" si="7"/>
        <v>--</v>
      </c>
      <c r="T38" s="462" t="str">
        <f t="shared" si="8"/>
        <v>--</v>
      </c>
      <c r="U38" s="181">
        <f t="shared" si="10"/>
      </c>
      <c r="V38" s="473">
        <f t="shared" si="9"/>
      </c>
      <c r="W38" s="60"/>
    </row>
    <row r="39" spans="2:23" s="8" customFormat="1" ht="16.5" customHeight="1">
      <c r="B39" s="55"/>
      <c r="C39" s="151"/>
      <c r="D39" s="151"/>
      <c r="E39" s="151"/>
      <c r="F39" s="464"/>
      <c r="G39" s="464"/>
      <c r="H39" s="465"/>
      <c r="I39" s="466">
        <f t="shared" si="0"/>
        <v>43.452</v>
      </c>
      <c r="J39" s="467"/>
      <c r="K39" s="468"/>
      <c r="L39" s="469">
        <f t="shared" si="1"/>
      </c>
      <c r="M39" s="470">
        <f t="shared" si="2"/>
      </c>
      <c r="N39" s="179"/>
      <c r="O39" s="181">
        <f t="shared" si="3"/>
      </c>
      <c r="P39" s="471">
        <f t="shared" si="4"/>
        <v>40</v>
      </c>
      <c r="Q39" s="472" t="str">
        <f t="shared" si="5"/>
        <v>--</v>
      </c>
      <c r="R39" s="460" t="str">
        <f t="shared" si="6"/>
        <v>--</v>
      </c>
      <c r="S39" s="461" t="str">
        <f t="shared" si="7"/>
        <v>--</v>
      </c>
      <c r="T39" s="462" t="str">
        <f t="shared" si="8"/>
        <v>--</v>
      </c>
      <c r="U39" s="181">
        <f t="shared" si="10"/>
      </c>
      <c r="V39" s="473">
        <f t="shared" si="9"/>
      </c>
      <c r="W39" s="60"/>
    </row>
    <row r="40" spans="2:23" s="8" customFormat="1" ht="16.5" customHeight="1">
      <c r="B40" s="55"/>
      <c r="C40" s="151"/>
      <c r="D40" s="151"/>
      <c r="E40" s="170"/>
      <c r="F40" s="464"/>
      <c r="G40" s="464"/>
      <c r="H40" s="465"/>
      <c r="I40" s="466">
        <f t="shared" si="0"/>
        <v>43.452</v>
      </c>
      <c r="J40" s="467"/>
      <c r="K40" s="468"/>
      <c r="L40" s="469">
        <f t="shared" si="1"/>
      </c>
      <c r="M40" s="470">
        <f t="shared" si="2"/>
      </c>
      <c r="N40" s="179"/>
      <c r="O40" s="181">
        <f t="shared" si="3"/>
      </c>
      <c r="P40" s="471">
        <f t="shared" si="4"/>
        <v>40</v>
      </c>
      <c r="Q40" s="472" t="str">
        <f t="shared" si="5"/>
        <v>--</v>
      </c>
      <c r="R40" s="460" t="str">
        <f t="shared" si="6"/>
        <v>--</v>
      </c>
      <c r="S40" s="461" t="str">
        <f t="shared" si="7"/>
        <v>--</v>
      </c>
      <c r="T40" s="462" t="str">
        <f t="shared" si="8"/>
        <v>--</v>
      </c>
      <c r="U40" s="181">
        <f t="shared" si="10"/>
      </c>
      <c r="V40" s="473">
        <f t="shared" si="9"/>
      </c>
      <c r="W40" s="60"/>
    </row>
    <row r="41" spans="2:23" s="8" customFormat="1" ht="16.5" customHeight="1">
      <c r="B41" s="55"/>
      <c r="C41" s="151"/>
      <c r="D41" s="151"/>
      <c r="E41" s="151"/>
      <c r="F41" s="464"/>
      <c r="G41" s="464"/>
      <c r="H41" s="465"/>
      <c r="I41" s="466">
        <f t="shared" si="0"/>
        <v>43.452</v>
      </c>
      <c r="J41" s="467"/>
      <c r="K41" s="468"/>
      <c r="L41" s="469">
        <f t="shared" si="1"/>
      </c>
      <c r="M41" s="470">
        <f t="shared" si="2"/>
      </c>
      <c r="N41" s="179"/>
      <c r="O41" s="181">
        <f t="shared" si="3"/>
      </c>
      <c r="P41" s="471">
        <f t="shared" si="4"/>
        <v>40</v>
      </c>
      <c r="Q41" s="472" t="str">
        <f t="shared" si="5"/>
        <v>--</v>
      </c>
      <c r="R41" s="460" t="str">
        <f t="shared" si="6"/>
        <v>--</v>
      </c>
      <c r="S41" s="461" t="str">
        <f t="shared" si="7"/>
        <v>--</v>
      </c>
      <c r="T41" s="462" t="str">
        <f t="shared" si="8"/>
        <v>--</v>
      </c>
      <c r="U41" s="181">
        <f t="shared" si="10"/>
      </c>
      <c r="V41" s="473">
        <f t="shared" si="9"/>
      </c>
      <c r="W41" s="60"/>
    </row>
    <row r="42" spans="2:23" s="8" customFormat="1" ht="16.5" customHeight="1" thickBot="1">
      <c r="B42" s="55"/>
      <c r="C42" s="209"/>
      <c r="D42" s="209"/>
      <c r="E42" s="209"/>
      <c r="F42" s="209"/>
      <c r="G42" s="209"/>
      <c r="H42" s="209"/>
      <c r="I42" s="382"/>
      <c r="J42" s="474"/>
      <c r="K42" s="474"/>
      <c r="L42" s="475"/>
      <c r="M42" s="475"/>
      <c r="N42" s="474"/>
      <c r="O42" s="216"/>
      <c r="P42" s="476"/>
      <c r="Q42" s="477"/>
      <c r="R42" s="478"/>
      <c r="S42" s="479"/>
      <c r="T42" s="480"/>
      <c r="U42" s="216"/>
      <c r="V42" s="481"/>
      <c r="W42" s="60"/>
    </row>
    <row r="43" spans="2:23" s="8" customFormat="1" ht="16.5" customHeight="1" thickBot="1" thickTop="1">
      <c r="B43" s="55"/>
      <c r="C43" s="230" t="s">
        <v>297</v>
      </c>
      <c r="D43" s="271" t="s">
        <v>398</v>
      </c>
      <c r="E43" s="230"/>
      <c r="F43" s="231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482">
        <f>SUM(Q20:Q42)</f>
        <v>12463.913000000002</v>
      </c>
      <c r="R43" s="483">
        <f>SUM(R20:R42)</f>
        <v>0</v>
      </c>
      <c r="S43" s="484">
        <f>SUM(S20:S42)</f>
        <v>0</v>
      </c>
      <c r="T43" s="485">
        <f>SUM(T20:T42)</f>
        <v>0</v>
      </c>
      <c r="U43" s="486"/>
      <c r="V43" s="487">
        <f>ROUND(SUM(V20:V42),2)</f>
        <v>12463.91</v>
      </c>
      <c r="W43" s="60"/>
    </row>
    <row r="44" spans="2:23" s="8" customFormat="1" ht="16.5" customHeight="1" thickBot="1" thickTop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7"/>
    </row>
    <row r="45" spans="23:25" ht="16.5" customHeight="1" thickTop="1">
      <c r="W45" s="413"/>
      <c r="X45" s="413"/>
      <c r="Y45" s="413"/>
    </row>
    <row r="46" spans="23:25" ht="16.5" customHeight="1">
      <c r="W46" s="413"/>
      <c r="X46" s="413"/>
      <c r="Y46" s="413"/>
    </row>
    <row r="47" spans="23:25" ht="16.5" customHeight="1">
      <c r="W47" s="413"/>
      <c r="X47" s="413"/>
      <c r="Y47" s="413"/>
    </row>
    <row r="48" spans="23:25" ht="16.5" customHeight="1">
      <c r="W48" s="413"/>
      <c r="X48" s="413"/>
      <c r="Y48" s="413"/>
    </row>
    <row r="49" spans="23:25" ht="16.5" customHeight="1">
      <c r="W49" s="413"/>
      <c r="X49" s="413"/>
      <c r="Y49" s="413"/>
    </row>
    <row r="50" spans="6:25" ht="16.5" customHeight="1"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</row>
    <row r="51" spans="6:25" ht="16.5" customHeight="1"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</row>
    <row r="52" spans="6:25" ht="16.5" customHeight="1"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6:25" ht="16.5" customHeight="1"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6:25" ht="16.5" customHeight="1"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6:25" ht="16.5" customHeight="1"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</row>
    <row r="56" spans="6:25" ht="16.5" customHeight="1"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6:25" ht="16.5" customHeight="1"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6:25" ht="16.5" customHeight="1"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6:25" ht="16.5" customHeight="1"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</row>
    <row r="60" spans="6:25" ht="16.5" customHeight="1"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6:25" ht="16.5" customHeight="1"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6:25" ht="16.5" customHeight="1"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6:25" ht="16.5" customHeight="1"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6:25" ht="16.5" customHeight="1"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6:25" ht="16.5" customHeight="1"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6:25" ht="16.5" customHeight="1"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</row>
    <row r="67" spans="6:25" ht="16.5" customHeight="1"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6:25" ht="16.5" customHeight="1"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6:25" ht="16.5" customHeight="1"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6:25" ht="16.5" customHeight="1"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6:25" ht="16.5" customHeight="1"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6:25" ht="16.5" customHeight="1"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6:25" ht="16.5" customHeight="1"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</row>
    <row r="74" spans="6:25" ht="16.5" customHeight="1"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6:25" ht="16.5" customHeight="1"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6:25" ht="16.5" customHeight="1"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6:25" ht="16.5" customHeight="1"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6:25" ht="16.5" customHeight="1">
      <c r="F78" s="413"/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</row>
    <row r="79" spans="6:25" ht="16.5" customHeight="1"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</row>
    <row r="80" spans="6:25" ht="16.5" customHeight="1"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</row>
    <row r="81" spans="6:25" ht="16.5" customHeight="1"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</row>
    <row r="82" spans="6:25" ht="16.5" customHeight="1">
      <c r="F82" s="413"/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</row>
    <row r="83" spans="6:25" ht="16.5" customHeight="1"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</row>
    <row r="84" spans="6:25" ht="16.5" customHeight="1"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</row>
    <row r="85" spans="6:25" ht="16.5" customHeight="1"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</row>
    <row r="86" spans="6:25" ht="16.5" customHeight="1"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</row>
    <row r="87" spans="6:25" ht="16.5" customHeight="1"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</row>
    <row r="88" spans="6:25" ht="16.5" customHeight="1"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</row>
    <row r="89" spans="6:25" ht="16.5" customHeight="1"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</row>
    <row r="90" spans="6:25" ht="16.5" customHeight="1"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</row>
    <row r="91" spans="6:25" ht="16.5" customHeight="1"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</row>
    <row r="92" spans="6:25" ht="16.5" customHeight="1"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</row>
    <row r="93" spans="6:25" ht="16.5" customHeight="1"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</row>
    <row r="94" spans="6:25" ht="16.5" customHeight="1"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</row>
    <row r="95" spans="6:25" ht="16.5" customHeight="1"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</row>
    <row r="96" spans="6:25" ht="16.5" customHeight="1"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</row>
    <row r="97" spans="6:25" ht="16.5" customHeight="1"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</row>
    <row r="98" spans="6:25" ht="16.5" customHeight="1"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</row>
    <row r="99" spans="6:25" ht="16.5" customHeight="1"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</row>
    <row r="100" spans="6:25" ht="16.5" customHeight="1">
      <c r="F100" s="413"/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</row>
    <row r="101" spans="6:25" ht="16.5" customHeight="1"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</row>
    <row r="102" spans="6:25" ht="16.5" customHeight="1"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</row>
    <row r="103" spans="6:25" ht="16.5" customHeight="1"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</row>
    <row r="104" spans="6:25" ht="16.5" customHeight="1"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</row>
    <row r="105" spans="6:25" ht="16.5" customHeight="1"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</row>
    <row r="106" spans="6:25" ht="16.5" customHeight="1"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</row>
    <row r="107" spans="6:25" ht="16.5" customHeight="1"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</row>
    <row r="108" spans="6:25" ht="16.5" customHeight="1">
      <c r="F108" s="413"/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</row>
    <row r="109" spans="6:25" ht="16.5" customHeight="1"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</row>
    <row r="110" spans="6:25" ht="16.5" customHeight="1">
      <c r="F110" s="413"/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</row>
    <row r="111" spans="6:25" ht="16.5" customHeight="1"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</row>
    <row r="112" spans="6:25" ht="16.5" customHeight="1"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</row>
    <row r="113" spans="6:25" ht="16.5" customHeight="1"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</row>
    <row r="114" spans="6:25" ht="16.5" customHeight="1"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</row>
    <row r="115" spans="6:25" ht="16.5" customHeight="1"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</row>
    <row r="116" spans="6:25" ht="16.5" customHeight="1"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</row>
    <row r="117" spans="6:25" ht="16.5" customHeight="1"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</row>
    <row r="118" spans="6:25" ht="16.5" customHeight="1"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</row>
    <row r="119" spans="6:25" ht="16.5" customHeight="1"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</row>
    <row r="120" spans="6:25" ht="16.5" customHeight="1"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</row>
    <row r="121" spans="6:25" ht="16.5" customHeight="1">
      <c r="F121" s="413"/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</row>
    <row r="122" spans="6:25" ht="16.5" customHeight="1">
      <c r="F122" s="413"/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</row>
    <row r="123" spans="6:25" ht="16.5" customHeight="1">
      <c r="F123" s="413"/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</row>
    <row r="124" spans="6:25" ht="16.5" customHeight="1"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</row>
    <row r="125" spans="6:25" ht="16.5" customHeight="1">
      <c r="F125" s="413"/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</row>
    <row r="126" spans="6:25" ht="16.5" customHeight="1"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</row>
    <row r="127" spans="6:25" ht="16.5" customHeight="1">
      <c r="F127" s="413"/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</row>
    <row r="128" spans="6:25" ht="16.5" customHeight="1"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</row>
    <row r="129" spans="6:25" ht="16.5" customHeight="1"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</row>
    <row r="130" spans="6:25" ht="16.5" customHeight="1">
      <c r="F130" s="413"/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</row>
    <row r="131" spans="6:25" ht="16.5" customHeight="1">
      <c r="F131" s="413"/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</row>
    <row r="132" spans="6:25" ht="16.5" customHeight="1">
      <c r="F132" s="413"/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</row>
    <row r="133" spans="6:25" ht="16.5" customHeight="1"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</row>
    <row r="134" spans="6:25" ht="16.5" customHeight="1"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</row>
    <row r="135" spans="6:25" ht="16.5" customHeight="1"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</row>
    <row r="136" spans="6:25" ht="16.5" customHeight="1"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</row>
    <row r="137" spans="6:25" ht="16.5" customHeight="1"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</row>
    <row r="138" spans="6:25" ht="16.5" customHeight="1"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</row>
    <row r="139" spans="6:25" ht="16.5" customHeight="1">
      <c r="F139" s="413"/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</row>
    <row r="140" spans="6:25" ht="16.5" customHeight="1"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</row>
    <row r="141" spans="6:25" ht="16.5" customHeight="1">
      <c r="F141" s="413"/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</row>
    <row r="142" spans="6:25" ht="16.5" customHeight="1">
      <c r="F142" s="413"/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</row>
    <row r="143" spans="6:25" ht="16.5" customHeight="1"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</row>
    <row r="144" spans="6:25" ht="16.5" customHeight="1"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</row>
    <row r="145" spans="6:25" ht="16.5" customHeight="1"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</row>
    <row r="146" spans="6:25" ht="16.5" customHeight="1"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</row>
    <row r="147" spans="6:25" ht="16.5" customHeight="1">
      <c r="F147" s="413"/>
      <c r="G147" s="413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  <c r="T147" s="413"/>
      <c r="U147" s="413"/>
      <c r="V147" s="413"/>
      <c r="W147" s="413"/>
      <c r="X147" s="413"/>
      <c r="Y147" s="413"/>
    </row>
    <row r="148" spans="6:25" ht="16.5" customHeight="1">
      <c r="F148" s="413"/>
      <c r="G148" s="413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  <c r="T148" s="413"/>
      <c r="U148" s="413"/>
      <c r="V148" s="413"/>
      <c r="W148" s="413"/>
      <c r="X148" s="413"/>
      <c r="Y148" s="413"/>
    </row>
    <row r="149" spans="6:25" ht="16.5" customHeight="1">
      <c r="F149" s="413"/>
      <c r="G149" s="413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  <c r="T149" s="413"/>
      <c r="U149" s="413"/>
      <c r="V149" s="413"/>
      <c r="W149" s="413"/>
      <c r="X149" s="413"/>
      <c r="Y149" s="413"/>
    </row>
    <row r="150" spans="6:25" ht="16.5" customHeight="1">
      <c r="F150" s="413"/>
      <c r="G150" s="413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  <c r="T150" s="413"/>
      <c r="U150" s="413"/>
      <c r="V150" s="413"/>
      <c r="W150" s="413"/>
      <c r="X150" s="413"/>
      <c r="Y150" s="413"/>
    </row>
    <row r="151" spans="6:25" ht="16.5" customHeight="1">
      <c r="F151" s="413"/>
      <c r="G151" s="413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  <c r="T151" s="413"/>
      <c r="U151" s="413"/>
      <c r="V151" s="413"/>
      <c r="W151" s="413"/>
      <c r="X151" s="413"/>
      <c r="Y151" s="413"/>
    </row>
    <row r="152" spans="6:25" ht="16.5" customHeight="1">
      <c r="F152" s="413"/>
      <c r="G152" s="413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  <c r="T152" s="413"/>
      <c r="U152" s="413"/>
      <c r="V152" s="413"/>
      <c r="W152" s="413"/>
      <c r="X152" s="413"/>
      <c r="Y152" s="413"/>
    </row>
    <row r="153" spans="6:25" ht="16.5" customHeight="1">
      <c r="F153" s="413"/>
      <c r="G153" s="41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  <c r="T153" s="413"/>
      <c r="U153" s="413"/>
      <c r="V153" s="413"/>
      <c r="W153" s="413"/>
      <c r="X153" s="413"/>
      <c r="Y153" s="413"/>
    </row>
    <row r="154" spans="6:25" ht="16.5" customHeight="1">
      <c r="F154" s="413"/>
      <c r="G154" s="413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  <c r="T154" s="413"/>
      <c r="U154" s="413"/>
      <c r="V154" s="413"/>
      <c r="W154" s="413"/>
      <c r="X154" s="413"/>
      <c r="Y154" s="413"/>
    </row>
    <row r="155" spans="6:25" ht="16.5" customHeight="1"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</row>
    <row r="156" spans="6:25" ht="16.5" customHeight="1">
      <c r="F156" s="413"/>
      <c r="G156" s="413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  <c r="T156" s="413"/>
      <c r="U156" s="413"/>
      <c r="V156" s="413"/>
      <c r="W156" s="413"/>
      <c r="X156" s="413"/>
      <c r="Y156" s="413"/>
    </row>
    <row r="157" spans="6:25" ht="16.5" customHeight="1">
      <c r="F157" s="413"/>
      <c r="G157" s="413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  <c r="T157" s="413"/>
      <c r="U157" s="413"/>
      <c r="V157" s="413"/>
      <c r="W157" s="413"/>
      <c r="X157" s="413"/>
      <c r="Y157" s="413"/>
    </row>
    <row r="160" ht="12.75"/>
    <row r="161" ht="12.75"/>
    <row r="162" ht="12.75"/>
    <row r="163" ht="12.75"/>
    <row r="164" ht="12.75"/>
  </sheetData>
  <sheetProtection/>
  <printOptions/>
  <pageMargins left="0.31" right="0.31" top="0.76" bottom="0.42" header="0" footer="0"/>
  <pageSetup horizontalDpi="600" verticalDpi="600" orientation="landscape" paperSize="9" scale="65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Y159"/>
  <sheetViews>
    <sheetView zoomScale="70" zoomScaleNormal="70" zoomScalePageLayoutView="0" workbookViewId="0" topLeftCell="A1">
      <selection activeCell="E46" sqref="E46"/>
    </sheetView>
  </sheetViews>
  <sheetFormatPr defaultColWidth="11.421875" defaultRowHeight="16.5" customHeight="1"/>
  <cols>
    <col min="1" max="2" width="4.140625" style="914" customWidth="1"/>
    <col min="3" max="3" width="5.421875" style="914" customWidth="1"/>
    <col min="4" max="5" width="13.57421875" style="914" customWidth="1"/>
    <col min="6" max="6" width="38.7109375" style="914" customWidth="1"/>
    <col min="7" max="7" width="40.7109375" style="914" customWidth="1"/>
    <col min="8" max="8" width="8.57421875" style="914" customWidth="1"/>
    <col min="9" max="9" width="3.7109375" style="914" hidden="1" customWidth="1"/>
    <col min="10" max="10" width="18.00390625" style="914" customWidth="1"/>
    <col min="11" max="11" width="17.28125" style="914" customWidth="1"/>
    <col min="12" max="14" width="9.7109375" style="914" customWidth="1"/>
    <col min="15" max="15" width="6.421875" style="914" customWidth="1"/>
    <col min="16" max="16" width="4.00390625" style="914" hidden="1" customWidth="1"/>
    <col min="17" max="17" width="12.8515625" style="914" hidden="1" customWidth="1"/>
    <col min="18" max="19" width="6.00390625" style="914" hidden="1" customWidth="1"/>
    <col min="20" max="20" width="11.7109375" style="914" hidden="1" customWidth="1"/>
    <col min="21" max="21" width="9.7109375" style="914" customWidth="1"/>
    <col min="22" max="22" width="15.7109375" style="914" customWidth="1"/>
    <col min="23" max="23" width="4.140625" style="914" customWidth="1"/>
    <col min="24" max="16384" width="11.421875" style="914" customWidth="1"/>
  </cols>
  <sheetData>
    <row r="1" s="1227" customFormat="1" ht="26.25">
      <c r="W1" s="915"/>
    </row>
    <row r="2" spans="1:23" s="1227" customFormat="1" ht="26.25">
      <c r="A2" s="1228"/>
      <c r="B2" s="1229" t="str">
        <f>'TOT-0412'!B2</f>
        <v>ANEXO V al Memorándum  D.T.E.E.  N°     461       / 2014</v>
      </c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  <c r="N2" s="1229"/>
      <c r="O2" s="1229"/>
      <c r="P2" s="1229"/>
      <c r="Q2" s="1229"/>
      <c r="R2" s="1229"/>
      <c r="S2" s="1229"/>
      <c r="T2" s="1229"/>
      <c r="U2" s="1229"/>
      <c r="V2" s="1229"/>
      <c r="W2" s="1229"/>
    </row>
    <row r="3" s="913" customFormat="1" ht="17.25" customHeight="1">
      <c r="A3" s="912"/>
    </row>
    <row r="4" spans="1:4" s="921" customFormat="1" ht="11.25">
      <c r="A4" s="920" t="s">
        <v>2</v>
      </c>
      <c r="B4" s="1230"/>
      <c r="C4" s="1230"/>
      <c r="D4" s="1230"/>
    </row>
    <row r="5" spans="1:4" s="921" customFormat="1" ht="11.25">
      <c r="A5" s="920" t="s">
        <v>3</v>
      </c>
      <c r="B5" s="1230"/>
      <c r="C5" s="1230"/>
      <c r="D5" s="1230"/>
    </row>
    <row r="6" s="913" customFormat="1" ht="13.5" thickBot="1"/>
    <row r="7" spans="2:23" s="913" customFormat="1" ht="13.5" thickTop="1">
      <c r="B7" s="922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1231"/>
    </row>
    <row r="8" spans="2:23" s="1232" customFormat="1" ht="20.25">
      <c r="B8" s="1233"/>
      <c r="C8" s="1234"/>
      <c r="D8" s="1234"/>
      <c r="E8" s="1234"/>
      <c r="F8" s="1235" t="s">
        <v>21</v>
      </c>
      <c r="N8" s="1236"/>
      <c r="O8" s="1236"/>
      <c r="P8" s="1237"/>
      <c r="Q8" s="1234"/>
      <c r="R8" s="1234"/>
      <c r="S8" s="1234"/>
      <c r="T8" s="1234"/>
      <c r="U8" s="1234"/>
      <c r="V8" s="1234"/>
      <c r="W8" s="1238"/>
    </row>
    <row r="9" spans="2:23" s="913" customFormat="1" ht="12.75">
      <c r="B9" s="927"/>
      <c r="C9" s="928"/>
      <c r="D9" s="928"/>
      <c r="E9" s="928"/>
      <c r="F9" s="1239"/>
      <c r="G9" s="1239"/>
      <c r="H9" s="1239"/>
      <c r="I9" s="1239"/>
      <c r="J9" s="1239"/>
      <c r="K9" s="1239"/>
      <c r="L9" s="1239"/>
      <c r="M9" s="1239"/>
      <c r="N9" s="1239"/>
      <c r="O9" s="1239"/>
      <c r="P9" s="1239"/>
      <c r="Q9" s="928"/>
      <c r="R9" s="928"/>
      <c r="S9" s="928"/>
      <c r="T9" s="928"/>
      <c r="U9" s="928"/>
      <c r="V9" s="928"/>
      <c r="W9" s="1240"/>
    </row>
    <row r="10" spans="2:23" s="1232" customFormat="1" ht="20.25">
      <c r="B10" s="1233"/>
      <c r="C10" s="1234"/>
      <c r="D10" s="1234"/>
      <c r="E10" s="1234"/>
      <c r="F10" s="1241" t="s">
        <v>63</v>
      </c>
      <c r="G10" s="1242"/>
      <c r="H10" s="1236"/>
      <c r="I10" s="1243"/>
      <c r="K10" s="1243"/>
      <c r="L10" s="1243"/>
      <c r="M10" s="1243"/>
      <c r="N10" s="1243"/>
      <c r="O10" s="1243"/>
      <c r="P10" s="1243"/>
      <c r="Q10" s="1234"/>
      <c r="R10" s="1234"/>
      <c r="S10" s="1234"/>
      <c r="T10" s="1234"/>
      <c r="U10" s="1234"/>
      <c r="V10" s="1234"/>
      <c r="W10" s="1238"/>
    </row>
    <row r="11" spans="2:23" s="913" customFormat="1" ht="13.5">
      <c r="B11" s="927"/>
      <c r="C11" s="928"/>
      <c r="D11" s="928"/>
      <c r="E11" s="928"/>
      <c r="F11" s="1244"/>
      <c r="G11" s="1244"/>
      <c r="H11" s="912"/>
      <c r="I11" s="1245"/>
      <c r="J11" s="1246"/>
      <c r="K11" s="1245"/>
      <c r="L11" s="1245"/>
      <c r="M11" s="1245"/>
      <c r="N11" s="1245"/>
      <c r="O11" s="1245"/>
      <c r="P11" s="1245"/>
      <c r="Q11" s="928"/>
      <c r="R11" s="928"/>
      <c r="S11" s="928"/>
      <c r="T11" s="928"/>
      <c r="U11" s="928"/>
      <c r="V11" s="928"/>
      <c r="W11" s="1240"/>
    </row>
    <row r="12" spans="2:23" s="1232" customFormat="1" ht="20.25">
      <c r="B12" s="1233"/>
      <c r="C12" s="1234"/>
      <c r="D12" s="1234"/>
      <c r="E12" s="1234"/>
      <c r="F12" s="1241" t="s">
        <v>427</v>
      </c>
      <c r="G12" s="1242"/>
      <c r="H12" s="1236"/>
      <c r="I12" s="1243"/>
      <c r="K12" s="1243"/>
      <c r="L12" s="1243"/>
      <c r="M12" s="1243"/>
      <c r="N12" s="1243"/>
      <c r="O12" s="1243"/>
      <c r="P12" s="1243"/>
      <c r="Q12" s="1234"/>
      <c r="R12" s="1234"/>
      <c r="S12" s="1234"/>
      <c r="T12" s="1234"/>
      <c r="U12" s="1234"/>
      <c r="V12" s="1234"/>
      <c r="W12" s="1238"/>
    </row>
    <row r="13" spans="2:23" s="913" customFormat="1" ht="13.5">
      <c r="B13" s="927"/>
      <c r="C13" s="928"/>
      <c r="D13" s="928"/>
      <c r="E13" s="928"/>
      <c r="F13" s="1244"/>
      <c r="G13" s="1244"/>
      <c r="H13" s="912"/>
      <c r="I13" s="1245"/>
      <c r="J13" s="1246"/>
      <c r="K13" s="1245"/>
      <c r="L13" s="1245"/>
      <c r="M13" s="1245"/>
      <c r="N13" s="1245"/>
      <c r="O13" s="1245"/>
      <c r="P13" s="1245"/>
      <c r="Q13" s="928"/>
      <c r="R13" s="928"/>
      <c r="S13" s="928"/>
      <c r="T13" s="928"/>
      <c r="U13" s="928"/>
      <c r="V13" s="928"/>
      <c r="W13" s="1240"/>
    </row>
    <row r="14" spans="2:23" s="913" customFormat="1" ht="19.5">
      <c r="B14" s="938" t="str">
        <f>'TOT-0412'!B14</f>
        <v>Desde el 01 al 30 de abril de 2013</v>
      </c>
      <c r="C14" s="940"/>
      <c r="D14" s="940"/>
      <c r="E14" s="940"/>
      <c r="F14" s="940"/>
      <c r="G14" s="940"/>
      <c r="H14" s="940"/>
      <c r="I14" s="1247"/>
      <c r="J14" s="1247"/>
      <c r="K14" s="1247"/>
      <c r="L14" s="1247"/>
      <c r="M14" s="1247"/>
      <c r="N14" s="1247"/>
      <c r="O14" s="1247"/>
      <c r="P14" s="1247"/>
      <c r="Q14" s="940"/>
      <c r="R14" s="940"/>
      <c r="S14" s="940"/>
      <c r="T14" s="940"/>
      <c r="U14" s="940"/>
      <c r="V14" s="940"/>
      <c r="W14" s="1248"/>
    </row>
    <row r="15" spans="2:23" s="913" customFormat="1" ht="14.25" thickBot="1">
      <c r="B15" s="1249"/>
      <c r="C15" s="1250"/>
      <c r="D15" s="1250"/>
      <c r="E15" s="1250"/>
      <c r="F15" s="1250"/>
      <c r="G15" s="1250"/>
      <c r="H15" s="1250"/>
      <c r="I15" s="1251"/>
      <c r="J15" s="1251"/>
      <c r="K15" s="1251"/>
      <c r="L15" s="1251"/>
      <c r="M15" s="1251"/>
      <c r="N15" s="1251"/>
      <c r="O15" s="1251"/>
      <c r="P15" s="1251"/>
      <c r="Q15" s="1250"/>
      <c r="R15" s="1250"/>
      <c r="S15" s="1250"/>
      <c r="T15" s="1250"/>
      <c r="U15" s="1250"/>
      <c r="V15" s="1250"/>
      <c r="W15" s="1252"/>
    </row>
    <row r="16" spans="2:23" s="913" customFormat="1" ht="15" thickBot="1" thickTop="1">
      <c r="B16" s="927"/>
      <c r="C16" s="928"/>
      <c r="D16" s="928"/>
      <c r="E16" s="928"/>
      <c r="F16" s="1253"/>
      <c r="G16" s="1253"/>
      <c r="H16" s="1254" t="s">
        <v>65</v>
      </c>
      <c r="I16" s="928"/>
      <c r="J16" s="1246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1240"/>
    </row>
    <row r="17" spans="2:23" s="913" customFormat="1" ht="16.5" customHeight="1" thickBot="1" thickTop="1">
      <c r="B17" s="927"/>
      <c r="C17" s="928"/>
      <c r="D17" s="928"/>
      <c r="E17" s="928"/>
      <c r="F17" s="1255" t="s">
        <v>66</v>
      </c>
      <c r="G17" s="1256" t="s">
        <v>428</v>
      </c>
      <c r="H17" s="1257">
        <v>200</v>
      </c>
      <c r="V17" s="1258"/>
      <c r="W17" s="1240"/>
    </row>
    <row r="18" spans="2:23" s="913" customFormat="1" ht="16.5" customHeight="1" thickBot="1" thickTop="1">
      <c r="B18" s="927"/>
      <c r="C18" s="928"/>
      <c r="D18" s="928"/>
      <c r="E18" s="928"/>
      <c r="F18" s="1259" t="s">
        <v>67</v>
      </c>
      <c r="G18" s="1260" t="s">
        <v>428</v>
      </c>
      <c r="H18" s="1257">
        <v>100</v>
      </c>
      <c r="O18" s="928"/>
      <c r="P18" s="928"/>
      <c r="Q18" s="928"/>
      <c r="R18" s="928"/>
      <c r="S18" s="928"/>
      <c r="T18" s="928"/>
      <c r="U18" s="928"/>
      <c r="V18" s="928"/>
      <c r="W18" s="1240"/>
    </row>
    <row r="19" spans="2:23" s="913" customFormat="1" ht="16.5" customHeight="1" thickBot="1" thickTop="1">
      <c r="B19" s="927"/>
      <c r="C19" s="928"/>
      <c r="D19" s="928"/>
      <c r="E19" s="928"/>
      <c r="F19" s="1261" t="s">
        <v>68</v>
      </c>
      <c r="G19" s="1260">
        <v>29.986</v>
      </c>
      <c r="H19" s="1257">
        <v>40</v>
      </c>
      <c r="K19" s="968"/>
      <c r="L19" s="969"/>
      <c r="M19" s="928"/>
      <c r="O19" s="928"/>
      <c r="Q19" s="928"/>
      <c r="R19" s="928"/>
      <c r="S19" s="928"/>
      <c r="T19" s="928"/>
      <c r="U19" s="928"/>
      <c r="V19" s="928"/>
      <c r="W19" s="1240"/>
    </row>
    <row r="20" spans="2:23" s="913" customFormat="1" ht="16.5" customHeight="1" thickBot="1" thickTop="1">
      <c r="B20" s="927"/>
      <c r="C20" s="1262">
        <v>3</v>
      </c>
      <c r="D20" s="1262">
        <v>4</v>
      </c>
      <c r="E20" s="1262">
        <v>5</v>
      </c>
      <c r="F20" s="1262">
        <v>6</v>
      </c>
      <c r="G20" s="1262">
        <v>7</v>
      </c>
      <c r="H20" s="1262">
        <v>8</v>
      </c>
      <c r="I20" s="1262">
        <v>9</v>
      </c>
      <c r="J20" s="1262">
        <v>10</v>
      </c>
      <c r="K20" s="1262">
        <v>11</v>
      </c>
      <c r="L20" s="1262">
        <v>12</v>
      </c>
      <c r="M20" s="1262">
        <v>13</v>
      </c>
      <c r="N20" s="1262">
        <v>14</v>
      </c>
      <c r="O20" s="1262">
        <v>15</v>
      </c>
      <c r="P20" s="1262">
        <v>16</v>
      </c>
      <c r="Q20" s="1262">
        <v>17</v>
      </c>
      <c r="R20" s="1262">
        <v>18</v>
      </c>
      <c r="S20" s="1262">
        <v>19</v>
      </c>
      <c r="T20" s="1262">
        <v>20</v>
      </c>
      <c r="U20" s="1262">
        <v>21</v>
      </c>
      <c r="V20" s="1262">
        <v>22</v>
      </c>
      <c r="W20" s="1240"/>
    </row>
    <row r="21" spans="2:23" s="913" customFormat="1" ht="33.75" customHeight="1" thickBot="1" thickTop="1">
      <c r="B21" s="927"/>
      <c r="C21" s="1091" t="s">
        <v>26</v>
      </c>
      <c r="D21" s="976" t="s">
        <v>27</v>
      </c>
      <c r="E21" s="976" t="s">
        <v>28</v>
      </c>
      <c r="F21" s="985" t="s">
        <v>56</v>
      </c>
      <c r="G21" s="1130" t="s">
        <v>57</v>
      </c>
      <c r="H21" s="1263" t="s">
        <v>29</v>
      </c>
      <c r="I21" s="1093" t="s">
        <v>33</v>
      </c>
      <c r="J21" s="982" t="s">
        <v>34</v>
      </c>
      <c r="K21" s="1130" t="s">
        <v>35</v>
      </c>
      <c r="L21" s="1264" t="s">
        <v>36</v>
      </c>
      <c r="M21" s="1264" t="s">
        <v>37</v>
      </c>
      <c r="N21" s="984" t="s">
        <v>296</v>
      </c>
      <c r="O21" s="983" t="s">
        <v>40</v>
      </c>
      <c r="P21" s="981" t="s">
        <v>32</v>
      </c>
      <c r="Q21" s="1265" t="s">
        <v>69</v>
      </c>
      <c r="R21" s="1266" t="s">
        <v>70</v>
      </c>
      <c r="S21" s="1267"/>
      <c r="T21" s="1268" t="s">
        <v>45</v>
      </c>
      <c r="U21" s="1094" t="s">
        <v>47</v>
      </c>
      <c r="V21" s="997" t="s">
        <v>48</v>
      </c>
      <c r="W21" s="1240"/>
    </row>
    <row r="22" spans="2:23" s="913" customFormat="1" ht="16.5" customHeight="1" thickTop="1">
      <c r="B22" s="927"/>
      <c r="C22" s="1269"/>
      <c r="D22" s="1269"/>
      <c r="E22" s="1269"/>
      <c r="F22" s="1270"/>
      <c r="G22" s="1270"/>
      <c r="H22" s="1270"/>
      <c r="I22" s="1271"/>
      <c r="J22" s="1270"/>
      <c r="K22" s="1270"/>
      <c r="L22" s="1270"/>
      <c r="M22" s="1270"/>
      <c r="N22" s="1270"/>
      <c r="O22" s="1270"/>
      <c r="P22" s="1272"/>
      <c r="Q22" s="1273"/>
      <c r="R22" s="1274"/>
      <c r="S22" s="1275"/>
      <c r="T22" s="1276"/>
      <c r="U22" s="1270"/>
      <c r="V22" s="1277"/>
      <c r="W22" s="1240"/>
    </row>
    <row r="23" spans="2:23" s="913" customFormat="1" ht="16.5" customHeight="1">
      <c r="B23" s="927"/>
      <c r="C23" s="1278"/>
      <c r="D23" s="1278"/>
      <c r="E23" s="1278"/>
      <c r="F23" s="1279"/>
      <c r="G23" s="1279"/>
      <c r="H23" s="1279"/>
      <c r="I23" s="1280"/>
      <c r="J23" s="1279"/>
      <c r="K23" s="1279"/>
      <c r="L23" s="1279"/>
      <c r="M23" s="1279"/>
      <c r="N23" s="1279"/>
      <c r="O23" s="1279"/>
      <c r="P23" s="1281"/>
      <c r="Q23" s="1282"/>
      <c r="R23" s="1283"/>
      <c r="S23" s="1284"/>
      <c r="T23" s="1285"/>
      <c r="U23" s="1279"/>
      <c r="V23" s="1286"/>
      <c r="W23" s="1240"/>
    </row>
    <row r="24" spans="2:23" s="913" customFormat="1" ht="16.5" customHeight="1">
      <c r="B24" s="927"/>
      <c r="C24" s="1278">
        <v>61</v>
      </c>
      <c r="D24" s="1278">
        <v>259674</v>
      </c>
      <c r="E24" s="1287">
        <v>5084</v>
      </c>
      <c r="F24" s="1144" t="s">
        <v>446</v>
      </c>
      <c r="G24" s="1144" t="s">
        <v>447</v>
      </c>
      <c r="H24" s="1288">
        <v>132</v>
      </c>
      <c r="I24" s="1289">
        <f aca="true" t="shared" si="0" ref="I24:I43">IF(H24=500,$G$17,IF(H24=220,$G$18,$G$19))</f>
        <v>29.986</v>
      </c>
      <c r="J24" s="1100">
        <v>41379.29583333333</v>
      </c>
      <c r="K24" s="1290">
        <v>41379.48125</v>
      </c>
      <c r="L24" s="1146">
        <f aca="true" t="shared" si="1" ref="L24:L43">IF(F24="","",(K24-J24)*24)</f>
        <v>4.4500000000116415</v>
      </c>
      <c r="M24" s="1026">
        <f aca="true" t="shared" si="2" ref="M24:M43">IF(F24="","",ROUND((K24-J24)*24*60,0))</f>
        <v>267</v>
      </c>
      <c r="N24" s="1147" t="s">
        <v>309</v>
      </c>
      <c r="O24" s="1029" t="str">
        <f aca="true" t="shared" si="3" ref="O24:O43">IF(F24="","",IF(N24="P","--","NO"))</f>
        <v>--</v>
      </c>
      <c r="P24" s="1291">
        <f aca="true" t="shared" si="4" ref="P24:P43">IF(H24=500,$H$17,IF(H24=220,$H$18,$H$19))</f>
        <v>40</v>
      </c>
      <c r="Q24" s="1292">
        <f aca="true" t="shared" si="5" ref="Q24:Q43">IF(N24="P",I24*P24*ROUND(M24/60,2)*0.1,"--")</f>
        <v>533.7508000000001</v>
      </c>
      <c r="R24" s="1283" t="str">
        <f aca="true" t="shared" si="6" ref="R24:R43">IF(AND(N24="F",O24="NO"),I24*P24,"--")</f>
        <v>--</v>
      </c>
      <c r="S24" s="1284" t="str">
        <f aca="true" t="shared" si="7" ref="S24:S43">IF(N24="F",I24*P24*ROUND(M24/60,2),"--")</f>
        <v>--</v>
      </c>
      <c r="T24" s="1285" t="str">
        <f aca="true" t="shared" si="8" ref="T24:T43">IF(N24="RF",I24*P24*ROUND(M24/60,2),"--")</f>
        <v>--</v>
      </c>
      <c r="U24" s="1029" t="s">
        <v>80</v>
      </c>
      <c r="V24" s="1156">
        <f aca="true" t="shared" si="9" ref="V24:V43">IF(F24="","",SUM(Q24:T24)*IF(U24="SI",1,2))</f>
        <v>533.7508000000001</v>
      </c>
      <c r="W24" s="1240"/>
    </row>
    <row r="25" spans="2:23" s="913" customFormat="1" ht="16.5" customHeight="1">
      <c r="B25" s="927"/>
      <c r="C25" s="1278">
        <v>62</v>
      </c>
      <c r="D25" s="1278">
        <v>259686</v>
      </c>
      <c r="E25" s="1278">
        <v>5081</v>
      </c>
      <c r="F25" s="1144" t="s">
        <v>446</v>
      </c>
      <c r="G25" s="1144" t="s">
        <v>448</v>
      </c>
      <c r="H25" s="1288">
        <v>132</v>
      </c>
      <c r="I25" s="1289">
        <f t="shared" si="0"/>
        <v>29.986</v>
      </c>
      <c r="J25" s="1100">
        <v>41381.33472222222</v>
      </c>
      <c r="K25" s="1290">
        <v>41381.52291666667</v>
      </c>
      <c r="L25" s="1146">
        <f t="shared" si="1"/>
        <v>4.516666666720994</v>
      </c>
      <c r="M25" s="1026">
        <f t="shared" si="2"/>
        <v>271</v>
      </c>
      <c r="N25" s="1147" t="s">
        <v>309</v>
      </c>
      <c r="O25" s="1029" t="str">
        <f t="shared" si="3"/>
        <v>--</v>
      </c>
      <c r="P25" s="1291">
        <f t="shared" si="4"/>
        <v>40</v>
      </c>
      <c r="Q25" s="1292">
        <f t="shared" si="5"/>
        <v>542.14688</v>
      </c>
      <c r="R25" s="1283" t="str">
        <f t="shared" si="6"/>
        <v>--</v>
      </c>
      <c r="S25" s="1284" t="str">
        <f t="shared" si="7"/>
        <v>--</v>
      </c>
      <c r="T25" s="1285" t="str">
        <f t="shared" si="8"/>
        <v>--</v>
      </c>
      <c r="U25" s="1029" t="s">
        <v>80</v>
      </c>
      <c r="V25" s="1156">
        <f t="shared" si="9"/>
        <v>542.14688</v>
      </c>
      <c r="W25" s="1240"/>
    </row>
    <row r="26" spans="2:23" s="913" customFormat="1" ht="16.5" customHeight="1">
      <c r="B26" s="927"/>
      <c r="C26" s="1278">
        <v>63</v>
      </c>
      <c r="D26" s="1278">
        <v>259702</v>
      </c>
      <c r="E26" s="1287">
        <v>5082</v>
      </c>
      <c r="F26" s="1144" t="s">
        <v>446</v>
      </c>
      <c r="G26" s="1144" t="s">
        <v>449</v>
      </c>
      <c r="H26" s="1288">
        <v>132</v>
      </c>
      <c r="I26" s="1289">
        <f t="shared" si="0"/>
        <v>29.986</v>
      </c>
      <c r="J26" s="1100">
        <v>41383.31597222222</v>
      </c>
      <c r="K26" s="1290">
        <v>41383.506944444445</v>
      </c>
      <c r="L26" s="1146">
        <f t="shared" si="1"/>
        <v>4.583333333430346</v>
      </c>
      <c r="M26" s="1026">
        <f t="shared" si="2"/>
        <v>275</v>
      </c>
      <c r="N26" s="1147" t="s">
        <v>309</v>
      </c>
      <c r="O26" s="1029" t="str">
        <f t="shared" si="3"/>
        <v>--</v>
      </c>
      <c r="P26" s="1291">
        <f t="shared" si="4"/>
        <v>40</v>
      </c>
      <c r="Q26" s="1292">
        <f t="shared" si="5"/>
        <v>549.34352</v>
      </c>
      <c r="R26" s="1283" t="str">
        <f t="shared" si="6"/>
        <v>--</v>
      </c>
      <c r="S26" s="1284" t="str">
        <f t="shared" si="7"/>
        <v>--</v>
      </c>
      <c r="T26" s="1285" t="str">
        <f t="shared" si="8"/>
        <v>--</v>
      </c>
      <c r="U26" s="1029" t="s">
        <v>80</v>
      </c>
      <c r="V26" s="1156">
        <f t="shared" si="9"/>
        <v>549.34352</v>
      </c>
      <c r="W26" s="1240"/>
    </row>
    <row r="27" spans="2:23" s="913" customFormat="1" ht="16.5" customHeight="1">
      <c r="B27" s="927"/>
      <c r="C27" s="1278">
        <v>64</v>
      </c>
      <c r="D27" s="1278">
        <v>259885</v>
      </c>
      <c r="E27" s="1287">
        <v>5084</v>
      </c>
      <c r="F27" s="1144" t="s">
        <v>446</v>
      </c>
      <c r="G27" s="1144" t="s">
        <v>447</v>
      </c>
      <c r="H27" s="1288">
        <v>132</v>
      </c>
      <c r="I27" s="1289">
        <f t="shared" si="0"/>
        <v>29.986</v>
      </c>
      <c r="J27" s="1100">
        <v>41388.37430555555</v>
      </c>
      <c r="K27" s="1290">
        <v>41388.525</v>
      </c>
      <c r="L27" s="1146">
        <f t="shared" si="1"/>
        <v>3.6166666667559184</v>
      </c>
      <c r="M27" s="1026">
        <f t="shared" si="2"/>
        <v>217</v>
      </c>
      <c r="N27" s="1147" t="s">
        <v>309</v>
      </c>
      <c r="O27" s="1029" t="str">
        <f t="shared" si="3"/>
        <v>--</v>
      </c>
      <c r="P27" s="1291">
        <f t="shared" si="4"/>
        <v>40</v>
      </c>
      <c r="Q27" s="1292">
        <f t="shared" si="5"/>
        <v>434.1972800000001</v>
      </c>
      <c r="R27" s="1283" t="str">
        <f t="shared" si="6"/>
        <v>--</v>
      </c>
      <c r="S27" s="1284" t="str">
        <f t="shared" si="7"/>
        <v>--</v>
      </c>
      <c r="T27" s="1285" t="str">
        <f t="shared" si="8"/>
        <v>--</v>
      </c>
      <c r="U27" s="1029" t="s">
        <v>80</v>
      </c>
      <c r="V27" s="1156">
        <f t="shared" si="9"/>
        <v>434.1972800000001</v>
      </c>
      <c r="W27" s="1240"/>
    </row>
    <row r="28" spans="2:23" s="913" customFormat="1" ht="16.5" customHeight="1">
      <c r="B28" s="927"/>
      <c r="C28" s="1278"/>
      <c r="D28" s="1278"/>
      <c r="E28" s="1278"/>
      <c r="F28" s="1144"/>
      <c r="G28" s="1144"/>
      <c r="H28" s="1288"/>
      <c r="I28" s="1289">
        <f t="shared" si="0"/>
        <v>29.986</v>
      </c>
      <c r="J28" s="1100"/>
      <c r="K28" s="1290"/>
      <c r="L28" s="1146">
        <f t="shared" si="1"/>
      </c>
      <c r="M28" s="1026">
        <f t="shared" si="2"/>
      </c>
      <c r="N28" s="1147"/>
      <c r="O28" s="1029">
        <f t="shared" si="3"/>
      </c>
      <c r="P28" s="1291">
        <f t="shared" si="4"/>
        <v>40</v>
      </c>
      <c r="Q28" s="1292" t="str">
        <f t="shared" si="5"/>
        <v>--</v>
      </c>
      <c r="R28" s="1283" t="str">
        <f t="shared" si="6"/>
        <v>--</v>
      </c>
      <c r="S28" s="1284" t="str">
        <f t="shared" si="7"/>
        <v>--</v>
      </c>
      <c r="T28" s="1285" t="str">
        <f t="shared" si="8"/>
        <v>--</v>
      </c>
      <c r="U28" s="1029"/>
      <c r="V28" s="1156">
        <f t="shared" si="9"/>
      </c>
      <c r="W28" s="1240"/>
    </row>
    <row r="29" spans="2:23" s="913" customFormat="1" ht="16.5" customHeight="1">
      <c r="B29" s="927"/>
      <c r="C29" s="1278"/>
      <c r="D29" s="1278"/>
      <c r="E29" s="1287"/>
      <c r="F29" s="1144"/>
      <c r="G29" s="1144"/>
      <c r="H29" s="1288"/>
      <c r="I29" s="1289">
        <f t="shared" si="0"/>
        <v>29.986</v>
      </c>
      <c r="J29" s="1100"/>
      <c r="K29" s="1290"/>
      <c r="L29" s="1146">
        <f t="shared" si="1"/>
      </c>
      <c r="M29" s="1026">
        <f t="shared" si="2"/>
      </c>
      <c r="N29" s="1147"/>
      <c r="O29" s="1029">
        <f t="shared" si="3"/>
      </c>
      <c r="P29" s="1291">
        <f t="shared" si="4"/>
        <v>40</v>
      </c>
      <c r="Q29" s="1292" t="str">
        <f t="shared" si="5"/>
        <v>--</v>
      </c>
      <c r="R29" s="1283" t="str">
        <f t="shared" si="6"/>
        <v>--</v>
      </c>
      <c r="S29" s="1284" t="str">
        <f t="shared" si="7"/>
        <v>--</v>
      </c>
      <c r="T29" s="1285" t="str">
        <f t="shared" si="8"/>
        <v>--</v>
      </c>
      <c r="U29" s="1029"/>
      <c r="V29" s="1156">
        <f t="shared" si="9"/>
      </c>
      <c r="W29" s="1240"/>
    </row>
    <row r="30" spans="2:23" s="913" customFormat="1" ht="16.5" customHeight="1">
      <c r="B30" s="927"/>
      <c r="C30" s="1278"/>
      <c r="D30" s="1278"/>
      <c r="E30" s="1287"/>
      <c r="F30" s="1144"/>
      <c r="G30" s="1144"/>
      <c r="H30" s="1288"/>
      <c r="I30" s="1289">
        <f t="shared" si="0"/>
        <v>29.986</v>
      </c>
      <c r="J30" s="1100"/>
      <c r="K30" s="1290"/>
      <c r="L30" s="1146">
        <f t="shared" si="1"/>
      </c>
      <c r="M30" s="1026">
        <f t="shared" si="2"/>
      </c>
      <c r="N30" s="1147"/>
      <c r="O30" s="1029">
        <f t="shared" si="3"/>
      </c>
      <c r="P30" s="1291">
        <f t="shared" si="4"/>
        <v>40</v>
      </c>
      <c r="Q30" s="1292" t="str">
        <f t="shared" si="5"/>
        <v>--</v>
      </c>
      <c r="R30" s="1283" t="str">
        <f t="shared" si="6"/>
        <v>--</v>
      </c>
      <c r="S30" s="1284" t="str">
        <f t="shared" si="7"/>
        <v>--</v>
      </c>
      <c r="T30" s="1285" t="str">
        <f t="shared" si="8"/>
        <v>--</v>
      </c>
      <c r="U30" s="1029"/>
      <c r="V30" s="1156">
        <f t="shared" si="9"/>
      </c>
      <c r="W30" s="1240"/>
    </row>
    <row r="31" spans="2:23" s="913" customFormat="1" ht="16.5" customHeight="1">
      <c r="B31" s="927"/>
      <c r="C31" s="1278"/>
      <c r="D31" s="1278"/>
      <c r="E31" s="1278"/>
      <c r="F31" s="1144"/>
      <c r="G31" s="1144"/>
      <c r="H31" s="1288"/>
      <c r="I31" s="1289">
        <f t="shared" si="0"/>
        <v>29.986</v>
      </c>
      <c r="J31" s="1100"/>
      <c r="K31" s="1290"/>
      <c r="L31" s="1146">
        <f t="shared" si="1"/>
      </c>
      <c r="M31" s="1026">
        <f t="shared" si="2"/>
      </c>
      <c r="N31" s="1147"/>
      <c r="O31" s="1029">
        <f t="shared" si="3"/>
      </c>
      <c r="P31" s="1291">
        <f t="shared" si="4"/>
        <v>40</v>
      </c>
      <c r="Q31" s="1292" t="str">
        <f t="shared" si="5"/>
        <v>--</v>
      </c>
      <c r="R31" s="1283" t="str">
        <f t="shared" si="6"/>
        <v>--</v>
      </c>
      <c r="S31" s="1284" t="str">
        <f t="shared" si="7"/>
        <v>--</v>
      </c>
      <c r="T31" s="1285" t="str">
        <f t="shared" si="8"/>
        <v>--</v>
      </c>
      <c r="U31" s="1029"/>
      <c r="V31" s="1156">
        <f t="shared" si="9"/>
      </c>
      <c r="W31" s="1240"/>
    </row>
    <row r="32" spans="2:23" s="913" customFormat="1" ht="16.5" customHeight="1">
      <c r="B32" s="927"/>
      <c r="C32" s="1278"/>
      <c r="D32" s="1278"/>
      <c r="E32" s="1287"/>
      <c r="F32" s="1293"/>
      <c r="G32" s="1293"/>
      <c r="H32" s="1294"/>
      <c r="I32" s="1289">
        <f t="shared" si="0"/>
        <v>29.986</v>
      </c>
      <c r="J32" s="1100"/>
      <c r="K32" s="1290"/>
      <c r="L32" s="1146">
        <f t="shared" si="1"/>
      </c>
      <c r="M32" s="1026">
        <f t="shared" si="2"/>
      </c>
      <c r="N32" s="1147"/>
      <c r="O32" s="1029">
        <f t="shared" si="3"/>
      </c>
      <c r="P32" s="1291">
        <f t="shared" si="4"/>
        <v>40</v>
      </c>
      <c r="Q32" s="1292" t="str">
        <f t="shared" si="5"/>
        <v>--</v>
      </c>
      <c r="R32" s="1283" t="str">
        <f t="shared" si="6"/>
        <v>--</v>
      </c>
      <c r="S32" s="1284" t="str">
        <f t="shared" si="7"/>
        <v>--</v>
      </c>
      <c r="T32" s="1285" t="str">
        <f t="shared" si="8"/>
        <v>--</v>
      </c>
      <c r="U32" s="1029">
        <f aca="true" t="shared" si="10" ref="U32:U43">IF(F32="","","SI")</f>
      </c>
      <c r="V32" s="1156">
        <f t="shared" si="9"/>
      </c>
      <c r="W32" s="1240"/>
    </row>
    <row r="33" spans="2:23" s="913" customFormat="1" ht="16.5" customHeight="1">
      <c r="B33" s="927"/>
      <c r="C33" s="1278"/>
      <c r="D33" s="1278"/>
      <c r="E33" s="1278"/>
      <c r="F33" s="1293"/>
      <c r="G33" s="1293"/>
      <c r="H33" s="1294"/>
      <c r="I33" s="1289">
        <f t="shared" si="0"/>
        <v>29.986</v>
      </c>
      <c r="J33" s="1100"/>
      <c r="K33" s="1290"/>
      <c r="L33" s="1146">
        <f t="shared" si="1"/>
      </c>
      <c r="M33" s="1026">
        <f t="shared" si="2"/>
      </c>
      <c r="N33" s="1147"/>
      <c r="O33" s="1029">
        <f t="shared" si="3"/>
      </c>
      <c r="P33" s="1291">
        <f t="shared" si="4"/>
        <v>40</v>
      </c>
      <c r="Q33" s="1292" t="str">
        <f t="shared" si="5"/>
        <v>--</v>
      </c>
      <c r="R33" s="1283" t="str">
        <f t="shared" si="6"/>
        <v>--</v>
      </c>
      <c r="S33" s="1284" t="str">
        <f t="shared" si="7"/>
        <v>--</v>
      </c>
      <c r="T33" s="1285" t="str">
        <f t="shared" si="8"/>
        <v>--</v>
      </c>
      <c r="U33" s="1029">
        <f t="shared" si="10"/>
      </c>
      <c r="V33" s="1156">
        <f t="shared" si="9"/>
      </c>
      <c r="W33" s="1240"/>
    </row>
    <row r="34" spans="2:23" s="913" customFormat="1" ht="16.5" customHeight="1">
      <c r="B34" s="927"/>
      <c r="C34" s="1278"/>
      <c r="D34" s="1278"/>
      <c r="E34" s="1287"/>
      <c r="F34" s="1293"/>
      <c r="G34" s="1293"/>
      <c r="H34" s="1294"/>
      <c r="I34" s="1289">
        <f t="shared" si="0"/>
        <v>29.986</v>
      </c>
      <c r="J34" s="1100"/>
      <c r="K34" s="1290"/>
      <c r="L34" s="1146">
        <f t="shared" si="1"/>
      </c>
      <c r="M34" s="1026">
        <f t="shared" si="2"/>
      </c>
      <c r="N34" s="1147"/>
      <c r="O34" s="1029">
        <f t="shared" si="3"/>
      </c>
      <c r="P34" s="1291">
        <f t="shared" si="4"/>
        <v>40</v>
      </c>
      <c r="Q34" s="1292" t="str">
        <f t="shared" si="5"/>
        <v>--</v>
      </c>
      <c r="R34" s="1283" t="str">
        <f t="shared" si="6"/>
        <v>--</v>
      </c>
      <c r="S34" s="1284" t="str">
        <f t="shared" si="7"/>
        <v>--</v>
      </c>
      <c r="T34" s="1285" t="str">
        <f t="shared" si="8"/>
        <v>--</v>
      </c>
      <c r="U34" s="1029">
        <f t="shared" si="10"/>
      </c>
      <c r="V34" s="1156">
        <f t="shared" si="9"/>
      </c>
      <c r="W34" s="1240"/>
    </row>
    <row r="35" spans="2:23" s="913" customFormat="1" ht="16.5" customHeight="1">
      <c r="B35" s="927"/>
      <c r="C35" s="1278"/>
      <c r="D35" s="1278"/>
      <c r="E35" s="1278"/>
      <c r="F35" s="1293"/>
      <c r="G35" s="1293"/>
      <c r="H35" s="1294"/>
      <c r="I35" s="1289">
        <f t="shared" si="0"/>
        <v>29.986</v>
      </c>
      <c r="J35" s="1100"/>
      <c r="K35" s="1290"/>
      <c r="L35" s="1146">
        <f t="shared" si="1"/>
      </c>
      <c r="M35" s="1026">
        <f t="shared" si="2"/>
      </c>
      <c r="N35" s="1147"/>
      <c r="O35" s="1029">
        <f t="shared" si="3"/>
      </c>
      <c r="P35" s="1291">
        <f t="shared" si="4"/>
        <v>40</v>
      </c>
      <c r="Q35" s="1292" t="str">
        <f t="shared" si="5"/>
        <v>--</v>
      </c>
      <c r="R35" s="1283" t="str">
        <f t="shared" si="6"/>
        <v>--</v>
      </c>
      <c r="S35" s="1284" t="str">
        <f t="shared" si="7"/>
        <v>--</v>
      </c>
      <c r="T35" s="1285" t="str">
        <f t="shared" si="8"/>
        <v>--</v>
      </c>
      <c r="U35" s="1029">
        <f t="shared" si="10"/>
      </c>
      <c r="V35" s="1156">
        <f t="shared" si="9"/>
      </c>
      <c r="W35" s="1240"/>
    </row>
    <row r="36" spans="2:23" s="913" customFormat="1" ht="16.5" customHeight="1">
      <c r="B36" s="927"/>
      <c r="C36" s="1278"/>
      <c r="D36" s="1278"/>
      <c r="E36" s="1287"/>
      <c r="F36" s="1293"/>
      <c r="G36" s="1293"/>
      <c r="H36" s="1294"/>
      <c r="I36" s="1289">
        <f t="shared" si="0"/>
        <v>29.986</v>
      </c>
      <c r="J36" s="1100"/>
      <c r="K36" s="1290"/>
      <c r="L36" s="1146">
        <f t="shared" si="1"/>
      </c>
      <c r="M36" s="1026">
        <f t="shared" si="2"/>
      </c>
      <c r="N36" s="1147"/>
      <c r="O36" s="1029">
        <f t="shared" si="3"/>
      </c>
      <c r="P36" s="1291">
        <f t="shared" si="4"/>
        <v>40</v>
      </c>
      <c r="Q36" s="1292" t="str">
        <f t="shared" si="5"/>
        <v>--</v>
      </c>
      <c r="R36" s="1283" t="str">
        <f t="shared" si="6"/>
        <v>--</v>
      </c>
      <c r="S36" s="1284" t="str">
        <f t="shared" si="7"/>
        <v>--</v>
      </c>
      <c r="T36" s="1285" t="str">
        <f t="shared" si="8"/>
        <v>--</v>
      </c>
      <c r="U36" s="1029">
        <f t="shared" si="10"/>
      </c>
      <c r="V36" s="1156">
        <f t="shared" si="9"/>
      </c>
      <c r="W36" s="1240"/>
    </row>
    <row r="37" spans="2:23" s="913" customFormat="1" ht="16.5" customHeight="1">
      <c r="B37" s="927"/>
      <c r="C37" s="1278"/>
      <c r="D37" s="1278"/>
      <c r="E37" s="1278"/>
      <c r="F37" s="1293"/>
      <c r="G37" s="1293"/>
      <c r="H37" s="1294"/>
      <c r="I37" s="1289">
        <f t="shared" si="0"/>
        <v>29.986</v>
      </c>
      <c r="J37" s="1100"/>
      <c r="K37" s="1290"/>
      <c r="L37" s="1146">
        <f t="shared" si="1"/>
      </c>
      <c r="M37" s="1026">
        <f t="shared" si="2"/>
      </c>
      <c r="N37" s="1147"/>
      <c r="O37" s="1029">
        <f t="shared" si="3"/>
      </c>
      <c r="P37" s="1291">
        <f t="shared" si="4"/>
        <v>40</v>
      </c>
      <c r="Q37" s="1292" t="str">
        <f t="shared" si="5"/>
        <v>--</v>
      </c>
      <c r="R37" s="1283" t="str">
        <f t="shared" si="6"/>
        <v>--</v>
      </c>
      <c r="S37" s="1284" t="str">
        <f t="shared" si="7"/>
        <v>--</v>
      </c>
      <c r="T37" s="1285" t="str">
        <f t="shared" si="8"/>
        <v>--</v>
      </c>
      <c r="U37" s="1029">
        <f t="shared" si="10"/>
      </c>
      <c r="V37" s="1156">
        <f t="shared" si="9"/>
      </c>
      <c r="W37" s="1240"/>
    </row>
    <row r="38" spans="2:23" s="913" customFormat="1" ht="16.5" customHeight="1">
      <c r="B38" s="927"/>
      <c r="C38" s="1278"/>
      <c r="D38" s="1278"/>
      <c r="E38" s="1287"/>
      <c r="F38" s="1293"/>
      <c r="G38" s="1293"/>
      <c r="H38" s="1294"/>
      <c r="I38" s="1289">
        <f t="shared" si="0"/>
        <v>29.986</v>
      </c>
      <c r="J38" s="1100"/>
      <c r="K38" s="1290"/>
      <c r="L38" s="1146">
        <f t="shared" si="1"/>
      </c>
      <c r="M38" s="1026">
        <f t="shared" si="2"/>
      </c>
      <c r="N38" s="1147"/>
      <c r="O38" s="1029">
        <f t="shared" si="3"/>
      </c>
      <c r="P38" s="1291">
        <f t="shared" si="4"/>
        <v>40</v>
      </c>
      <c r="Q38" s="1292" t="str">
        <f t="shared" si="5"/>
        <v>--</v>
      </c>
      <c r="R38" s="1283" t="str">
        <f t="shared" si="6"/>
        <v>--</v>
      </c>
      <c r="S38" s="1284" t="str">
        <f t="shared" si="7"/>
        <v>--</v>
      </c>
      <c r="T38" s="1285" t="str">
        <f t="shared" si="8"/>
        <v>--</v>
      </c>
      <c r="U38" s="1029">
        <f t="shared" si="10"/>
      </c>
      <c r="V38" s="1156">
        <f t="shared" si="9"/>
      </c>
      <c r="W38" s="1240"/>
    </row>
    <row r="39" spans="2:23" s="913" customFormat="1" ht="16.5" customHeight="1">
      <c r="B39" s="927"/>
      <c r="C39" s="1278"/>
      <c r="D39" s="1278"/>
      <c r="E39" s="1278"/>
      <c r="F39" s="1293"/>
      <c r="G39" s="1293"/>
      <c r="H39" s="1294"/>
      <c r="I39" s="1289">
        <f t="shared" si="0"/>
        <v>29.986</v>
      </c>
      <c r="J39" s="1100"/>
      <c r="K39" s="1290"/>
      <c r="L39" s="1146">
        <f t="shared" si="1"/>
      </c>
      <c r="M39" s="1026">
        <f t="shared" si="2"/>
      </c>
      <c r="N39" s="1147"/>
      <c r="O39" s="1029">
        <f t="shared" si="3"/>
      </c>
      <c r="P39" s="1291">
        <f t="shared" si="4"/>
        <v>40</v>
      </c>
      <c r="Q39" s="1292" t="str">
        <f t="shared" si="5"/>
        <v>--</v>
      </c>
      <c r="R39" s="1283" t="str">
        <f t="shared" si="6"/>
        <v>--</v>
      </c>
      <c r="S39" s="1284" t="str">
        <f t="shared" si="7"/>
        <v>--</v>
      </c>
      <c r="T39" s="1285" t="str">
        <f t="shared" si="8"/>
        <v>--</v>
      </c>
      <c r="U39" s="1029">
        <f t="shared" si="10"/>
      </c>
      <c r="V39" s="1156">
        <f t="shared" si="9"/>
      </c>
      <c r="W39" s="1240"/>
    </row>
    <row r="40" spans="2:23" s="913" customFormat="1" ht="16.5" customHeight="1">
      <c r="B40" s="927"/>
      <c r="C40" s="1278"/>
      <c r="D40" s="1278"/>
      <c r="E40" s="1287"/>
      <c r="F40" s="1293"/>
      <c r="G40" s="1293"/>
      <c r="H40" s="1294"/>
      <c r="I40" s="1289">
        <f t="shared" si="0"/>
        <v>29.986</v>
      </c>
      <c r="J40" s="1100"/>
      <c r="K40" s="1290"/>
      <c r="L40" s="1146">
        <f t="shared" si="1"/>
      </c>
      <c r="M40" s="1026">
        <f t="shared" si="2"/>
      </c>
      <c r="N40" s="1147"/>
      <c r="O40" s="1029">
        <f t="shared" si="3"/>
      </c>
      <c r="P40" s="1291">
        <f t="shared" si="4"/>
        <v>40</v>
      </c>
      <c r="Q40" s="1292" t="str">
        <f t="shared" si="5"/>
        <v>--</v>
      </c>
      <c r="R40" s="1283" t="str">
        <f t="shared" si="6"/>
        <v>--</v>
      </c>
      <c r="S40" s="1284" t="str">
        <f t="shared" si="7"/>
        <v>--</v>
      </c>
      <c r="T40" s="1285" t="str">
        <f t="shared" si="8"/>
        <v>--</v>
      </c>
      <c r="U40" s="1029">
        <f t="shared" si="10"/>
      </c>
      <c r="V40" s="1156">
        <f t="shared" si="9"/>
      </c>
      <c r="W40" s="1240"/>
    </row>
    <row r="41" spans="2:23" s="913" customFormat="1" ht="16.5" customHeight="1">
      <c r="B41" s="927"/>
      <c r="C41" s="1278"/>
      <c r="D41" s="1278"/>
      <c r="E41" s="1278"/>
      <c r="F41" s="1293"/>
      <c r="G41" s="1293"/>
      <c r="H41" s="1294"/>
      <c r="I41" s="1289">
        <f t="shared" si="0"/>
        <v>29.986</v>
      </c>
      <c r="J41" s="1100"/>
      <c r="K41" s="1290"/>
      <c r="L41" s="1146">
        <f t="shared" si="1"/>
      </c>
      <c r="M41" s="1026">
        <f t="shared" si="2"/>
      </c>
      <c r="N41" s="1147"/>
      <c r="O41" s="1029">
        <f t="shared" si="3"/>
      </c>
      <c r="P41" s="1291">
        <f t="shared" si="4"/>
        <v>40</v>
      </c>
      <c r="Q41" s="1292" t="str">
        <f t="shared" si="5"/>
        <v>--</v>
      </c>
      <c r="R41" s="1283" t="str">
        <f t="shared" si="6"/>
        <v>--</v>
      </c>
      <c r="S41" s="1284" t="str">
        <f t="shared" si="7"/>
        <v>--</v>
      </c>
      <c r="T41" s="1285" t="str">
        <f t="shared" si="8"/>
        <v>--</v>
      </c>
      <c r="U41" s="1029">
        <f t="shared" si="10"/>
      </c>
      <c r="V41" s="1156">
        <f t="shared" si="9"/>
      </c>
      <c r="W41" s="1240"/>
    </row>
    <row r="42" spans="2:23" s="913" customFormat="1" ht="16.5" customHeight="1">
      <c r="B42" s="927"/>
      <c r="C42" s="1278"/>
      <c r="D42" s="1278"/>
      <c r="E42" s="1287"/>
      <c r="F42" s="1293"/>
      <c r="G42" s="1293"/>
      <c r="H42" s="1294"/>
      <c r="I42" s="1289">
        <f t="shared" si="0"/>
        <v>29.986</v>
      </c>
      <c r="J42" s="1100"/>
      <c r="K42" s="1290"/>
      <c r="L42" s="1146">
        <f t="shared" si="1"/>
      </c>
      <c r="M42" s="1026">
        <f t="shared" si="2"/>
      </c>
      <c r="N42" s="1147"/>
      <c r="O42" s="1029">
        <f t="shared" si="3"/>
      </c>
      <c r="P42" s="1291">
        <f t="shared" si="4"/>
        <v>40</v>
      </c>
      <c r="Q42" s="1292" t="str">
        <f t="shared" si="5"/>
        <v>--</v>
      </c>
      <c r="R42" s="1283" t="str">
        <f t="shared" si="6"/>
        <v>--</v>
      </c>
      <c r="S42" s="1284" t="str">
        <f t="shared" si="7"/>
        <v>--</v>
      </c>
      <c r="T42" s="1285" t="str">
        <f t="shared" si="8"/>
        <v>--</v>
      </c>
      <c r="U42" s="1029">
        <f t="shared" si="10"/>
      </c>
      <c r="V42" s="1156">
        <f t="shared" si="9"/>
      </c>
      <c r="W42" s="1240"/>
    </row>
    <row r="43" spans="2:23" s="913" customFormat="1" ht="16.5" customHeight="1">
      <c r="B43" s="927"/>
      <c r="C43" s="1278"/>
      <c r="D43" s="1278"/>
      <c r="E43" s="1278"/>
      <c r="F43" s="1293"/>
      <c r="G43" s="1293"/>
      <c r="H43" s="1294"/>
      <c r="I43" s="1289">
        <f t="shared" si="0"/>
        <v>29.986</v>
      </c>
      <c r="J43" s="1100"/>
      <c r="K43" s="1290"/>
      <c r="L43" s="1146">
        <f t="shared" si="1"/>
      </c>
      <c r="M43" s="1026">
        <f t="shared" si="2"/>
      </c>
      <c r="N43" s="1147"/>
      <c r="O43" s="1029">
        <f t="shared" si="3"/>
      </c>
      <c r="P43" s="1291">
        <f t="shared" si="4"/>
        <v>40</v>
      </c>
      <c r="Q43" s="1292" t="str">
        <f t="shared" si="5"/>
        <v>--</v>
      </c>
      <c r="R43" s="1283" t="str">
        <f t="shared" si="6"/>
        <v>--</v>
      </c>
      <c r="S43" s="1284" t="str">
        <f t="shared" si="7"/>
        <v>--</v>
      </c>
      <c r="T43" s="1285" t="str">
        <f t="shared" si="8"/>
        <v>--</v>
      </c>
      <c r="U43" s="1029">
        <f t="shared" si="10"/>
      </c>
      <c r="V43" s="1156">
        <f t="shared" si="9"/>
      </c>
      <c r="W43" s="1240"/>
    </row>
    <row r="44" spans="2:23" s="913" customFormat="1" ht="16.5" customHeight="1" thickBot="1">
      <c r="B44" s="927"/>
      <c r="C44" s="1295"/>
      <c r="D44" s="1295"/>
      <c r="E44" s="1295"/>
      <c r="F44" s="1295"/>
      <c r="G44" s="1295"/>
      <c r="H44" s="1295"/>
      <c r="I44" s="1296"/>
      <c r="J44" s="1297"/>
      <c r="K44" s="1297"/>
      <c r="L44" s="1298"/>
      <c r="M44" s="1298"/>
      <c r="N44" s="1297"/>
      <c r="O44" s="1299"/>
      <c r="P44" s="1300"/>
      <c r="Q44" s="1301"/>
      <c r="R44" s="1302"/>
      <c r="S44" s="1303"/>
      <c r="T44" s="1304"/>
      <c r="U44" s="1299"/>
      <c r="V44" s="1305"/>
      <c r="W44" s="1240"/>
    </row>
    <row r="45" spans="2:23" s="913" customFormat="1" ht="16.5" customHeight="1" thickBot="1" thickTop="1">
      <c r="B45" s="927"/>
      <c r="C45" s="1306" t="s">
        <v>402</v>
      </c>
      <c r="D45" s="1307" t="s">
        <v>429</v>
      </c>
      <c r="E45" s="1308"/>
      <c r="F45" s="1309"/>
      <c r="G45" s="914"/>
      <c r="H45" s="928"/>
      <c r="I45" s="928"/>
      <c r="J45" s="928"/>
      <c r="K45" s="928"/>
      <c r="L45" s="928"/>
      <c r="M45" s="928"/>
      <c r="N45" s="928"/>
      <c r="O45" s="928"/>
      <c r="P45" s="928"/>
      <c r="Q45" s="1310">
        <f>SUM(Q22:Q44)</f>
        <v>2059.43848</v>
      </c>
      <c r="R45" s="1311">
        <f>SUM(R22:R44)</f>
        <v>0</v>
      </c>
      <c r="S45" s="1312">
        <f>SUM(S22:S44)</f>
        <v>0</v>
      </c>
      <c r="T45" s="1313">
        <f>SUM(T22:T44)</f>
        <v>0</v>
      </c>
      <c r="U45" s="1314"/>
      <c r="V45" s="1315">
        <f>ROUND(SUM(V22:V44),2)</f>
        <v>2059.44</v>
      </c>
      <c r="W45" s="1240"/>
    </row>
    <row r="46" spans="2:23" s="913" customFormat="1" ht="16.5" customHeight="1" thickBot="1" thickTop="1">
      <c r="B46" s="1316"/>
      <c r="C46" s="1317"/>
      <c r="D46" s="1317"/>
      <c r="E46" s="1317"/>
      <c r="F46" s="1317"/>
      <c r="G46" s="1317"/>
      <c r="H46" s="1317"/>
      <c r="I46" s="1317"/>
      <c r="J46" s="1317"/>
      <c r="K46" s="1317"/>
      <c r="L46" s="1317"/>
      <c r="M46" s="1317"/>
      <c r="N46" s="1317"/>
      <c r="O46" s="1317"/>
      <c r="P46" s="1317"/>
      <c r="Q46" s="1317"/>
      <c r="R46" s="1317"/>
      <c r="S46" s="1317"/>
      <c r="T46" s="1317"/>
      <c r="U46" s="1317"/>
      <c r="V46" s="1317"/>
      <c r="W46" s="1318"/>
    </row>
    <row r="47" spans="23:25" ht="16.5" customHeight="1" thickTop="1">
      <c r="W47" s="1319"/>
      <c r="X47" s="1319"/>
      <c r="Y47" s="1319"/>
    </row>
    <row r="48" spans="23:25" ht="16.5" customHeight="1">
      <c r="W48" s="1319"/>
      <c r="X48" s="1319"/>
      <c r="Y48" s="1319"/>
    </row>
    <row r="49" spans="23:25" ht="16.5" customHeight="1">
      <c r="W49" s="1319"/>
      <c r="X49" s="1319"/>
      <c r="Y49" s="1319"/>
    </row>
    <row r="50" spans="23:25" ht="16.5" customHeight="1">
      <c r="W50" s="1319"/>
      <c r="X50" s="1319"/>
      <c r="Y50" s="1319"/>
    </row>
    <row r="51" spans="23:25" ht="16.5" customHeight="1">
      <c r="W51" s="1319"/>
      <c r="X51" s="1319"/>
      <c r="Y51" s="1319"/>
    </row>
    <row r="52" spans="6:25" ht="16.5" customHeight="1">
      <c r="F52" s="1319"/>
      <c r="G52" s="1319"/>
      <c r="H52" s="1319"/>
      <c r="I52" s="1319"/>
      <c r="J52" s="1319"/>
      <c r="K52" s="1319"/>
      <c r="L52" s="1319"/>
      <c r="M52" s="1319"/>
      <c r="N52" s="1319"/>
      <c r="O52" s="1319"/>
      <c r="P52" s="1319"/>
      <c r="Q52" s="1319"/>
      <c r="R52" s="1319"/>
      <c r="S52" s="1319"/>
      <c r="T52" s="1319"/>
      <c r="U52" s="1319"/>
      <c r="V52" s="1319"/>
      <c r="W52" s="1319"/>
      <c r="X52" s="1319"/>
      <c r="Y52" s="1319"/>
    </row>
    <row r="53" spans="6:25" ht="16.5" customHeight="1">
      <c r="F53" s="1319"/>
      <c r="G53" s="1319"/>
      <c r="H53" s="1319"/>
      <c r="I53" s="1319"/>
      <c r="J53" s="1319"/>
      <c r="K53" s="1319"/>
      <c r="L53" s="1319"/>
      <c r="M53" s="1319"/>
      <c r="N53" s="1319"/>
      <c r="O53" s="1319"/>
      <c r="P53" s="1319"/>
      <c r="Q53" s="1319"/>
      <c r="R53" s="1319"/>
      <c r="S53" s="1319"/>
      <c r="T53" s="1319"/>
      <c r="U53" s="1319"/>
      <c r="V53" s="1319"/>
      <c r="W53" s="1319"/>
      <c r="X53" s="1319"/>
      <c r="Y53" s="1319"/>
    </row>
    <row r="54" spans="6:25" ht="16.5" customHeight="1">
      <c r="F54" s="1319"/>
      <c r="G54" s="1319"/>
      <c r="H54" s="1319"/>
      <c r="I54" s="1319"/>
      <c r="J54" s="1319"/>
      <c r="K54" s="1319"/>
      <c r="L54" s="1319"/>
      <c r="M54" s="1319"/>
      <c r="N54" s="1319"/>
      <c r="O54" s="1319"/>
      <c r="P54" s="1319"/>
      <c r="Q54" s="1319"/>
      <c r="R54" s="1319"/>
      <c r="S54" s="1319"/>
      <c r="T54" s="1319"/>
      <c r="U54" s="1319"/>
      <c r="V54" s="1319"/>
      <c r="W54" s="1319"/>
      <c r="X54" s="1319"/>
      <c r="Y54" s="1319"/>
    </row>
    <row r="55" spans="6:25" ht="16.5" customHeight="1"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</row>
    <row r="56" spans="6:25" ht="16.5" customHeight="1">
      <c r="F56" s="1319"/>
      <c r="G56" s="1319"/>
      <c r="H56" s="1319"/>
      <c r="I56" s="1319"/>
      <c r="J56" s="1319"/>
      <c r="K56" s="1319"/>
      <c r="L56" s="1319"/>
      <c r="M56" s="1319"/>
      <c r="N56" s="1319"/>
      <c r="O56" s="1319"/>
      <c r="P56" s="1319"/>
      <c r="Q56" s="1319"/>
      <c r="R56" s="1319"/>
      <c r="S56" s="1319"/>
      <c r="T56" s="1319"/>
      <c r="U56" s="1319"/>
      <c r="V56" s="1319"/>
      <c r="W56" s="1319"/>
      <c r="X56" s="1319"/>
      <c r="Y56" s="1319"/>
    </row>
    <row r="57" spans="6:25" ht="16.5" customHeight="1">
      <c r="F57" s="1319"/>
      <c r="G57" s="1319"/>
      <c r="H57" s="1319"/>
      <c r="I57" s="1319"/>
      <c r="J57" s="1319"/>
      <c r="K57" s="1319"/>
      <c r="L57" s="1319"/>
      <c r="M57" s="1319"/>
      <c r="N57" s="1319"/>
      <c r="O57" s="1319"/>
      <c r="P57" s="1319"/>
      <c r="Q57" s="1319"/>
      <c r="R57" s="1319"/>
      <c r="S57" s="1319"/>
      <c r="T57" s="1319"/>
      <c r="U57" s="1319"/>
      <c r="V57" s="1319"/>
      <c r="W57" s="1319"/>
      <c r="X57" s="1319"/>
      <c r="Y57" s="1319"/>
    </row>
    <row r="58" spans="6:25" ht="16.5" customHeight="1">
      <c r="F58" s="1319"/>
      <c r="G58" s="1319"/>
      <c r="H58" s="1319"/>
      <c r="I58" s="1319"/>
      <c r="J58" s="1319"/>
      <c r="K58" s="1319"/>
      <c r="L58" s="1319"/>
      <c r="M58" s="1319"/>
      <c r="N58" s="1319"/>
      <c r="O58" s="1319"/>
      <c r="P58" s="1319"/>
      <c r="Q58" s="1319"/>
      <c r="R58" s="1319"/>
      <c r="S58" s="1319"/>
      <c r="T58" s="1319"/>
      <c r="U58" s="1319"/>
      <c r="V58" s="1319"/>
      <c r="W58" s="1319"/>
      <c r="X58" s="1319"/>
      <c r="Y58" s="1319"/>
    </row>
    <row r="59" spans="6:25" ht="16.5" customHeight="1"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</row>
    <row r="60" spans="6:25" ht="16.5" customHeight="1">
      <c r="F60" s="1319"/>
      <c r="G60" s="1319"/>
      <c r="H60" s="1319"/>
      <c r="I60" s="1319"/>
      <c r="J60" s="1319"/>
      <c r="K60" s="1319"/>
      <c r="L60" s="1319"/>
      <c r="M60" s="1319"/>
      <c r="N60" s="1319"/>
      <c r="O60" s="1319"/>
      <c r="P60" s="1319"/>
      <c r="Q60" s="1319"/>
      <c r="R60" s="1319"/>
      <c r="S60" s="1319"/>
      <c r="T60" s="1319"/>
      <c r="U60" s="1319"/>
      <c r="V60" s="1319"/>
      <c r="W60" s="1319"/>
      <c r="X60" s="1319"/>
      <c r="Y60" s="1319"/>
    </row>
    <row r="61" spans="6:25" ht="16.5" customHeight="1">
      <c r="F61" s="1319"/>
      <c r="G61" s="1319"/>
      <c r="H61" s="1319"/>
      <c r="I61" s="1319"/>
      <c r="J61" s="1319"/>
      <c r="K61" s="1319"/>
      <c r="L61" s="1319"/>
      <c r="M61" s="1319"/>
      <c r="N61" s="1319"/>
      <c r="O61" s="1319"/>
      <c r="P61" s="1319"/>
      <c r="Q61" s="1319"/>
      <c r="R61" s="1319"/>
      <c r="S61" s="1319"/>
      <c r="T61" s="1319"/>
      <c r="U61" s="1319"/>
      <c r="V61" s="1319"/>
      <c r="W61" s="1319"/>
      <c r="X61" s="1319"/>
      <c r="Y61" s="1319"/>
    </row>
    <row r="62" spans="6:25" ht="16.5" customHeight="1">
      <c r="F62" s="1319"/>
      <c r="G62" s="1319"/>
      <c r="H62" s="1319"/>
      <c r="I62" s="1319"/>
      <c r="J62" s="1319"/>
      <c r="K62" s="1319"/>
      <c r="L62" s="1319"/>
      <c r="M62" s="1319"/>
      <c r="N62" s="1319"/>
      <c r="O62" s="1319"/>
      <c r="P62" s="1319"/>
      <c r="Q62" s="1319"/>
      <c r="R62" s="1319"/>
      <c r="S62" s="1319"/>
      <c r="T62" s="1319"/>
      <c r="U62" s="1319"/>
      <c r="V62" s="1319"/>
      <c r="W62" s="1319"/>
      <c r="X62" s="1319"/>
      <c r="Y62" s="1319"/>
    </row>
    <row r="63" spans="6:25" ht="16.5" customHeight="1"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</row>
    <row r="64" spans="6:25" ht="16.5" customHeight="1">
      <c r="F64" s="1319"/>
      <c r="G64" s="1319"/>
      <c r="H64" s="1319"/>
      <c r="I64" s="1319"/>
      <c r="J64" s="1319"/>
      <c r="K64" s="1319"/>
      <c r="L64" s="1319"/>
      <c r="M64" s="1319"/>
      <c r="N64" s="1319"/>
      <c r="O64" s="1319"/>
      <c r="P64" s="1319"/>
      <c r="Q64" s="1319"/>
      <c r="R64" s="1319"/>
      <c r="S64" s="1319"/>
      <c r="T64" s="1319"/>
      <c r="U64" s="1319"/>
      <c r="V64" s="1319"/>
      <c r="W64" s="1319"/>
      <c r="X64" s="1319"/>
      <c r="Y64" s="1319"/>
    </row>
    <row r="65" spans="6:25" ht="16.5" customHeight="1">
      <c r="F65" s="1319"/>
      <c r="G65" s="1319"/>
      <c r="H65" s="1319"/>
      <c r="I65" s="1319"/>
      <c r="J65" s="1319"/>
      <c r="K65" s="1319"/>
      <c r="L65" s="1319"/>
      <c r="M65" s="1319"/>
      <c r="N65" s="1319"/>
      <c r="O65" s="1319"/>
      <c r="P65" s="1319"/>
      <c r="Q65" s="1319"/>
      <c r="R65" s="1319"/>
      <c r="S65" s="1319"/>
      <c r="T65" s="1319"/>
      <c r="U65" s="1319"/>
      <c r="V65" s="1319"/>
      <c r="W65" s="1319"/>
      <c r="X65" s="1319"/>
      <c r="Y65" s="1319"/>
    </row>
    <row r="66" spans="6:25" ht="16.5" customHeight="1">
      <c r="F66" s="1319"/>
      <c r="G66" s="1319"/>
      <c r="H66" s="1319"/>
      <c r="I66" s="1319"/>
      <c r="J66" s="1319"/>
      <c r="K66" s="1319"/>
      <c r="L66" s="1319"/>
      <c r="M66" s="1319"/>
      <c r="N66" s="1319"/>
      <c r="O66" s="1319"/>
      <c r="P66" s="1319"/>
      <c r="Q66" s="1319"/>
      <c r="R66" s="1319"/>
      <c r="S66" s="1319"/>
      <c r="T66" s="1319"/>
      <c r="U66" s="1319"/>
      <c r="V66" s="1319"/>
      <c r="W66" s="1319"/>
      <c r="X66" s="1319"/>
      <c r="Y66" s="1319"/>
    </row>
    <row r="67" spans="6:25" ht="16.5" customHeight="1"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</row>
    <row r="68" spans="6:25" ht="16.5" customHeight="1">
      <c r="F68" s="1319"/>
      <c r="G68" s="1319"/>
      <c r="H68" s="1319"/>
      <c r="I68" s="1319"/>
      <c r="J68" s="1319"/>
      <c r="K68" s="1319"/>
      <c r="L68" s="1319"/>
      <c r="M68" s="1319"/>
      <c r="N68" s="1319"/>
      <c r="O68" s="1319"/>
      <c r="P68" s="1319"/>
      <c r="Q68" s="1319"/>
      <c r="R68" s="1319"/>
      <c r="S68" s="1319"/>
      <c r="T68" s="1319"/>
      <c r="U68" s="1319"/>
      <c r="V68" s="1319"/>
      <c r="W68" s="1319"/>
      <c r="X68" s="1319"/>
      <c r="Y68" s="1319"/>
    </row>
    <row r="69" spans="6:25" ht="16.5" customHeight="1">
      <c r="F69" s="1319"/>
      <c r="G69" s="1319"/>
      <c r="H69" s="1319"/>
      <c r="I69" s="1319"/>
      <c r="J69" s="1319"/>
      <c r="K69" s="1319"/>
      <c r="L69" s="1319"/>
      <c r="M69" s="1319"/>
      <c r="N69" s="1319"/>
      <c r="O69" s="1319"/>
      <c r="P69" s="1319"/>
      <c r="Q69" s="1319"/>
      <c r="R69" s="1319"/>
      <c r="S69" s="1319"/>
      <c r="T69" s="1319"/>
      <c r="U69" s="1319"/>
      <c r="V69" s="1319"/>
      <c r="W69" s="1319"/>
      <c r="X69" s="1319"/>
      <c r="Y69" s="1319"/>
    </row>
    <row r="70" spans="6:25" ht="16.5" customHeight="1">
      <c r="F70" s="1319"/>
      <c r="G70" s="1319"/>
      <c r="H70" s="1319"/>
      <c r="I70" s="1319"/>
      <c r="J70" s="1319"/>
      <c r="K70" s="1319"/>
      <c r="L70" s="1319"/>
      <c r="M70" s="1319"/>
      <c r="N70" s="1319"/>
      <c r="O70" s="1319"/>
      <c r="P70" s="1319"/>
      <c r="Q70" s="1319"/>
      <c r="R70" s="1319"/>
      <c r="S70" s="1319"/>
      <c r="T70" s="1319"/>
      <c r="U70" s="1319"/>
      <c r="V70" s="1319"/>
      <c r="W70" s="1319"/>
      <c r="X70" s="1319"/>
      <c r="Y70" s="1319"/>
    </row>
    <row r="71" spans="6:25" ht="16.5" customHeight="1">
      <c r="F71" s="1319"/>
      <c r="G71" s="1319"/>
      <c r="H71" s="1319"/>
      <c r="I71" s="1319"/>
      <c r="J71" s="1319"/>
      <c r="K71" s="1319"/>
      <c r="L71" s="1319"/>
      <c r="M71" s="1319"/>
      <c r="N71" s="1319"/>
      <c r="O71" s="1319"/>
      <c r="P71" s="1319"/>
      <c r="Q71" s="1319"/>
      <c r="R71" s="1319"/>
      <c r="S71" s="1319"/>
      <c r="T71" s="1319"/>
      <c r="U71" s="1319"/>
      <c r="V71" s="1319"/>
      <c r="W71" s="1319"/>
      <c r="X71" s="1319"/>
      <c r="Y71" s="1319"/>
    </row>
    <row r="72" spans="6:25" ht="16.5" customHeight="1">
      <c r="F72" s="1319"/>
      <c r="G72" s="1319"/>
      <c r="H72" s="1319"/>
      <c r="I72" s="1319"/>
      <c r="J72" s="1319"/>
      <c r="K72" s="1319"/>
      <c r="L72" s="1319"/>
      <c r="M72" s="1319"/>
      <c r="N72" s="1319"/>
      <c r="O72" s="1319"/>
      <c r="P72" s="1319"/>
      <c r="Q72" s="1319"/>
      <c r="R72" s="1319"/>
      <c r="S72" s="1319"/>
      <c r="T72" s="1319"/>
      <c r="U72" s="1319"/>
      <c r="V72" s="1319"/>
      <c r="W72" s="1319"/>
      <c r="X72" s="1319"/>
      <c r="Y72" s="1319"/>
    </row>
    <row r="73" spans="6:25" ht="16.5" customHeight="1">
      <c r="F73" s="1319"/>
      <c r="G73" s="1319"/>
      <c r="H73" s="1319"/>
      <c r="I73" s="1319"/>
      <c r="J73" s="1319"/>
      <c r="K73" s="1319"/>
      <c r="L73" s="1319"/>
      <c r="M73" s="1319"/>
      <c r="N73" s="1319"/>
      <c r="O73" s="1319"/>
      <c r="P73" s="1319"/>
      <c r="Q73" s="1319"/>
      <c r="R73" s="1319"/>
      <c r="S73" s="1319"/>
      <c r="T73" s="1319"/>
      <c r="U73" s="1319"/>
      <c r="V73" s="1319"/>
      <c r="W73" s="1319"/>
      <c r="X73" s="1319"/>
      <c r="Y73" s="1319"/>
    </row>
    <row r="74" spans="6:25" ht="16.5" customHeight="1">
      <c r="F74" s="1319"/>
      <c r="G74" s="1319"/>
      <c r="H74" s="1319"/>
      <c r="I74" s="1319"/>
      <c r="J74" s="1319"/>
      <c r="K74" s="1319"/>
      <c r="L74" s="1319"/>
      <c r="M74" s="1319"/>
      <c r="N74" s="1319"/>
      <c r="O74" s="1319"/>
      <c r="P74" s="1319"/>
      <c r="Q74" s="1319"/>
      <c r="R74" s="1319"/>
      <c r="S74" s="1319"/>
      <c r="T74" s="1319"/>
      <c r="U74" s="1319"/>
      <c r="V74" s="1319"/>
      <c r="W74" s="1319"/>
      <c r="X74" s="1319"/>
      <c r="Y74" s="1319"/>
    </row>
    <row r="75" spans="6:25" ht="16.5" customHeight="1">
      <c r="F75" s="1319"/>
      <c r="G75" s="1319"/>
      <c r="H75" s="1319"/>
      <c r="I75" s="1319"/>
      <c r="J75" s="1319"/>
      <c r="K75" s="1319"/>
      <c r="L75" s="1319"/>
      <c r="M75" s="1319"/>
      <c r="N75" s="1319"/>
      <c r="O75" s="1319"/>
      <c r="P75" s="1319"/>
      <c r="Q75" s="1319"/>
      <c r="R75" s="1319"/>
      <c r="S75" s="1319"/>
      <c r="T75" s="1319"/>
      <c r="U75" s="1319"/>
      <c r="V75" s="1319"/>
      <c r="W75" s="1319"/>
      <c r="X75" s="1319"/>
      <c r="Y75" s="1319"/>
    </row>
    <row r="76" spans="6:25" ht="16.5" customHeight="1">
      <c r="F76" s="1319"/>
      <c r="G76" s="1319"/>
      <c r="H76" s="1319"/>
      <c r="I76" s="1319"/>
      <c r="J76" s="1319"/>
      <c r="K76" s="1319"/>
      <c r="L76" s="1319"/>
      <c r="M76" s="1319"/>
      <c r="N76" s="1319"/>
      <c r="O76" s="1319"/>
      <c r="P76" s="1319"/>
      <c r="Q76" s="1319"/>
      <c r="R76" s="1319"/>
      <c r="S76" s="1319"/>
      <c r="T76" s="1319"/>
      <c r="U76" s="1319"/>
      <c r="V76" s="1319"/>
      <c r="W76" s="1319"/>
      <c r="X76" s="1319"/>
      <c r="Y76" s="1319"/>
    </row>
    <row r="77" spans="6:25" ht="16.5" customHeight="1">
      <c r="F77" s="1319"/>
      <c r="G77" s="1319"/>
      <c r="H77" s="1319"/>
      <c r="I77" s="1319"/>
      <c r="J77" s="1319"/>
      <c r="K77" s="1319"/>
      <c r="L77" s="1319"/>
      <c r="M77" s="1319"/>
      <c r="N77" s="1319"/>
      <c r="O77" s="1319"/>
      <c r="P77" s="1319"/>
      <c r="Q77" s="1319"/>
      <c r="R77" s="1319"/>
      <c r="S77" s="1319"/>
      <c r="T77" s="1319"/>
      <c r="U77" s="1319"/>
      <c r="V77" s="1319"/>
      <c r="W77" s="1319"/>
      <c r="X77" s="1319"/>
      <c r="Y77" s="1319"/>
    </row>
    <row r="78" spans="6:25" ht="16.5" customHeight="1">
      <c r="F78" s="1319"/>
      <c r="G78" s="1319"/>
      <c r="H78" s="1319"/>
      <c r="I78" s="1319"/>
      <c r="J78" s="1319"/>
      <c r="K78" s="1319"/>
      <c r="L78" s="1319"/>
      <c r="M78" s="1319"/>
      <c r="N78" s="1319"/>
      <c r="O78" s="1319"/>
      <c r="P78" s="1319"/>
      <c r="Q78" s="1319"/>
      <c r="R78" s="1319"/>
      <c r="S78" s="1319"/>
      <c r="T78" s="1319"/>
      <c r="U78" s="1319"/>
      <c r="V78" s="1319"/>
      <c r="W78" s="1319"/>
      <c r="X78" s="1319"/>
      <c r="Y78" s="1319"/>
    </row>
    <row r="79" spans="6:25" ht="16.5" customHeight="1">
      <c r="F79" s="1319"/>
      <c r="G79" s="1319"/>
      <c r="H79" s="1319"/>
      <c r="I79" s="1319"/>
      <c r="J79" s="1319"/>
      <c r="K79" s="1319"/>
      <c r="L79" s="1319"/>
      <c r="M79" s="1319"/>
      <c r="N79" s="1319"/>
      <c r="O79" s="1319"/>
      <c r="P79" s="1319"/>
      <c r="Q79" s="1319"/>
      <c r="R79" s="1319"/>
      <c r="S79" s="1319"/>
      <c r="T79" s="1319"/>
      <c r="U79" s="1319"/>
      <c r="V79" s="1319"/>
      <c r="W79" s="1319"/>
      <c r="X79" s="1319"/>
      <c r="Y79" s="1319"/>
    </row>
    <row r="80" spans="6:25" ht="16.5" customHeight="1">
      <c r="F80" s="1319"/>
      <c r="G80" s="1319"/>
      <c r="H80" s="1319"/>
      <c r="I80" s="1319"/>
      <c r="J80" s="1319"/>
      <c r="K80" s="1319"/>
      <c r="L80" s="1319"/>
      <c r="M80" s="1319"/>
      <c r="N80" s="1319"/>
      <c r="O80" s="1319"/>
      <c r="P80" s="1319"/>
      <c r="Q80" s="1319"/>
      <c r="R80" s="1319"/>
      <c r="S80" s="1319"/>
      <c r="T80" s="1319"/>
      <c r="U80" s="1319"/>
      <c r="V80" s="1319"/>
      <c r="W80" s="1319"/>
      <c r="X80" s="1319"/>
      <c r="Y80" s="1319"/>
    </row>
    <row r="81" spans="6:25" ht="16.5" customHeight="1">
      <c r="F81" s="1319"/>
      <c r="G81" s="1319"/>
      <c r="H81" s="1319"/>
      <c r="I81" s="1319"/>
      <c r="J81" s="1319"/>
      <c r="K81" s="1319"/>
      <c r="L81" s="1319"/>
      <c r="M81" s="1319"/>
      <c r="N81" s="1319"/>
      <c r="O81" s="1319"/>
      <c r="P81" s="1319"/>
      <c r="Q81" s="1319"/>
      <c r="R81" s="1319"/>
      <c r="S81" s="1319"/>
      <c r="T81" s="1319"/>
      <c r="U81" s="1319"/>
      <c r="V81" s="1319"/>
      <c r="W81" s="1319"/>
      <c r="X81" s="1319"/>
      <c r="Y81" s="1319"/>
    </row>
    <row r="82" spans="6:25" ht="16.5" customHeight="1">
      <c r="F82" s="1319"/>
      <c r="G82" s="1319"/>
      <c r="H82" s="1319"/>
      <c r="I82" s="1319"/>
      <c r="J82" s="1319"/>
      <c r="K82" s="1319"/>
      <c r="L82" s="1319"/>
      <c r="M82" s="1319"/>
      <c r="N82" s="1319"/>
      <c r="O82" s="1319"/>
      <c r="P82" s="1319"/>
      <c r="Q82" s="1319"/>
      <c r="R82" s="1319"/>
      <c r="S82" s="1319"/>
      <c r="T82" s="1319"/>
      <c r="U82" s="1319"/>
      <c r="V82" s="1319"/>
      <c r="W82" s="1319"/>
      <c r="X82" s="1319"/>
      <c r="Y82" s="1319"/>
    </row>
    <row r="83" spans="6:25" ht="16.5" customHeight="1">
      <c r="F83" s="1319"/>
      <c r="G83" s="1319"/>
      <c r="H83" s="1319"/>
      <c r="I83" s="1319"/>
      <c r="J83" s="1319"/>
      <c r="K83" s="1319"/>
      <c r="L83" s="1319"/>
      <c r="M83" s="1319"/>
      <c r="N83" s="1319"/>
      <c r="O83" s="1319"/>
      <c r="P83" s="1319"/>
      <c r="Q83" s="1319"/>
      <c r="R83" s="1319"/>
      <c r="S83" s="1319"/>
      <c r="T83" s="1319"/>
      <c r="U83" s="1319"/>
      <c r="V83" s="1319"/>
      <c r="W83" s="1319"/>
      <c r="X83" s="1319"/>
      <c r="Y83" s="1319"/>
    </row>
    <row r="84" spans="6:25" ht="16.5" customHeight="1">
      <c r="F84" s="1319"/>
      <c r="G84" s="1319"/>
      <c r="H84" s="1319"/>
      <c r="I84" s="1319"/>
      <c r="J84" s="1319"/>
      <c r="K84" s="1319"/>
      <c r="L84" s="1319"/>
      <c r="M84" s="1319"/>
      <c r="N84" s="1319"/>
      <c r="O84" s="1319"/>
      <c r="P84" s="1319"/>
      <c r="Q84" s="1319"/>
      <c r="R84" s="1319"/>
      <c r="S84" s="1319"/>
      <c r="T84" s="1319"/>
      <c r="U84" s="1319"/>
      <c r="V84" s="1319"/>
      <c r="W84" s="1319"/>
      <c r="X84" s="1319"/>
      <c r="Y84" s="1319"/>
    </row>
    <row r="85" spans="6:25" ht="16.5" customHeight="1">
      <c r="F85" s="1319"/>
      <c r="G85" s="1319"/>
      <c r="H85" s="1319"/>
      <c r="I85" s="1319"/>
      <c r="J85" s="1319"/>
      <c r="K85" s="1319"/>
      <c r="L85" s="1319"/>
      <c r="M85" s="1319"/>
      <c r="N85" s="1319"/>
      <c r="O85" s="1319"/>
      <c r="P85" s="1319"/>
      <c r="Q85" s="1319"/>
      <c r="R85" s="1319"/>
      <c r="S85" s="1319"/>
      <c r="T85" s="1319"/>
      <c r="U85" s="1319"/>
      <c r="V85" s="1319"/>
      <c r="W85" s="1319"/>
      <c r="X85" s="1319"/>
      <c r="Y85" s="1319"/>
    </row>
    <row r="86" spans="6:25" ht="16.5" customHeight="1">
      <c r="F86" s="1319"/>
      <c r="G86" s="1319"/>
      <c r="H86" s="1319"/>
      <c r="I86" s="1319"/>
      <c r="J86" s="1319"/>
      <c r="K86" s="1319"/>
      <c r="L86" s="1319"/>
      <c r="M86" s="1319"/>
      <c r="N86" s="1319"/>
      <c r="O86" s="1319"/>
      <c r="P86" s="1319"/>
      <c r="Q86" s="1319"/>
      <c r="R86" s="1319"/>
      <c r="S86" s="1319"/>
      <c r="T86" s="1319"/>
      <c r="U86" s="1319"/>
      <c r="V86" s="1319"/>
      <c r="W86" s="1319"/>
      <c r="X86" s="1319"/>
      <c r="Y86" s="1319"/>
    </row>
    <row r="87" spans="6:25" ht="16.5" customHeight="1">
      <c r="F87" s="1319"/>
      <c r="G87" s="1319"/>
      <c r="H87" s="1319"/>
      <c r="I87" s="1319"/>
      <c r="J87" s="1319"/>
      <c r="K87" s="1319"/>
      <c r="L87" s="1319"/>
      <c r="M87" s="1319"/>
      <c r="N87" s="1319"/>
      <c r="O87" s="1319"/>
      <c r="P87" s="1319"/>
      <c r="Q87" s="1319"/>
      <c r="R87" s="1319"/>
      <c r="S87" s="1319"/>
      <c r="T87" s="1319"/>
      <c r="U87" s="1319"/>
      <c r="V87" s="1319"/>
      <c r="W87" s="1319"/>
      <c r="X87" s="1319"/>
      <c r="Y87" s="1319"/>
    </row>
    <row r="88" spans="6:25" ht="16.5" customHeight="1">
      <c r="F88" s="1319"/>
      <c r="G88" s="1319"/>
      <c r="H88" s="1319"/>
      <c r="I88" s="1319"/>
      <c r="J88" s="1319"/>
      <c r="K88" s="1319"/>
      <c r="L88" s="1319"/>
      <c r="M88" s="1319"/>
      <c r="N88" s="1319"/>
      <c r="O88" s="1319"/>
      <c r="P88" s="1319"/>
      <c r="Q88" s="1319"/>
      <c r="R88" s="1319"/>
      <c r="S88" s="1319"/>
      <c r="T88" s="1319"/>
      <c r="U88" s="1319"/>
      <c r="V88" s="1319"/>
      <c r="W88" s="1319"/>
      <c r="X88" s="1319"/>
      <c r="Y88" s="1319"/>
    </row>
    <row r="89" spans="6:25" ht="16.5" customHeight="1">
      <c r="F89" s="1319"/>
      <c r="G89" s="1319"/>
      <c r="H89" s="1319"/>
      <c r="I89" s="1319"/>
      <c r="J89" s="1319"/>
      <c r="K89" s="1319"/>
      <c r="L89" s="1319"/>
      <c r="M89" s="1319"/>
      <c r="N89" s="1319"/>
      <c r="O89" s="1319"/>
      <c r="P89" s="1319"/>
      <c r="Q89" s="1319"/>
      <c r="R89" s="1319"/>
      <c r="S89" s="1319"/>
      <c r="T89" s="1319"/>
      <c r="U89" s="1319"/>
      <c r="V89" s="1319"/>
      <c r="W89" s="1319"/>
      <c r="X89" s="1319"/>
      <c r="Y89" s="1319"/>
    </row>
    <row r="90" spans="6:25" ht="16.5" customHeight="1">
      <c r="F90" s="1319"/>
      <c r="G90" s="1319"/>
      <c r="H90" s="1319"/>
      <c r="I90" s="1319"/>
      <c r="J90" s="1319"/>
      <c r="K90" s="1319"/>
      <c r="L90" s="1319"/>
      <c r="M90" s="1319"/>
      <c r="N90" s="1319"/>
      <c r="O90" s="1319"/>
      <c r="P90" s="1319"/>
      <c r="Q90" s="1319"/>
      <c r="R90" s="1319"/>
      <c r="S90" s="1319"/>
      <c r="T90" s="1319"/>
      <c r="U90" s="1319"/>
      <c r="V90" s="1319"/>
      <c r="W90" s="1319"/>
      <c r="X90" s="1319"/>
      <c r="Y90" s="1319"/>
    </row>
    <row r="91" spans="6:25" ht="16.5" customHeight="1">
      <c r="F91" s="1319"/>
      <c r="G91" s="1319"/>
      <c r="H91" s="1319"/>
      <c r="I91" s="1319"/>
      <c r="J91" s="1319"/>
      <c r="K91" s="1319"/>
      <c r="L91" s="1319"/>
      <c r="M91" s="1319"/>
      <c r="N91" s="1319"/>
      <c r="O91" s="1319"/>
      <c r="P91" s="1319"/>
      <c r="Q91" s="1319"/>
      <c r="R91" s="1319"/>
      <c r="S91" s="1319"/>
      <c r="T91" s="1319"/>
      <c r="U91" s="1319"/>
      <c r="V91" s="1319"/>
      <c r="W91" s="1319"/>
      <c r="X91" s="1319"/>
      <c r="Y91" s="1319"/>
    </row>
    <row r="92" spans="6:25" ht="16.5" customHeight="1">
      <c r="F92" s="1319"/>
      <c r="G92" s="1319"/>
      <c r="H92" s="1319"/>
      <c r="I92" s="1319"/>
      <c r="J92" s="1319"/>
      <c r="K92" s="1319"/>
      <c r="L92" s="1319"/>
      <c r="M92" s="1319"/>
      <c r="N92" s="1319"/>
      <c r="O92" s="1319"/>
      <c r="P92" s="1319"/>
      <c r="Q92" s="1319"/>
      <c r="R92" s="1319"/>
      <c r="S92" s="1319"/>
      <c r="T92" s="1319"/>
      <c r="U92" s="1319"/>
      <c r="V92" s="1319"/>
      <c r="W92" s="1319"/>
      <c r="X92" s="1319"/>
      <c r="Y92" s="1319"/>
    </row>
    <row r="93" spans="6:25" ht="16.5" customHeight="1">
      <c r="F93" s="1319"/>
      <c r="G93" s="1319"/>
      <c r="H93" s="1319"/>
      <c r="I93" s="1319"/>
      <c r="J93" s="1319"/>
      <c r="K93" s="1319"/>
      <c r="L93" s="1319"/>
      <c r="M93" s="1319"/>
      <c r="N93" s="1319"/>
      <c r="O93" s="1319"/>
      <c r="P93" s="1319"/>
      <c r="Q93" s="1319"/>
      <c r="R93" s="1319"/>
      <c r="S93" s="1319"/>
      <c r="T93" s="1319"/>
      <c r="U93" s="1319"/>
      <c r="V93" s="1319"/>
      <c r="W93" s="1319"/>
      <c r="X93" s="1319"/>
      <c r="Y93" s="1319"/>
    </row>
    <row r="94" spans="6:25" ht="16.5" customHeight="1">
      <c r="F94" s="1319"/>
      <c r="G94" s="1319"/>
      <c r="H94" s="1319"/>
      <c r="I94" s="1319"/>
      <c r="J94" s="1319"/>
      <c r="K94" s="1319"/>
      <c r="L94" s="1319"/>
      <c r="M94" s="1319"/>
      <c r="N94" s="1319"/>
      <c r="O94" s="1319"/>
      <c r="P94" s="1319"/>
      <c r="Q94" s="1319"/>
      <c r="R94" s="1319"/>
      <c r="S94" s="1319"/>
      <c r="T94" s="1319"/>
      <c r="U94" s="1319"/>
      <c r="V94" s="1319"/>
      <c r="W94" s="1319"/>
      <c r="X94" s="1319"/>
      <c r="Y94" s="1319"/>
    </row>
    <row r="95" spans="6:25" ht="16.5" customHeight="1">
      <c r="F95" s="1319"/>
      <c r="G95" s="1319"/>
      <c r="H95" s="1319"/>
      <c r="I95" s="1319"/>
      <c r="J95" s="1319"/>
      <c r="K95" s="1319"/>
      <c r="L95" s="1319"/>
      <c r="M95" s="1319"/>
      <c r="N95" s="1319"/>
      <c r="O95" s="1319"/>
      <c r="P95" s="1319"/>
      <c r="Q95" s="1319"/>
      <c r="R95" s="1319"/>
      <c r="S95" s="1319"/>
      <c r="T95" s="1319"/>
      <c r="U95" s="1319"/>
      <c r="V95" s="1319"/>
      <c r="W95" s="1319"/>
      <c r="X95" s="1319"/>
      <c r="Y95" s="1319"/>
    </row>
    <row r="96" spans="6:25" ht="16.5" customHeight="1">
      <c r="F96" s="1319"/>
      <c r="G96" s="1319"/>
      <c r="H96" s="1319"/>
      <c r="I96" s="1319"/>
      <c r="J96" s="1319"/>
      <c r="K96" s="1319"/>
      <c r="L96" s="1319"/>
      <c r="M96" s="1319"/>
      <c r="N96" s="1319"/>
      <c r="O96" s="1319"/>
      <c r="P96" s="1319"/>
      <c r="Q96" s="1319"/>
      <c r="R96" s="1319"/>
      <c r="S96" s="1319"/>
      <c r="T96" s="1319"/>
      <c r="U96" s="1319"/>
      <c r="V96" s="1319"/>
      <c r="W96" s="1319"/>
      <c r="X96" s="1319"/>
      <c r="Y96" s="1319"/>
    </row>
    <row r="97" spans="6:25" ht="16.5" customHeight="1">
      <c r="F97" s="1319"/>
      <c r="G97" s="1319"/>
      <c r="H97" s="1319"/>
      <c r="I97" s="1319"/>
      <c r="J97" s="1319"/>
      <c r="K97" s="1319"/>
      <c r="L97" s="1319"/>
      <c r="M97" s="1319"/>
      <c r="N97" s="1319"/>
      <c r="O97" s="1319"/>
      <c r="P97" s="1319"/>
      <c r="Q97" s="1319"/>
      <c r="R97" s="1319"/>
      <c r="S97" s="1319"/>
      <c r="T97" s="1319"/>
      <c r="U97" s="1319"/>
      <c r="V97" s="1319"/>
      <c r="W97" s="1319"/>
      <c r="X97" s="1319"/>
      <c r="Y97" s="1319"/>
    </row>
    <row r="98" spans="6:25" ht="16.5" customHeight="1">
      <c r="F98" s="1319"/>
      <c r="G98" s="1319"/>
      <c r="H98" s="1319"/>
      <c r="I98" s="1319"/>
      <c r="J98" s="1319"/>
      <c r="K98" s="1319"/>
      <c r="L98" s="1319"/>
      <c r="M98" s="1319"/>
      <c r="N98" s="1319"/>
      <c r="O98" s="1319"/>
      <c r="P98" s="1319"/>
      <c r="Q98" s="1319"/>
      <c r="R98" s="1319"/>
      <c r="S98" s="1319"/>
      <c r="T98" s="1319"/>
      <c r="U98" s="1319"/>
      <c r="V98" s="1319"/>
      <c r="W98" s="1319"/>
      <c r="X98" s="1319"/>
      <c r="Y98" s="1319"/>
    </row>
    <row r="99" spans="6:25" ht="16.5" customHeight="1">
      <c r="F99" s="1319"/>
      <c r="G99" s="1319"/>
      <c r="H99" s="1319"/>
      <c r="I99" s="1319"/>
      <c r="J99" s="1319"/>
      <c r="K99" s="1319"/>
      <c r="L99" s="1319"/>
      <c r="M99" s="1319"/>
      <c r="N99" s="1319"/>
      <c r="O99" s="1319"/>
      <c r="P99" s="1319"/>
      <c r="Q99" s="1319"/>
      <c r="R99" s="1319"/>
      <c r="S99" s="1319"/>
      <c r="T99" s="1319"/>
      <c r="U99" s="1319"/>
      <c r="V99" s="1319"/>
      <c r="W99" s="1319"/>
      <c r="X99" s="1319"/>
      <c r="Y99" s="1319"/>
    </row>
    <row r="100" spans="6:25" ht="16.5" customHeight="1">
      <c r="F100" s="1319"/>
      <c r="G100" s="1319"/>
      <c r="H100" s="1319"/>
      <c r="I100" s="1319"/>
      <c r="J100" s="1319"/>
      <c r="K100" s="1319"/>
      <c r="L100" s="1319"/>
      <c r="M100" s="1319"/>
      <c r="N100" s="1319"/>
      <c r="O100" s="1319"/>
      <c r="P100" s="1319"/>
      <c r="Q100" s="1319"/>
      <c r="R100" s="1319"/>
      <c r="S100" s="1319"/>
      <c r="T100" s="1319"/>
      <c r="U100" s="1319"/>
      <c r="V100" s="1319"/>
      <c r="W100" s="1319"/>
      <c r="X100" s="1319"/>
      <c r="Y100" s="1319"/>
    </row>
    <row r="101" spans="6:25" ht="16.5" customHeight="1">
      <c r="F101" s="1319"/>
      <c r="G101" s="1319"/>
      <c r="H101" s="1319"/>
      <c r="I101" s="1319"/>
      <c r="J101" s="1319"/>
      <c r="K101" s="1319"/>
      <c r="L101" s="1319"/>
      <c r="M101" s="1319"/>
      <c r="N101" s="1319"/>
      <c r="O101" s="1319"/>
      <c r="P101" s="1319"/>
      <c r="Q101" s="1319"/>
      <c r="R101" s="1319"/>
      <c r="S101" s="1319"/>
      <c r="T101" s="1319"/>
      <c r="U101" s="1319"/>
      <c r="V101" s="1319"/>
      <c r="W101" s="1319"/>
      <c r="X101" s="1319"/>
      <c r="Y101" s="1319"/>
    </row>
    <row r="102" spans="6:25" ht="16.5" customHeight="1">
      <c r="F102" s="1319"/>
      <c r="G102" s="1319"/>
      <c r="H102" s="1319"/>
      <c r="I102" s="1319"/>
      <c r="J102" s="1319"/>
      <c r="K102" s="1319"/>
      <c r="L102" s="1319"/>
      <c r="M102" s="1319"/>
      <c r="N102" s="1319"/>
      <c r="O102" s="1319"/>
      <c r="P102" s="1319"/>
      <c r="Q102" s="1319"/>
      <c r="R102" s="1319"/>
      <c r="S102" s="1319"/>
      <c r="T102" s="1319"/>
      <c r="U102" s="1319"/>
      <c r="V102" s="1319"/>
      <c r="W102" s="1319"/>
      <c r="X102" s="1319"/>
      <c r="Y102" s="1319"/>
    </row>
    <row r="103" spans="6:25" ht="16.5" customHeight="1">
      <c r="F103" s="1319"/>
      <c r="G103" s="1319"/>
      <c r="H103" s="1319"/>
      <c r="I103" s="1319"/>
      <c r="J103" s="1319"/>
      <c r="K103" s="1319"/>
      <c r="L103" s="1319"/>
      <c r="M103" s="1319"/>
      <c r="N103" s="1319"/>
      <c r="O103" s="1319"/>
      <c r="P103" s="1319"/>
      <c r="Q103" s="1319"/>
      <c r="R103" s="1319"/>
      <c r="S103" s="1319"/>
      <c r="T103" s="1319"/>
      <c r="U103" s="1319"/>
      <c r="V103" s="1319"/>
      <c r="W103" s="1319"/>
      <c r="X103" s="1319"/>
      <c r="Y103" s="1319"/>
    </row>
    <row r="104" spans="6:25" ht="16.5" customHeight="1">
      <c r="F104" s="1319"/>
      <c r="G104" s="1319"/>
      <c r="H104" s="1319"/>
      <c r="I104" s="1319"/>
      <c r="J104" s="1319"/>
      <c r="K104" s="1319"/>
      <c r="L104" s="1319"/>
      <c r="M104" s="1319"/>
      <c r="N104" s="1319"/>
      <c r="O104" s="1319"/>
      <c r="P104" s="1319"/>
      <c r="Q104" s="1319"/>
      <c r="R104" s="1319"/>
      <c r="S104" s="1319"/>
      <c r="T104" s="1319"/>
      <c r="U104" s="1319"/>
      <c r="V104" s="1319"/>
      <c r="W104" s="1319"/>
      <c r="X104" s="1319"/>
      <c r="Y104" s="1319"/>
    </row>
    <row r="105" spans="6:25" ht="16.5" customHeight="1">
      <c r="F105" s="1319"/>
      <c r="G105" s="1319"/>
      <c r="H105" s="1319"/>
      <c r="I105" s="1319"/>
      <c r="J105" s="1319"/>
      <c r="K105" s="1319"/>
      <c r="L105" s="1319"/>
      <c r="M105" s="1319"/>
      <c r="N105" s="1319"/>
      <c r="O105" s="1319"/>
      <c r="P105" s="1319"/>
      <c r="Q105" s="1319"/>
      <c r="R105" s="1319"/>
      <c r="S105" s="1319"/>
      <c r="T105" s="1319"/>
      <c r="U105" s="1319"/>
      <c r="V105" s="1319"/>
      <c r="W105" s="1319"/>
      <c r="X105" s="1319"/>
      <c r="Y105" s="1319"/>
    </row>
    <row r="106" spans="6:25" ht="16.5" customHeight="1">
      <c r="F106" s="1319"/>
      <c r="G106" s="1319"/>
      <c r="H106" s="1319"/>
      <c r="I106" s="1319"/>
      <c r="J106" s="1319"/>
      <c r="K106" s="1319"/>
      <c r="L106" s="1319"/>
      <c r="M106" s="1319"/>
      <c r="N106" s="1319"/>
      <c r="O106" s="1319"/>
      <c r="P106" s="1319"/>
      <c r="Q106" s="1319"/>
      <c r="R106" s="1319"/>
      <c r="S106" s="1319"/>
      <c r="T106" s="1319"/>
      <c r="U106" s="1319"/>
      <c r="V106" s="1319"/>
      <c r="W106" s="1319"/>
      <c r="X106" s="1319"/>
      <c r="Y106" s="1319"/>
    </row>
    <row r="107" spans="6:25" ht="16.5" customHeight="1">
      <c r="F107" s="1319"/>
      <c r="G107" s="1319"/>
      <c r="H107" s="1319"/>
      <c r="I107" s="1319"/>
      <c r="J107" s="1319"/>
      <c r="K107" s="1319"/>
      <c r="L107" s="1319"/>
      <c r="M107" s="1319"/>
      <c r="N107" s="1319"/>
      <c r="O107" s="1319"/>
      <c r="P107" s="1319"/>
      <c r="Q107" s="1319"/>
      <c r="R107" s="1319"/>
      <c r="S107" s="1319"/>
      <c r="T107" s="1319"/>
      <c r="U107" s="1319"/>
      <c r="V107" s="1319"/>
      <c r="W107" s="1319"/>
      <c r="X107" s="1319"/>
      <c r="Y107" s="1319"/>
    </row>
    <row r="108" spans="6:25" ht="16.5" customHeight="1">
      <c r="F108" s="1319"/>
      <c r="G108" s="1319"/>
      <c r="H108" s="1319"/>
      <c r="I108" s="1319"/>
      <c r="J108" s="1319"/>
      <c r="K108" s="1319"/>
      <c r="L108" s="1319"/>
      <c r="M108" s="1319"/>
      <c r="N108" s="1319"/>
      <c r="O108" s="1319"/>
      <c r="P108" s="1319"/>
      <c r="Q108" s="1319"/>
      <c r="R108" s="1319"/>
      <c r="S108" s="1319"/>
      <c r="T108" s="1319"/>
      <c r="U108" s="1319"/>
      <c r="V108" s="1319"/>
      <c r="W108" s="1319"/>
      <c r="X108" s="1319"/>
      <c r="Y108" s="1319"/>
    </row>
    <row r="109" spans="6:25" ht="16.5" customHeight="1">
      <c r="F109" s="1319"/>
      <c r="G109" s="1319"/>
      <c r="H109" s="1319"/>
      <c r="I109" s="1319"/>
      <c r="J109" s="1319"/>
      <c r="K109" s="1319"/>
      <c r="L109" s="1319"/>
      <c r="M109" s="1319"/>
      <c r="N109" s="1319"/>
      <c r="O109" s="1319"/>
      <c r="P109" s="1319"/>
      <c r="Q109" s="1319"/>
      <c r="R109" s="1319"/>
      <c r="S109" s="1319"/>
      <c r="T109" s="1319"/>
      <c r="U109" s="1319"/>
      <c r="V109" s="1319"/>
      <c r="W109" s="1319"/>
      <c r="X109" s="1319"/>
      <c r="Y109" s="1319"/>
    </row>
    <row r="110" spans="6:25" ht="16.5" customHeight="1">
      <c r="F110" s="1319"/>
      <c r="G110" s="1319"/>
      <c r="H110" s="1319"/>
      <c r="I110" s="1319"/>
      <c r="J110" s="1319"/>
      <c r="K110" s="1319"/>
      <c r="L110" s="1319"/>
      <c r="M110" s="1319"/>
      <c r="N110" s="1319"/>
      <c r="O110" s="1319"/>
      <c r="P110" s="1319"/>
      <c r="Q110" s="1319"/>
      <c r="R110" s="1319"/>
      <c r="S110" s="1319"/>
      <c r="T110" s="1319"/>
      <c r="U110" s="1319"/>
      <c r="V110" s="1319"/>
      <c r="W110" s="1319"/>
      <c r="X110" s="1319"/>
      <c r="Y110" s="1319"/>
    </row>
    <row r="111" spans="6:25" ht="16.5" customHeight="1">
      <c r="F111" s="1319"/>
      <c r="G111" s="1319"/>
      <c r="H111" s="1319"/>
      <c r="I111" s="1319"/>
      <c r="J111" s="1319"/>
      <c r="K111" s="1319"/>
      <c r="L111" s="1319"/>
      <c r="M111" s="1319"/>
      <c r="N111" s="1319"/>
      <c r="O111" s="1319"/>
      <c r="P111" s="1319"/>
      <c r="Q111" s="1319"/>
      <c r="R111" s="1319"/>
      <c r="S111" s="1319"/>
      <c r="T111" s="1319"/>
      <c r="U111" s="1319"/>
      <c r="V111" s="1319"/>
      <c r="W111" s="1319"/>
      <c r="X111" s="1319"/>
      <c r="Y111" s="1319"/>
    </row>
    <row r="112" spans="6:25" ht="16.5" customHeight="1">
      <c r="F112" s="1319"/>
      <c r="G112" s="1319"/>
      <c r="H112" s="1319"/>
      <c r="I112" s="1319"/>
      <c r="J112" s="1319"/>
      <c r="K112" s="1319"/>
      <c r="L112" s="1319"/>
      <c r="M112" s="1319"/>
      <c r="N112" s="1319"/>
      <c r="O112" s="1319"/>
      <c r="P112" s="1319"/>
      <c r="Q112" s="1319"/>
      <c r="R112" s="1319"/>
      <c r="S112" s="1319"/>
      <c r="T112" s="1319"/>
      <c r="U112" s="1319"/>
      <c r="V112" s="1319"/>
      <c r="W112" s="1319"/>
      <c r="X112" s="1319"/>
      <c r="Y112" s="1319"/>
    </row>
    <row r="113" spans="6:25" ht="16.5" customHeight="1">
      <c r="F113" s="1319"/>
      <c r="G113" s="1319"/>
      <c r="H113" s="1319"/>
      <c r="I113" s="1319"/>
      <c r="J113" s="1319"/>
      <c r="K113" s="1319"/>
      <c r="L113" s="1319"/>
      <c r="M113" s="1319"/>
      <c r="N113" s="1319"/>
      <c r="O113" s="1319"/>
      <c r="P113" s="1319"/>
      <c r="Q113" s="1319"/>
      <c r="R113" s="1319"/>
      <c r="S113" s="1319"/>
      <c r="T113" s="1319"/>
      <c r="U113" s="1319"/>
      <c r="V113" s="1319"/>
      <c r="W113" s="1319"/>
      <c r="X113" s="1319"/>
      <c r="Y113" s="1319"/>
    </row>
    <row r="114" spans="6:25" ht="16.5" customHeight="1">
      <c r="F114" s="1319"/>
      <c r="G114" s="1319"/>
      <c r="H114" s="1319"/>
      <c r="I114" s="1319"/>
      <c r="J114" s="1319"/>
      <c r="K114" s="1319"/>
      <c r="L114" s="1319"/>
      <c r="M114" s="1319"/>
      <c r="N114" s="1319"/>
      <c r="O114" s="1319"/>
      <c r="P114" s="1319"/>
      <c r="Q114" s="1319"/>
      <c r="R114" s="1319"/>
      <c r="S114" s="1319"/>
      <c r="T114" s="1319"/>
      <c r="U114" s="1319"/>
      <c r="V114" s="1319"/>
      <c r="W114" s="1319"/>
      <c r="X114" s="1319"/>
      <c r="Y114" s="1319"/>
    </row>
    <row r="115" spans="6:25" ht="16.5" customHeight="1">
      <c r="F115" s="1319"/>
      <c r="G115" s="1319"/>
      <c r="H115" s="1319"/>
      <c r="I115" s="1319"/>
      <c r="J115" s="1319"/>
      <c r="K115" s="1319"/>
      <c r="L115" s="1319"/>
      <c r="M115" s="1319"/>
      <c r="N115" s="1319"/>
      <c r="O115" s="1319"/>
      <c r="P115" s="1319"/>
      <c r="Q115" s="1319"/>
      <c r="R115" s="1319"/>
      <c r="S115" s="1319"/>
      <c r="T115" s="1319"/>
      <c r="U115" s="1319"/>
      <c r="V115" s="1319"/>
      <c r="W115" s="1319"/>
      <c r="X115" s="1319"/>
      <c r="Y115" s="1319"/>
    </row>
    <row r="116" spans="6:25" ht="16.5" customHeight="1">
      <c r="F116" s="1319"/>
      <c r="G116" s="1319"/>
      <c r="H116" s="1319"/>
      <c r="I116" s="1319"/>
      <c r="J116" s="1319"/>
      <c r="K116" s="1319"/>
      <c r="L116" s="1319"/>
      <c r="M116" s="1319"/>
      <c r="N116" s="1319"/>
      <c r="O116" s="1319"/>
      <c r="P116" s="1319"/>
      <c r="Q116" s="1319"/>
      <c r="R116" s="1319"/>
      <c r="S116" s="1319"/>
      <c r="T116" s="1319"/>
      <c r="U116" s="1319"/>
      <c r="V116" s="1319"/>
      <c r="W116" s="1319"/>
      <c r="X116" s="1319"/>
      <c r="Y116" s="1319"/>
    </row>
    <row r="117" spans="6:25" ht="16.5" customHeight="1">
      <c r="F117" s="1319"/>
      <c r="G117" s="1319"/>
      <c r="H117" s="1319"/>
      <c r="I117" s="1319"/>
      <c r="J117" s="1319"/>
      <c r="K117" s="1319"/>
      <c r="L117" s="1319"/>
      <c r="M117" s="1319"/>
      <c r="N117" s="1319"/>
      <c r="O117" s="1319"/>
      <c r="P117" s="1319"/>
      <c r="Q117" s="1319"/>
      <c r="R117" s="1319"/>
      <c r="S117" s="1319"/>
      <c r="T117" s="1319"/>
      <c r="U117" s="1319"/>
      <c r="V117" s="1319"/>
      <c r="W117" s="1319"/>
      <c r="X117" s="1319"/>
      <c r="Y117" s="1319"/>
    </row>
    <row r="118" spans="6:25" ht="16.5" customHeight="1">
      <c r="F118" s="1319"/>
      <c r="G118" s="1319"/>
      <c r="H118" s="1319"/>
      <c r="I118" s="1319"/>
      <c r="J118" s="1319"/>
      <c r="K118" s="1319"/>
      <c r="L118" s="1319"/>
      <c r="M118" s="1319"/>
      <c r="N118" s="1319"/>
      <c r="O118" s="1319"/>
      <c r="P118" s="1319"/>
      <c r="Q118" s="1319"/>
      <c r="R118" s="1319"/>
      <c r="S118" s="1319"/>
      <c r="T118" s="1319"/>
      <c r="U118" s="1319"/>
      <c r="V118" s="1319"/>
      <c r="W118" s="1319"/>
      <c r="X118" s="1319"/>
      <c r="Y118" s="1319"/>
    </row>
    <row r="119" spans="6:25" ht="16.5" customHeight="1">
      <c r="F119" s="1319"/>
      <c r="G119" s="1319"/>
      <c r="H119" s="1319"/>
      <c r="I119" s="1319"/>
      <c r="J119" s="1319"/>
      <c r="K119" s="1319"/>
      <c r="L119" s="1319"/>
      <c r="M119" s="1319"/>
      <c r="N119" s="1319"/>
      <c r="O119" s="1319"/>
      <c r="P119" s="1319"/>
      <c r="Q119" s="1319"/>
      <c r="R119" s="1319"/>
      <c r="S119" s="1319"/>
      <c r="T119" s="1319"/>
      <c r="U119" s="1319"/>
      <c r="V119" s="1319"/>
      <c r="W119" s="1319"/>
      <c r="X119" s="1319"/>
      <c r="Y119" s="1319"/>
    </row>
    <row r="120" spans="6:25" ht="16.5" customHeight="1">
      <c r="F120" s="1319"/>
      <c r="G120" s="1319"/>
      <c r="H120" s="1319"/>
      <c r="I120" s="1319"/>
      <c r="J120" s="1319"/>
      <c r="K120" s="1319"/>
      <c r="L120" s="1319"/>
      <c r="M120" s="1319"/>
      <c r="N120" s="1319"/>
      <c r="O120" s="1319"/>
      <c r="P120" s="1319"/>
      <c r="Q120" s="1319"/>
      <c r="R120" s="1319"/>
      <c r="S120" s="1319"/>
      <c r="T120" s="1319"/>
      <c r="U120" s="1319"/>
      <c r="V120" s="1319"/>
      <c r="W120" s="1319"/>
      <c r="X120" s="1319"/>
      <c r="Y120" s="1319"/>
    </row>
    <row r="121" spans="6:25" ht="16.5" customHeight="1">
      <c r="F121" s="1319"/>
      <c r="G121" s="1319"/>
      <c r="H121" s="1319"/>
      <c r="I121" s="1319"/>
      <c r="J121" s="1319"/>
      <c r="K121" s="1319"/>
      <c r="L121" s="1319"/>
      <c r="M121" s="1319"/>
      <c r="N121" s="1319"/>
      <c r="O121" s="1319"/>
      <c r="P121" s="1319"/>
      <c r="Q121" s="1319"/>
      <c r="R121" s="1319"/>
      <c r="S121" s="1319"/>
      <c r="T121" s="1319"/>
      <c r="U121" s="1319"/>
      <c r="V121" s="1319"/>
      <c r="W121" s="1319"/>
      <c r="X121" s="1319"/>
      <c r="Y121" s="1319"/>
    </row>
    <row r="122" spans="6:25" ht="16.5" customHeight="1">
      <c r="F122" s="1319"/>
      <c r="G122" s="1319"/>
      <c r="H122" s="1319"/>
      <c r="I122" s="1319"/>
      <c r="J122" s="1319"/>
      <c r="K122" s="1319"/>
      <c r="L122" s="1319"/>
      <c r="M122" s="1319"/>
      <c r="N122" s="1319"/>
      <c r="O122" s="1319"/>
      <c r="P122" s="1319"/>
      <c r="Q122" s="1319"/>
      <c r="R122" s="1319"/>
      <c r="S122" s="1319"/>
      <c r="T122" s="1319"/>
      <c r="U122" s="1319"/>
      <c r="V122" s="1319"/>
      <c r="W122" s="1319"/>
      <c r="X122" s="1319"/>
      <c r="Y122" s="1319"/>
    </row>
    <row r="123" spans="6:25" ht="16.5" customHeight="1">
      <c r="F123" s="1319"/>
      <c r="G123" s="1319"/>
      <c r="H123" s="1319"/>
      <c r="I123" s="1319"/>
      <c r="J123" s="1319"/>
      <c r="K123" s="1319"/>
      <c r="L123" s="1319"/>
      <c r="M123" s="1319"/>
      <c r="N123" s="1319"/>
      <c r="O123" s="1319"/>
      <c r="P123" s="1319"/>
      <c r="Q123" s="1319"/>
      <c r="R123" s="1319"/>
      <c r="S123" s="1319"/>
      <c r="T123" s="1319"/>
      <c r="U123" s="1319"/>
      <c r="V123" s="1319"/>
      <c r="W123" s="1319"/>
      <c r="X123" s="1319"/>
      <c r="Y123" s="1319"/>
    </row>
    <row r="124" spans="6:25" ht="16.5" customHeight="1">
      <c r="F124" s="1319"/>
      <c r="G124" s="1319"/>
      <c r="H124" s="1319"/>
      <c r="I124" s="1319"/>
      <c r="J124" s="1319"/>
      <c r="K124" s="1319"/>
      <c r="L124" s="1319"/>
      <c r="M124" s="1319"/>
      <c r="N124" s="1319"/>
      <c r="O124" s="1319"/>
      <c r="P124" s="1319"/>
      <c r="Q124" s="1319"/>
      <c r="R124" s="1319"/>
      <c r="S124" s="1319"/>
      <c r="T124" s="1319"/>
      <c r="U124" s="1319"/>
      <c r="V124" s="1319"/>
      <c r="W124" s="1319"/>
      <c r="X124" s="1319"/>
      <c r="Y124" s="1319"/>
    </row>
    <row r="125" spans="6:25" ht="16.5" customHeight="1">
      <c r="F125" s="1319"/>
      <c r="G125" s="1319"/>
      <c r="H125" s="1319"/>
      <c r="I125" s="1319"/>
      <c r="J125" s="1319"/>
      <c r="K125" s="1319"/>
      <c r="L125" s="1319"/>
      <c r="M125" s="1319"/>
      <c r="N125" s="1319"/>
      <c r="O125" s="1319"/>
      <c r="P125" s="1319"/>
      <c r="Q125" s="1319"/>
      <c r="R125" s="1319"/>
      <c r="S125" s="1319"/>
      <c r="T125" s="1319"/>
      <c r="U125" s="1319"/>
      <c r="V125" s="1319"/>
      <c r="W125" s="1319"/>
      <c r="X125" s="1319"/>
      <c r="Y125" s="1319"/>
    </row>
    <row r="126" spans="6:25" ht="16.5" customHeight="1">
      <c r="F126" s="1319"/>
      <c r="G126" s="1319"/>
      <c r="H126" s="1319"/>
      <c r="I126" s="1319"/>
      <c r="J126" s="1319"/>
      <c r="K126" s="1319"/>
      <c r="L126" s="1319"/>
      <c r="M126" s="1319"/>
      <c r="N126" s="1319"/>
      <c r="O126" s="1319"/>
      <c r="P126" s="1319"/>
      <c r="Q126" s="1319"/>
      <c r="R126" s="1319"/>
      <c r="S126" s="1319"/>
      <c r="T126" s="1319"/>
      <c r="U126" s="1319"/>
      <c r="V126" s="1319"/>
      <c r="W126" s="1319"/>
      <c r="X126" s="1319"/>
      <c r="Y126" s="1319"/>
    </row>
    <row r="127" spans="6:25" ht="16.5" customHeight="1">
      <c r="F127" s="1319"/>
      <c r="G127" s="1319"/>
      <c r="H127" s="1319"/>
      <c r="I127" s="1319"/>
      <c r="J127" s="1319"/>
      <c r="K127" s="1319"/>
      <c r="L127" s="1319"/>
      <c r="M127" s="1319"/>
      <c r="N127" s="1319"/>
      <c r="O127" s="1319"/>
      <c r="P127" s="1319"/>
      <c r="Q127" s="1319"/>
      <c r="R127" s="1319"/>
      <c r="S127" s="1319"/>
      <c r="T127" s="1319"/>
      <c r="U127" s="1319"/>
      <c r="V127" s="1319"/>
      <c r="W127" s="1319"/>
      <c r="X127" s="1319"/>
      <c r="Y127" s="1319"/>
    </row>
    <row r="128" spans="6:25" ht="16.5" customHeight="1">
      <c r="F128" s="1319"/>
      <c r="G128" s="1319"/>
      <c r="H128" s="1319"/>
      <c r="I128" s="1319"/>
      <c r="J128" s="1319"/>
      <c r="K128" s="1319"/>
      <c r="L128" s="1319"/>
      <c r="M128" s="1319"/>
      <c r="N128" s="1319"/>
      <c r="O128" s="1319"/>
      <c r="P128" s="1319"/>
      <c r="Q128" s="1319"/>
      <c r="R128" s="1319"/>
      <c r="S128" s="1319"/>
      <c r="T128" s="1319"/>
      <c r="U128" s="1319"/>
      <c r="V128" s="1319"/>
      <c r="W128" s="1319"/>
      <c r="X128" s="1319"/>
      <c r="Y128" s="1319"/>
    </row>
    <row r="129" spans="6:25" ht="16.5" customHeight="1">
      <c r="F129" s="1319"/>
      <c r="G129" s="1319"/>
      <c r="H129" s="1319"/>
      <c r="I129" s="1319"/>
      <c r="J129" s="1319"/>
      <c r="K129" s="1319"/>
      <c r="L129" s="1319"/>
      <c r="M129" s="1319"/>
      <c r="N129" s="1319"/>
      <c r="O129" s="1319"/>
      <c r="P129" s="1319"/>
      <c r="Q129" s="1319"/>
      <c r="R129" s="1319"/>
      <c r="S129" s="1319"/>
      <c r="T129" s="1319"/>
      <c r="U129" s="1319"/>
      <c r="V129" s="1319"/>
      <c r="W129" s="1319"/>
      <c r="X129" s="1319"/>
      <c r="Y129" s="1319"/>
    </row>
    <row r="130" spans="6:25" ht="16.5" customHeight="1">
      <c r="F130" s="1319"/>
      <c r="G130" s="1319"/>
      <c r="H130" s="1319"/>
      <c r="I130" s="1319"/>
      <c r="J130" s="1319"/>
      <c r="K130" s="1319"/>
      <c r="L130" s="1319"/>
      <c r="M130" s="1319"/>
      <c r="N130" s="1319"/>
      <c r="O130" s="1319"/>
      <c r="P130" s="1319"/>
      <c r="Q130" s="1319"/>
      <c r="R130" s="1319"/>
      <c r="S130" s="1319"/>
      <c r="T130" s="1319"/>
      <c r="U130" s="1319"/>
      <c r="V130" s="1319"/>
      <c r="W130" s="1319"/>
      <c r="X130" s="1319"/>
      <c r="Y130" s="1319"/>
    </row>
    <row r="131" spans="6:25" ht="16.5" customHeight="1">
      <c r="F131" s="1319"/>
      <c r="G131" s="1319"/>
      <c r="H131" s="1319"/>
      <c r="I131" s="1319"/>
      <c r="J131" s="1319"/>
      <c r="K131" s="1319"/>
      <c r="L131" s="1319"/>
      <c r="M131" s="1319"/>
      <c r="N131" s="1319"/>
      <c r="O131" s="1319"/>
      <c r="P131" s="1319"/>
      <c r="Q131" s="1319"/>
      <c r="R131" s="1319"/>
      <c r="S131" s="1319"/>
      <c r="T131" s="1319"/>
      <c r="U131" s="1319"/>
      <c r="V131" s="1319"/>
      <c r="W131" s="1319"/>
      <c r="X131" s="1319"/>
      <c r="Y131" s="1319"/>
    </row>
    <row r="132" spans="6:25" ht="16.5" customHeight="1">
      <c r="F132" s="1319"/>
      <c r="G132" s="1319"/>
      <c r="H132" s="1319"/>
      <c r="I132" s="1319"/>
      <c r="J132" s="1319"/>
      <c r="K132" s="1319"/>
      <c r="L132" s="1319"/>
      <c r="M132" s="1319"/>
      <c r="N132" s="1319"/>
      <c r="O132" s="1319"/>
      <c r="P132" s="1319"/>
      <c r="Q132" s="1319"/>
      <c r="R132" s="1319"/>
      <c r="S132" s="1319"/>
      <c r="T132" s="1319"/>
      <c r="U132" s="1319"/>
      <c r="V132" s="1319"/>
      <c r="W132" s="1319"/>
      <c r="X132" s="1319"/>
      <c r="Y132" s="1319"/>
    </row>
    <row r="133" spans="6:25" ht="16.5" customHeight="1">
      <c r="F133" s="1319"/>
      <c r="G133" s="1319"/>
      <c r="H133" s="1319"/>
      <c r="I133" s="1319"/>
      <c r="J133" s="1319"/>
      <c r="K133" s="1319"/>
      <c r="L133" s="1319"/>
      <c r="M133" s="1319"/>
      <c r="N133" s="1319"/>
      <c r="O133" s="1319"/>
      <c r="P133" s="1319"/>
      <c r="Q133" s="1319"/>
      <c r="R133" s="1319"/>
      <c r="S133" s="1319"/>
      <c r="T133" s="1319"/>
      <c r="U133" s="1319"/>
      <c r="V133" s="1319"/>
      <c r="W133" s="1319"/>
      <c r="X133" s="1319"/>
      <c r="Y133" s="1319"/>
    </row>
    <row r="134" spans="6:25" ht="16.5" customHeight="1">
      <c r="F134" s="1319"/>
      <c r="G134" s="1319"/>
      <c r="H134" s="1319"/>
      <c r="I134" s="1319"/>
      <c r="J134" s="1319"/>
      <c r="K134" s="1319"/>
      <c r="L134" s="1319"/>
      <c r="M134" s="1319"/>
      <c r="N134" s="1319"/>
      <c r="O134" s="1319"/>
      <c r="P134" s="1319"/>
      <c r="Q134" s="1319"/>
      <c r="R134" s="1319"/>
      <c r="S134" s="1319"/>
      <c r="T134" s="1319"/>
      <c r="U134" s="1319"/>
      <c r="V134" s="1319"/>
      <c r="W134" s="1319"/>
      <c r="X134" s="1319"/>
      <c r="Y134" s="1319"/>
    </row>
    <row r="135" spans="6:25" ht="16.5" customHeight="1">
      <c r="F135" s="1319"/>
      <c r="G135" s="1319"/>
      <c r="H135" s="1319"/>
      <c r="I135" s="1319"/>
      <c r="J135" s="1319"/>
      <c r="K135" s="1319"/>
      <c r="L135" s="1319"/>
      <c r="M135" s="1319"/>
      <c r="N135" s="1319"/>
      <c r="O135" s="1319"/>
      <c r="P135" s="1319"/>
      <c r="Q135" s="1319"/>
      <c r="R135" s="1319"/>
      <c r="S135" s="1319"/>
      <c r="T135" s="1319"/>
      <c r="U135" s="1319"/>
      <c r="V135" s="1319"/>
      <c r="W135" s="1319"/>
      <c r="X135" s="1319"/>
      <c r="Y135" s="1319"/>
    </row>
    <row r="136" spans="6:25" ht="16.5" customHeight="1">
      <c r="F136" s="1319"/>
      <c r="G136" s="1319"/>
      <c r="H136" s="1319"/>
      <c r="I136" s="1319"/>
      <c r="J136" s="1319"/>
      <c r="K136" s="1319"/>
      <c r="L136" s="1319"/>
      <c r="M136" s="1319"/>
      <c r="N136" s="1319"/>
      <c r="O136" s="1319"/>
      <c r="P136" s="1319"/>
      <c r="Q136" s="1319"/>
      <c r="R136" s="1319"/>
      <c r="S136" s="1319"/>
      <c r="T136" s="1319"/>
      <c r="U136" s="1319"/>
      <c r="V136" s="1319"/>
      <c r="W136" s="1319"/>
      <c r="X136" s="1319"/>
      <c r="Y136" s="1319"/>
    </row>
    <row r="137" spans="6:25" ht="16.5" customHeight="1">
      <c r="F137" s="1319"/>
      <c r="G137" s="1319"/>
      <c r="H137" s="1319"/>
      <c r="I137" s="1319"/>
      <c r="J137" s="1319"/>
      <c r="K137" s="1319"/>
      <c r="L137" s="1319"/>
      <c r="M137" s="1319"/>
      <c r="N137" s="1319"/>
      <c r="O137" s="1319"/>
      <c r="P137" s="1319"/>
      <c r="Q137" s="1319"/>
      <c r="R137" s="1319"/>
      <c r="S137" s="1319"/>
      <c r="T137" s="1319"/>
      <c r="U137" s="1319"/>
      <c r="V137" s="1319"/>
      <c r="W137" s="1319"/>
      <c r="X137" s="1319"/>
      <c r="Y137" s="1319"/>
    </row>
    <row r="138" spans="6:25" ht="16.5" customHeight="1">
      <c r="F138" s="1319"/>
      <c r="G138" s="1319"/>
      <c r="H138" s="1319"/>
      <c r="I138" s="1319"/>
      <c r="J138" s="1319"/>
      <c r="K138" s="1319"/>
      <c r="L138" s="1319"/>
      <c r="M138" s="1319"/>
      <c r="N138" s="1319"/>
      <c r="O138" s="1319"/>
      <c r="P138" s="1319"/>
      <c r="Q138" s="1319"/>
      <c r="R138" s="1319"/>
      <c r="S138" s="1319"/>
      <c r="T138" s="1319"/>
      <c r="U138" s="1319"/>
      <c r="V138" s="1319"/>
      <c r="W138" s="1319"/>
      <c r="X138" s="1319"/>
      <c r="Y138" s="1319"/>
    </row>
    <row r="139" spans="6:25" ht="16.5" customHeight="1">
      <c r="F139" s="1319"/>
      <c r="G139" s="1319"/>
      <c r="H139" s="1319"/>
      <c r="I139" s="1319"/>
      <c r="J139" s="1319"/>
      <c r="K139" s="1319"/>
      <c r="L139" s="1319"/>
      <c r="M139" s="1319"/>
      <c r="N139" s="1319"/>
      <c r="O139" s="1319"/>
      <c r="P139" s="1319"/>
      <c r="Q139" s="1319"/>
      <c r="R139" s="1319"/>
      <c r="S139" s="1319"/>
      <c r="T139" s="1319"/>
      <c r="U139" s="1319"/>
      <c r="V139" s="1319"/>
      <c r="W139" s="1319"/>
      <c r="X139" s="1319"/>
      <c r="Y139" s="1319"/>
    </row>
    <row r="140" spans="6:25" ht="16.5" customHeight="1">
      <c r="F140" s="1319"/>
      <c r="G140" s="1319"/>
      <c r="H140" s="1319"/>
      <c r="I140" s="1319"/>
      <c r="J140" s="1319"/>
      <c r="K140" s="1319"/>
      <c r="L140" s="1319"/>
      <c r="M140" s="1319"/>
      <c r="N140" s="1319"/>
      <c r="O140" s="1319"/>
      <c r="P140" s="1319"/>
      <c r="Q140" s="1319"/>
      <c r="R140" s="1319"/>
      <c r="S140" s="1319"/>
      <c r="T140" s="1319"/>
      <c r="U140" s="1319"/>
      <c r="V140" s="1319"/>
      <c r="W140" s="1319"/>
      <c r="X140" s="1319"/>
      <c r="Y140" s="1319"/>
    </row>
    <row r="141" spans="6:25" ht="16.5" customHeight="1">
      <c r="F141" s="1319"/>
      <c r="G141" s="1319"/>
      <c r="H141" s="1319"/>
      <c r="I141" s="1319"/>
      <c r="J141" s="1319"/>
      <c r="K141" s="1319"/>
      <c r="L141" s="1319"/>
      <c r="M141" s="1319"/>
      <c r="N141" s="1319"/>
      <c r="O141" s="1319"/>
      <c r="P141" s="1319"/>
      <c r="Q141" s="1319"/>
      <c r="R141" s="1319"/>
      <c r="S141" s="1319"/>
      <c r="T141" s="1319"/>
      <c r="U141" s="1319"/>
      <c r="V141" s="1319"/>
      <c r="W141" s="1319"/>
      <c r="X141" s="1319"/>
      <c r="Y141" s="1319"/>
    </row>
    <row r="142" spans="6:25" ht="16.5" customHeight="1">
      <c r="F142" s="1319"/>
      <c r="G142" s="1319"/>
      <c r="H142" s="1319"/>
      <c r="I142" s="1319"/>
      <c r="J142" s="1319"/>
      <c r="K142" s="1319"/>
      <c r="L142" s="1319"/>
      <c r="M142" s="1319"/>
      <c r="N142" s="1319"/>
      <c r="O142" s="1319"/>
      <c r="P142" s="1319"/>
      <c r="Q142" s="1319"/>
      <c r="R142" s="1319"/>
      <c r="S142" s="1319"/>
      <c r="T142" s="1319"/>
      <c r="U142" s="1319"/>
      <c r="V142" s="1319"/>
      <c r="W142" s="1319"/>
      <c r="X142" s="1319"/>
      <c r="Y142" s="1319"/>
    </row>
    <row r="143" spans="6:25" ht="16.5" customHeight="1">
      <c r="F143" s="1319"/>
      <c r="G143" s="1319"/>
      <c r="H143" s="1319"/>
      <c r="I143" s="1319"/>
      <c r="J143" s="1319"/>
      <c r="K143" s="1319"/>
      <c r="L143" s="1319"/>
      <c r="M143" s="1319"/>
      <c r="N143" s="1319"/>
      <c r="O143" s="1319"/>
      <c r="P143" s="1319"/>
      <c r="Q143" s="1319"/>
      <c r="R143" s="1319"/>
      <c r="S143" s="1319"/>
      <c r="T143" s="1319"/>
      <c r="U143" s="1319"/>
      <c r="V143" s="1319"/>
      <c r="W143" s="1319"/>
      <c r="X143" s="1319"/>
      <c r="Y143" s="1319"/>
    </row>
    <row r="144" spans="6:25" ht="16.5" customHeight="1">
      <c r="F144" s="1319"/>
      <c r="G144" s="1319"/>
      <c r="H144" s="1319"/>
      <c r="I144" s="1319"/>
      <c r="J144" s="1319"/>
      <c r="K144" s="1319"/>
      <c r="L144" s="1319"/>
      <c r="M144" s="1319"/>
      <c r="N144" s="1319"/>
      <c r="O144" s="1319"/>
      <c r="P144" s="1319"/>
      <c r="Q144" s="1319"/>
      <c r="R144" s="1319"/>
      <c r="S144" s="1319"/>
      <c r="T144" s="1319"/>
      <c r="U144" s="1319"/>
      <c r="V144" s="1319"/>
      <c r="W144" s="1319"/>
      <c r="X144" s="1319"/>
      <c r="Y144" s="1319"/>
    </row>
    <row r="145" spans="6:25" ht="16.5" customHeight="1">
      <c r="F145" s="1319"/>
      <c r="G145" s="1319"/>
      <c r="H145" s="1319"/>
      <c r="I145" s="1319"/>
      <c r="J145" s="1319"/>
      <c r="K145" s="1319"/>
      <c r="L145" s="1319"/>
      <c r="M145" s="1319"/>
      <c r="N145" s="1319"/>
      <c r="O145" s="1319"/>
      <c r="P145" s="1319"/>
      <c r="Q145" s="1319"/>
      <c r="R145" s="1319"/>
      <c r="S145" s="1319"/>
      <c r="T145" s="1319"/>
      <c r="U145" s="1319"/>
      <c r="V145" s="1319"/>
      <c r="W145" s="1319"/>
      <c r="X145" s="1319"/>
      <c r="Y145" s="1319"/>
    </row>
    <row r="146" spans="6:25" ht="16.5" customHeight="1">
      <c r="F146" s="1319"/>
      <c r="G146" s="1319"/>
      <c r="H146" s="1319"/>
      <c r="I146" s="1319"/>
      <c r="J146" s="1319"/>
      <c r="K146" s="1319"/>
      <c r="L146" s="1319"/>
      <c r="M146" s="1319"/>
      <c r="N146" s="1319"/>
      <c r="O146" s="1319"/>
      <c r="P146" s="1319"/>
      <c r="Q146" s="1319"/>
      <c r="R146" s="1319"/>
      <c r="S146" s="1319"/>
      <c r="T146" s="1319"/>
      <c r="U146" s="1319"/>
      <c r="V146" s="1319"/>
      <c r="W146" s="1319"/>
      <c r="X146" s="1319"/>
      <c r="Y146" s="1319"/>
    </row>
    <row r="147" spans="6:25" ht="16.5" customHeight="1">
      <c r="F147" s="1319"/>
      <c r="G147" s="1319"/>
      <c r="H147" s="1319"/>
      <c r="I147" s="1319"/>
      <c r="J147" s="1319"/>
      <c r="K147" s="1319"/>
      <c r="L147" s="1319"/>
      <c r="M147" s="1319"/>
      <c r="N147" s="1319"/>
      <c r="O147" s="1319"/>
      <c r="P147" s="1319"/>
      <c r="Q147" s="1319"/>
      <c r="R147" s="1319"/>
      <c r="S147" s="1319"/>
      <c r="T147" s="1319"/>
      <c r="U147" s="1319"/>
      <c r="V147" s="1319"/>
      <c r="W147" s="1319"/>
      <c r="X147" s="1319"/>
      <c r="Y147" s="1319"/>
    </row>
    <row r="148" spans="6:25" ht="16.5" customHeight="1">
      <c r="F148" s="1319"/>
      <c r="G148" s="1319"/>
      <c r="H148" s="1319"/>
      <c r="I148" s="1319"/>
      <c r="J148" s="1319"/>
      <c r="K148" s="1319"/>
      <c r="L148" s="1319"/>
      <c r="M148" s="1319"/>
      <c r="N148" s="1319"/>
      <c r="O148" s="1319"/>
      <c r="P148" s="1319"/>
      <c r="Q148" s="1319"/>
      <c r="R148" s="1319"/>
      <c r="S148" s="1319"/>
      <c r="T148" s="1319"/>
      <c r="U148" s="1319"/>
      <c r="V148" s="1319"/>
      <c r="W148" s="1319"/>
      <c r="X148" s="1319"/>
      <c r="Y148" s="1319"/>
    </row>
    <row r="149" spans="6:25" ht="16.5" customHeight="1">
      <c r="F149" s="1319"/>
      <c r="G149" s="1319"/>
      <c r="H149" s="1319"/>
      <c r="I149" s="1319"/>
      <c r="J149" s="1319"/>
      <c r="K149" s="1319"/>
      <c r="L149" s="1319"/>
      <c r="M149" s="1319"/>
      <c r="N149" s="1319"/>
      <c r="O149" s="1319"/>
      <c r="P149" s="1319"/>
      <c r="Q149" s="1319"/>
      <c r="R149" s="1319"/>
      <c r="S149" s="1319"/>
      <c r="T149" s="1319"/>
      <c r="U149" s="1319"/>
      <c r="V149" s="1319"/>
      <c r="W149" s="1319"/>
      <c r="X149" s="1319"/>
      <c r="Y149" s="1319"/>
    </row>
    <row r="150" spans="6:25" ht="16.5" customHeight="1">
      <c r="F150" s="1319"/>
      <c r="G150" s="1319"/>
      <c r="H150" s="1319"/>
      <c r="I150" s="1319"/>
      <c r="J150" s="1319"/>
      <c r="K150" s="1319"/>
      <c r="L150" s="1319"/>
      <c r="M150" s="1319"/>
      <c r="N150" s="1319"/>
      <c r="O150" s="1319"/>
      <c r="P150" s="1319"/>
      <c r="Q150" s="1319"/>
      <c r="R150" s="1319"/>
      <c r="S150" s="1319"/>
      <c r="T150" s="1319"/>
      <c r="U150" s="1319"/>
      <c r="V150" s="1319"/>
      <c r="W150" s="1319"/>
      <c r="X150" s="1319"/>
      <c r="Y150" s="1319"/>
    </row>
    <row r="151" spans="6:25" ht="16.5" customHeight="1">
      <c r="F151" s="1319"/>
      <c r="G151" s="1319"/>
      <c r="H151" s="1319"/>
      <c r="I151" s="1319"/>
      <c r="J151" s="1319"/>
      <c r="K151" s="1319"/>
      <c r="L151" s="1319"/>
      <c r="M151" s="1319"/>
      <c r="N151" s="1319"/>
      <c r="O151" s="1319"/>
      <c r="P151" s="1319"/>
      <c r="Q151" s="1319"/>
      <c r="R151" s="1319"/>
      <c r="S151" s="1319"/>
      <c r="T151" s="1319"/>
      <c r="U151" s="1319"/>
      <c r="V151" s="1319"/>
      <c r="W151" s="1319"/>
      <c r="X151" s="1319"/>
      <c r="Y151" s="1319"/>
    </row>
    <row r="152" spans="6:25" ht="16.5" customHeight="1">
      <c r="F152" s="1319"/>
      <c r="G152" s="1319"/>
      <c r="H152" s="1319"/>
      <c r="I152" s="1319"/>
      <c r="J152" s="1319"/>
      <c r="K152" s="1319"/>
      <c r="L152" s="1319"/>
      <c r="M152" s="1319"/>
      <c r="N152" s="1319"/>
      <c r="O152" s="1319"/>
      <c r="P152" s="1319"/>
      <c r="Q152" s="1319"/>
      <c r="R152" s="1319"/>
      <c r="S152" s="1319"/>
      <c r="T152" s="1319"/>
      <c r="U152" s="1319"/>
      <c r="V152" s="1319"/>
      <c r="W152" s="1319"/>
      <c r="X152" s="1319"/>
      <c r="Y152" s="1319"/>
    </row>
    <row r="153" spans="6:25" ht="16.5" customHeight="1">
      <c r="F153" s="1319"/>
      <c r="G153" s="1319"/>
      <c r="H153" s="1319"/>
      <c r="I153" s="1319"/>
      <c r="J153" s="1319"/>
      <c r="K153" s="1319"/>
      <c r="L153" s="1319"/>
      <c r="M153" s="1319"/>
      <c r="N153" s="1319"/>
      <c r="O153" s="1319"/>
      <c r="P153" s="1319"/>
      <c r="Q153" s="1319"/>
      <c r="R153" s="1319"/>
      <c r="S153" s="1319"/>
      <c r="T153" s="1319"/>
      <c r="U153" s="1319"/>
      <c r="V153" s="1319"/>
      <c r="W153" s="1319"/>
      <c r="X153" s="1319"/>
      <c r="Y153" s="1319"/>
    </row>
    <row r="154" spans="6:25" ht="16.5" customHeight="1">
      <c r="F154" s="1319"/>
      <c r="G154" s="1319"/>
      <c r="H154" s="1319"/>
      <c r="I154" s="1319"/>
      <c r="J154" s="1319"/>
      <c r="K154" s="1319"/>
      <c r="L154" s="1319"/>
      <c r="M154" s="1319"/>
      <c r="N154" s="1319"/>
      <c r="O154" s="1319"/>
      <c r="P154" s="1319"/>
      <c r="Q154" s="1319"/>
      <c r="R154" s="1319"/>
      <c r="S154" s="1319"/>
      <c r="T154" s="1319"/>
      <c r="U154" s="1319"/>
      <c r="V154" s="1319"/>
      <c r="W154" s="1319"/>
      <c r="X154" s="1319"/>
      <c r="Y154" s="1319"/>
    </row>
    <row r="155" spans="6:25" ht="16.5" customHeight="1">
      <c r="F155" s="1319"/>
      <c r="G155" s="1319"/>
      <c r="H155" s="1319"/>
      <c r="I155" s="1319"/>
      <c r="J155" s="1319"/>
      <c r="K155" s="1319"/>
      <c r="L155" s="1319"/>
      <c r="M155" s="1319"/>
      <c r="N155" s="1319"/>
      <c r="O155" s="1319"/>
      <c r="P155" s="1319"/>
      <c r="Q155" s="1319"/>
      <c r="R155" s="1319"/>
      <c r="S155" s="1319"/>
      <c r="T155" s="1319"/>
      <c r="U155" s="1319"/>
      <c r="V155" s="1319"/>
      <c r="W155" s="1319"/>
      <c r="X155" s="1319"/>
      <c r="Y155" s="1319"/>
    </row>
    <row r="156" spans="6:25" ht="16.5" customHeight="1">
      <c r="F156" s="1319"/>
      <c r="G156" s="1319"/>
      <c r="H156" s="1319"/>
      <c r="I156" s="1319"/>
      <c r="J156" s="1319"/>
      <c r="K156" s="1319"/>
      <c r="L156" s="1319"/>
      <c r="M156" s="1319"/>
      <c r="N156" s="1319"/>
      <c r="O156" s="1319"/>
      <c r="P156" s="1319"/>
      <c r="Q156" s="1319"/>
      <c r="R156" s="1319"/>
      <c r="S156" s="1319"/>
      <c r="T156" s="1319"/>
      <c r="U156" s="1319"/>
      <c r="V156" s="1319"/>
      <c r="W156" s="1319"/>
      <c r="X156" s="1319"/>
      <c r="Y156" s="1319"/>
    </row>
    <row r="157" spans="6:25" ht="16.5" customHeight="1">
      <c r="F157" s="1319"/>
      <c r="G157" s="1319"/>
      <c r="H157" s="1319"/>
      <c r="I157" s="1319"/>
      <c r="J157" s="1319"/>
      <c r="K157" s="1319"/>
      <c r="L157" s="1319"/>
      <c r="M157" s="1319"/>
      <c r="N157" s="1319"/>
      <c r="O157" s="1319"/>
      <c r="P157" s="1319"/>
      <c r="Q157" s="1319"/>
      <c r="R157" s="1319"/>
      <c r="S157" s="1319"/>
      <c r="T157" s="1319"/>
      <c r="U157" s="1319"/>
      <c r="V157" s="1319"/>
      <c r="W157" s="1319"/>
      <c r="X157" s="1319"/>
      <c r="Y157" s="1319"/>
    </row>
    <row r="158" spans="6:25" ht="16.5" customHeight="1">
      <c r="F158" s="1319"/>
      <c r="G158" s="1319"/>
      <c r="H158" s="1319"/>
      <c r="I158" s="1319"/>
      <c r="J158" s="1319"/>
      <c r="K158" s="1319"/>
      <c r="L158" s="1319"/>
      <c r="M158" s="1319"/>
      <c r="N158" s="1319"/>
      <c r="O158" s="1319"/>
      <c r="P158" s="1319"/>
      <c r="Q158" s="1319"/>
      <c r="R158" s="1319"/>
      <c r="S158" s="1319"/>
      <c r="T158" s="1319"/>
      <c r="U158" s="1319"/>
      <c r="V158" s="1319"/>
      <c r="W158" s="1319"/>
      <c r="X158" s="1319"/>
      <c r="Y158" s="1319"/>
    </row>
    <row r="159" spans="6:25" ht="16.5" customHeight="1">
      <c r="F159" s="1319"/>
      <c r="G159" s="1319"/>
      <c r="H159" s="1319"/>
      <c r="I159" s="1319"/>
      <c r="J159" s="1319"/>
      <c r="K159" s="1319"/>
      <c r="L159" s="1319"/>
      <c r="M159" s="1319"/>
      <c r="N159" s="1319"/>
      <c r="O159" s="1319"/>
      <c r="P159" s="1319"/>
      <c r="Q159" s="1319"/>
      <c r="R159" s="1319"/>
      <c r="S159" s="1319"/>
      <c r="T159" s="1319"/>
      <c r="U159" s="1319"/>
      <c r="V159" s="1319"/>
      <c r="W159" s="1319"/>
      <c r="X159" s="1319"/>
      <c r="Y159" s="1319"/>
    </row>
  </sheetData>
  <sheetProtection/>
  <printOptions/>
  <pageMargins left="0.3937007874015748" right="0.42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Carola Giordano</cp:lastModifiedBy>
  <cp:lastPrinted>2014-06-09T13:42:28Z</cp:lastPrinted>
  <dcterms:created xsi:type="dcterms:W3CDTF">2011-08-01T18:34:41Z</dcterms:created>
  <dcterms:modified xsi:type="dcterms:W3CDTF">2014-07-31T14:49:09Z</dcterms:modified>
  <cp:category/>
  <cp:version/>
  <cp:contentType/>
  <cp:contentStatus/>
</cp:coreProperties>
</file>