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drawings/drawing6.xml" ContentType="application/vnd.openxmlformats-officedocument.drawing+xml"/>
  <Override PartName="/xl/ctrlProps/ctrlProp5.xml" ContentType="application/vnd.ms-excel.controlproperties+xml"/>
  <Override PartName="/xl/drawings/drawing7.xml" ContentType="application/vnd.openxmlformats-officedocument.drawing+xml"/>
  <Override PartName="/xl/ctrlProps/ctrlProp6.xml" ContentType="application/vnd.ms-excel.controlproperties+xml"/>
  <Override PartName="/xl/drawings/drawing8.xml" ContentType="application/vnd.openxmlformats-officedocument.drawing+xml"/>
  <Override PartName="/xl/ctrlProps/ctrlProp7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Y:\Transporte\Transporte\ARCHIVOS.XLS\P-transba\2016\"/>
    </mc:Choice>
  </mc:AlternateContent>
  <bookViews>
    <workbookView xWindow="-15" yWindow="3300" windowWidth="11970" windowHeight="3345" tabRatio="856"/>
  </bookViews>
  <sheets>
    <sheet name="TOT-0216" sheetId="17" r:id="rId1"/>
    <sheet name="LI-02 (1)" sheetId="36" r:id="rId2"/>
    <sheet name="LI-02 (2)" sheetId="37" r:id="rId3"/>
    <sheet name="T-02 (1)" sheetId="39" r:id="rId4"/>
    <sheet name="T-02 (2)" sheetId="40" r:id="rId5"/>
    <sheet name="SA-02 (1)" sheetId="41" r:id="rId6"/>
    <sheet name="SA-02 (2)" sheetId="42" r:id="rId7"/>
    <sheet name="RE-02 (1)" sheetId="50" r:id="rId8"/>
    <sheet name="DATO" sheetId="16" r:id="rId9"/>
  </sheets>
  <calcPr calcId="152511"/>
</workbook>
</file>

<file path=xl/calcChain.xml><?xml version="1.0" encoding="utf-8"?>
<calcChain xmlns="http://schemas.openxmlformats.org/spreadsheetml/2006/main">
  <c r="AB24" i="40" l="1"/>
  <c r="AA24" i="40"/>
  <c r="Y24" i="40"/>
  <c r="U24" i="40"/>
  <c r="T24" i="40"/>
  <c r="S24" i="40"/>
  <c r="W24" i="40" s="1"/>
  <c r="P24" i="40"/>
  <c r="X24" i="40" s="1"/>
  <c r="N24" i="40"/>
  <c r="M24" i="40"/>
  <c r="J24" i="40"/>
  <c r="AB41" i="39"/>
  <c r="AA41" i="39"/>
  <c r="Y41" i="39"/>
  <c r="U41" i="39"/>
  <c r="T41" i="39"/>
  <c r="S41" i="39"/>
  <c r="W41" i="39" s="1"/>
  <c r="P41" i="39"/>
  <c r="X41" i="39" s="1"/>
  <c r="N41" i="39"/>
  <c r="M41" i="39"/>
  <c r="J41" i="39"/>
  <c r="AB31" i="39"/>
  <c r="Z31" i="39"/>
  <c r="W31" i="39"/>
  <c r="U31" i="39"/>
  <c r="T31" i="39"/>
  <c r="P31" i="39"/>
  <c r="X31" i="39" s="1"/>
  <c r="N31" i="39"/>
  <c r="M31" i="39"/>
  <c r="J31" i="39"/>
  <c r="AB29" i="39"/>
  <c r="AA29" i="39"/>
  <c r="Y29" i="39"/>
  <c r="U29" i="39"/>
  <c r="T29" i="39"/>
  <c r="P29" i="39"/>
  <c r="X29" i="39" s="1"/>
  <c r="N29" i="39"/>
  <c r="M29" i="39"/>
  <c r="J29" i="39"/>
  <c r="Z24" i="40" l="1"/>
  <c r="V24" i="40"/>
  <c r="AC24" i="40" s="1"/>
  <c r="Z41" i="39"/>
  <c r="V41" i="39"/>
  <c r="V31" i="39"/>
  <c r="V29" i="39"/>
  <c r="I26" i="17"/>
  <c r="J16" i="50"/>
  <c r="T22" i="50" s="1"/>
  <c r="K30" i="50"/>
  <c r="K31" i="50"/>
  <c r="K32" i="50"/>
  <c r="K33" i="50"/>
  <c r="K34" i="50"/>
  <c r="K35" i="50"/>
  <c r="K36" i="50"/>
  <c r="K37" i="50"/>
  <c r="K38" i="50"/>
  <c r="K39" i="50"/>
  <c r="K40" i="50"/>
  <c r="K41" i="50"/>
  <c r="K42" i="50"/>
  <c r="K26" i="50"/>
  <c r="K27" i="50"/>
  <c r="K28" i="50"/>
  <c r="U22" i="50"/>
  <c r="V22" i="50"/>
  <c r="Y22" i="50"/>
  <c r="Z22" i="50"/>
  <c r="AA22" i="50"/>
  <c r="AB22" i="50"/>
  <c r="S22" i="50"/>
  <c r="R22" i="50"/>
  <c r="Q22" i="50"/>
  <c r="N22" i="50"/>
  <c r="O22" i="50"/>
  <c r="K22" i="50"/>
  <c r="K23" i="50"/>
  <c r="K24" i="50"/>
  <c r="K25" i="50"/>
  <c r="B14" i="50"/>
  <c r="B2" i="50"/>
  <c r="AD42" i="50"/>
  <c r="AC42" i="50"/>
  <c r="AB42" i="50"/>
  <c r="AA42" i="50"/>
  <c r="Z42" i="50"/>
  <c r="X42" i="50"/>
  <c r="V42" i="50"/>
  <c r="U42" i="50"/>
  <c r="S42" i="50"/>
  <c r="R42" i="50"/>
  <c r="Q42" i="50"/>
  <c r="Y42" i="50" s="1"/>
  <c r="O42" i="50"/>
  <c r="N42" i="50"/>
  <c r="AD41" i="50"/>
  <c r="AC41" i="50"/>
  <c r="AB41" i="50"/>
  <c r="AA41" i="50"/>
  <c r="Z41" i="50"/>
  <c r="X41" i="50"/>
  <c r="V41" i="50"/>
  <c r="U41" i="50"/>
  <c r="S41" i="50"/>
  <c r="R41" i="50"/>
  <c r="Q41" i="50"/>
  <c r="Y41" i="50" s="1"/>
  <c r="O41" i="50"/>
  <c r="N41" i="50"/>
  <c r="AD40" i="50"/>
  <c r="AC40" i="50"/>
  <c r="AB40" i="50"/>
  <c r="AA40" i="50"/>
  <c r="Z40" i="50"/>
  <c r="X40" i="50"/>
  <c r="V40" i="50"/>
  <c r="U40" i="50"/>
  <c r="S40" i="50"/>
  <c r="R40" i="50"/>
  <c r="Q40" i="50"/>
  <c r="Y40" i="50" s="1"/>
  <c r="O40" i="50"/>
  <c r="N40" i="50"/>
  <c r="AD39" i="50"/>
  <c r="AC39" i="50"/>
  <c r="AB39" i="50"/>
  <c r="AA39" i="50"/>
  <c r="Z39" i="50"/>
  <c r="X39" i="50"/>
  <c r="V39" i="50"/>
  <c r="U39" i="50"/>
  <c r="S39" i="50"/>
  <c r="R39" i="50"/>
  <c r="Q39" i="50"/>
  <c r="Y39" i="50" s="1"/>
  <c r="O39" i="50"/>
  <c r="N39" i="50"/>
  <c r="AD38" i="50"/>
  <c r="AC38" i="50"/>
  <c r="AB38" i="50"/>
  <c r="AA38" i="50"/>
  <c r="Z38" i="50"/>
  <c r="X38" i="50"/>
  <c r="V38" i="50"/>
  <c r="U38" i="50"/>
  <c r="S38" i="50"/>
  <c r="R38" i="50"/>
  <c r="Q38" i="50"/>
  <c r="Y38" i="50" s="1"/>
  <c r="O38" i="50"/>
  <c r="N38" i="50"/>
  <c r="AD37" i="50"/>
  <c r="AC37" i="50"/>
  <c r="AB37" i="50"/>
  <c r="AA37" i="50"/>
  <c r="Z37" i="50"/>
  <c r="X37" i="50"/>
  <c r="V37" i="50"/>
  <c r="U37" i="50"/>
  <c r="S37" i="50"/>
  <c r="R37" i="50"/>
  <c r="Q37" i="50"/>
  <c r="Y37" i="50" s="1"/>
  <c r="O37" i="50"/>
  <c r="N37" i="50"/>
  <c r="AD36" i="50"/>
  <c r="AC36" i="50"/>
  <c r="AB36" i="50"/>
  <c r="AA36" i="50"/>
  <c r="Z36" i="50"/>
  <c r="X36" i="50"/>
  <c r="V36" i="50"/>
  <c r="U36" i="50"/>
  <c r="S36" i="50"/>
  <c r="R36" i="50"/>
  <c r="Q36" i="50"/>
  <c r="Y36" i="50" s="1"/>
  <c r="O36" i="50"/>
  <c r="N36" i="50"/>
  <c r="AD35" i="50"/>
  <c r="AC35" i="50"/>
  <c r="AB35" i="50"/>
  <c r="AA35" i="50"/>
  <c r="Z35" i="50"/>
  <c r="X35" i="50"/>
  <c r="V35" i="50"/>
  <c r="U35" i="50"/>
  <c r="S35" i="50"/>
  <c r="R35" i="50"/>
  <c r="Q35" i="50"/>
  <c r="Y35" i="50" s="1"/>
  <c r="O35" i="50"/>
  <c r="N35" i="50"/>
  <c r="AD34" i="50"/>
  <c r="AC34" i="50"/>
  <c r="AB34" i="50"/>
  <c r="AA34" i="50"/>
  <c r="Z34" i="50"/>
  <c r="X34" i="50"/>
  <c r="V34" i="50"/>
  <c r="U34" i="50"/>
  <c r="S34" i="50"/>
  <c r="R34" i="50"/>
  <c r="Q34" i="50"/>
  <c r="Y34" i="50" s="1"/>
  <c r="O34" i="50"/>
  <c r="N34" i="50"/>
  <c r="AD33" i="50"/>
  <c r="AC33" i="50"/>
  <c r="AB33" i="50"/>
  <c r="AA33" i="50"/>
  <c r="Z33" i="50"/>
  <c r="X33" i="50"/>
  <c r="V33" i="50"/>
  <c r="U33" i="50"/>
  <c r="S33" i="50"/>
  <c r="R33" i="50"/>
  <c r="Q33" i="50"/>
  <c r="Y33" i="50" s="1"/>
  <c r="O33" i="50"/>
  <c r="N33" i="50"/>
  <c r="AD32" i="50"/>
  <c r="AC32" i="50"/>
  <c r="AB32" i="50"/>
  <c r="AA32" i="50"/>
  <c r="Z32" i="50"/>
  <c r="X32" i="50"/>
  <c r="V32" i="50"/>
  <c r="U32" i="50"/>
  <c r="S32" i="50"/>
  <c r="R32" i="50"/>
  <c r="Q32" i="50"/>
  <c r="Y32" i="50" s="1"/>
  <c r="O32" i="50"/>
  <c r="N32" i="50"/>
  <c r="AD31" i="50"/>
  <c r="AC31" i="50"/>
  <c r="AB31" i="50"/>
  <c r="AA31" i="50"/>
  <c r="Z31" i="50"/>
  <c r="X31" i="50"/>
  <c r="V31" i="50"/>
  <c r="U31" i="50"/>
  <c r="S31" i="50"/>
  <c r="R31" i="50"/>
  <c r="Q31" i="50"/>
  <c r="Y31" i="50" s="1"/>
  <c r="O31" i="50"/>
  <c r="N31" i="50"/>
  <c r="AD30" i="50"/>
  <c r="AC30" i="50"/>
  <c r="AB30" i="50"/>
  <c r="AA30" i="50"/>
  <c r="Z30" i="50"/>
  <c r="X30" i="50"/>
  <c r="V30" i="50"/>
  <c r="U30" i="50"/>
  <c r="S30" i="50"/>
  <c r="R30" i="50"/>
  <c r="Q30" i="50"/>
  <c r="Y30" i="50" s="1"/>
  <c r="O30" i="50"/>
  <c r="N30" i="50"/>
  <c r="AD29" i="50"/>
  <c r="AC29" i="50"/>
  <c r="AB29" i="50"/>
  <c r="AA29" i="50"/>
  <c r="Z29" i="50"/>
  <c r="X29" i="50"/>
  <c r="V29" i="50"/>
  <c r="U29" i="50"/>
  <c r="S29" i="50"/>
  <c r="R29" i="50"/>
  <c r="Q29" i="50"/>
  <c r="Y29" i="50" s="1"/>
  <c r="O29" i="50"/>
  <c r="N29" i="50"/>
  <c r="K29" i="50"/>
  <c r="AD28" i="50"/>
  <c r="AC28" i="50"/>
  <c r="AB28" i="50"/>
  <c r="AA28" i="50"/>
  <c r="Z28" i="50"/>
  <c r="X28" i="50"/>
  <c r="V28" i="50"/>
  <c r="U28" i="50"/>
  <c r="S28" i="50"/>
  <c r="R28" i="50"/>
  <c r="Q28" i="50"/>
  <c r="Y28" i="50" s="1"/>
  <c r="O28" i="50"/>
  <c r="N28" i="50"/>
  <c r="AD27" i="50"/>
  <c r="AC27" i="50"/>
  <c r="AB27" i="50"/>
  <c r="AA27" i="50"/>
  <c r="Z27" i="50"/>
  <c r="X27" i="50"/>
  <c r="V27" i="50"/>
  <c r="U27" i="50"/>
  <c r="S27" i="50"/>
  <c r="R27" i="50"/>
  <c r="Q27" i="50"/>
  <c r="Y27" i="50" s="1"/>
  <c r="O27" i="50"/>
  <c r="N27" i="50"/>
  <c r="AD26" i="50"/>
  <c r="AC26" i="50"/>
  <c r="AB26" i="50"/>
  <c r="AA26" i="50"/>
  <c r="Z26" i="50"/>
  <c r="X26" i="50"/>
  <c r="V26" i="50"/>
  <c r="U26" i="50"/>
  <c r="S26" i="50"/>
  <c r="R26" i="50"/>
  <c r="Q26" i="50"/>
  <c r="Y26" i="50" s="1"/>
  <c r="O26" i="50"/>
  <c r="N26" i="50"/>
  <c r="AB25" i="50"/>
  <c r="AA25" i="50"/>
  <c r="Z25" i="50"/>
  <c r="V25" i="50"/>
  <c r="S25" i="50"/>
  <c r="R25" i="50"/>
  <c r="Q25" i="50"/>
  <c r="Y25" i="50" s="1"/>
  <c r="O25" i="50"/>
  <c r="N25" i="50"/>
  <c r="AB24" i="50"/>
  <c r="AA24" i="50"/>
  <c r="Z24" i="50"/>
  <c r="V24" i="50"/>
  <c r="S24" i="50"/>
  <c r="R24" i="50"/>
  <c r="Q24" i="50"/>
  <c r="Y24" i="50" s="1"/>
  <c r="O24" i="50"/>
  <c r="N24" i="50"/>
  <c r="AB23" i="50"/>
  <c r="AA23" i="50"/>
  <c r="Z23" i="50"/>
  <c r="V23" i="50"/>
  <c r="U23" i="50"/>
  <c r="S23" i="50"/>
  <c r="R23" i="50"/>
  <c r="Q23" i="50"/>
  <c r="Y23" i="50" s="1"/>
  <c r="O23" i="50"/>
  <c r="N23" i="50"/>
  <c r="AB21" i="50"/>
  <c r="AA21" i="50"/>
  <c r="Z21" i="50"/>
  <c r="V21" i="50"/>
  <c r="U21" i="50"/>
  <c r="S21" i="50"/>
  <c r="R21" i="50"/>
  <c r="Q21" i="50"/>
  <c r="Y21" i="50" s="1"/>
  <c r="O21" i="50"/>
  <c r="N21" i="50"/>
  <c r="K21" i="50"/>
  <c r="AD20" i="50"/>
  <c r="AB20" i="50"/>
  <c r="AA20" i="50"/>
  <c r="Z20" i="50"/>
  <c r="Y20" i="50"/>
  <c r="X20" i="50"/>
  <c r="W20" i="50"/>
  <c r="V20" i="50"/>
  <c r="U20" i="50"/>
  <c r="O20" i="50"/>
  <c r="N20" i="50"/>
  <c r="K20" i="50"/>
  <c r="AC41" i="39" l="1"/>
  <c r="T28" i="50"/>
  <c r="W22" i="50"/>
  <c r="X22" i="50"/>
  <c r="AD22" i="50" s="1"/>
  <c r="Z44" i="50"/>
  <c r="AB44" i="50"/>
  <c r="AA44" i="50"/>
  <c r="V44" i="50"/>
  <c r="Y44" i="50"/>
  <c r="T25" i="50"/>
  <c r="W26" i="50"/>
  <c r="W27" i="50"/>
  <c r="W28" i="50"/>
  <c r="T29" i="50"/>
  <c r="T30" i="50"/>
  <c r="T31" i="50"/>
  <c r="T32" i="50"/>
  <c r="T33" i="50"/>
  <c r="T34" i="50"/>
  <c r="T35" i="50"/>
  <c r="T36" i="50"/>
  <c r="T37" i="50"/>
  <c r="T38" i="50"/>
  <c r="T39" i="50"/>
  <c r="T40" i="50"/>
  <c r="T41" i="50"/>
  <c r="T42" i="50"/>
  <c r="L16" i="50"/>
  <c r="T20" i="50"/>
  <c r="T21" i="50"/>
  <c r="X21" i="50" s="1"/>
  <c r="T23" i="50"/>
  <c r="W23" i="50" s="1"/>
  <c r="T24" i="50"/>
  <c r="T26" i="50"/>
  <c r="T27" i="50"/>
  <c r="W29" i="50"/>
  <c r="W30" i="50"/>
  <c r="W31" i="50"/>
  <c r="W32" i="50"/>
  <c r="W33" i="50"/>
  <c r="W34" i="50"/>
  <c r="W35" i="50"/>
  <c r="W36" i="50"/>
  <c r="W37" i="50"/>
  <c r="W38" i="50"/>
  <c r="W39" i="50"/>
  <c r="W40" i="50"/>
  <c r="W41" i="50"/>
  <c r="W42" i="50"/>
  <c r="Q34" i="40"/>
  <c r="Q35" i="40"/>
  <c r="Q36" i="40"/>
  <c r="Q37" i="40"/>
  <c r="Q38" i="40"/>
  <c r="AB22" i="39"/>
  <c r="AB23" i="39"/>
  <c r="AB24" i="39"/>
  <c r="AB25" i="39"/>
  <c r="AB26" i="39"/>
  <c r="AB27" i="39"/>
  <c r="AB28" i="39"/>
  <c r="AB30" i="39"/>
  <c r="AB33" i="39"/>
  <c r="AB34" i="39"/>
  <c r="AB35" i="39"/>
  <c r="AB36" i="39"/>
  <c r="AB37" i="39"/>
  <c r="AB38" i="39"/>
  <c r="AB39" i="39"/>
  <c r="AB40" i="39"/>
  <c r="AB42" i="39"/>
  <c r="AB43" i="39"/>
  <c r="AB22" i="40"/>
  <c r="AB23" i="40"/>
  <c r="AB25" i="40"/>
  <c r="AB26" i="40"/>
  <c r="AB27" i="40"/>
  <c r="AB28" i="40"/>
  <c r="AB29" i="40"/>
  <c r="AB30" i="40"/>
  <c r="AB31" i="40"/>
  <c r="AB32" i="40"/>
  <c r="AB33" i="40"/>
  <c r="AB34" i="40"/>
  <c r="AB35" i="40"/>
  <c r="AB36" i="40"/>
  <c r="AB37" i="40"/>
  <c r="AB38" i="40"/>
  <c r="AB39" i="40"/>
  <c r="AB40" i="40"/>
  <c r="T31" i="40"/>
  <c r="U31" i="40"/>
  <c r="Y31" i="40"/>
  <c r="Z31" i="40"/>
  <c r="AA31" i="40"/>
  <c r="U32" i="40"/>
  <c r="W32" i="40"/>
  <c r="Y32" i="40"/>
  <c r="Z32" i="40"/>
  <c r="AA32" i="40"/>
  <c r="U33" i="40"/>
  <c r="W33" i="40"/>
  <c r="Y33" i="40"/>
  <c r="Z33" i="40"/>
  <c r="AA33" i="40"/>
  <c r="R34" i="40"/>
  <c r="T34" i="40"/>
  <c r="U34" i="40"/>
  <c r="V34" i="40"/>
  <c r="W34" i="40"/>
  <c r="X34" i="40"/>
  <c r="Y34" i="40"/>
  <c r="Z34" i="40"/>
  <c r="AA34" i="40"/>
  <c r="R35" i="40"/>
  <c r="T35" i="40"/>
  <c r="U35" i="40"/>
  <c r="V35" i="40"/>
  <c r="W35" i="40"/>
  <c r="X35" i="40"/>
  <c r="Y35" i="40"/>
  <c r="Z35" i="40"/>
  <c r="AA35" i="40"/>
  <c r="R36" i="40"/>
  <c r="T36" i="40"/>
  <c r="U36" i="40"/>
  <c r="V36" i="40"/>
  <c r="W36" i="40"/>
  <c r="X36" i="40"/>
  <c r="Y36" i="40"/>
  <c r="Z36" i="40"/>
  <c r="AA36" i="40"/>
  <c r="R37" i="40"/>
  <c r="T37" i="40"/>
  <c r="U37" i="40"/>
  <c r="V37" i="40"/>
  <c r="W37" i="40"/>
  <c r="X37" i="40"/>
  <c r="Y37" i="40"/>
  <c r="Z37" i="40"/>
  <c r="AA37" i="40"/>
  <c r="R38" i="40"/>
  <c r="T38" i="40"/>
  <c r="U38" i="40"/>
  <c r="V38" i="40"/>
  <c r="W38" i="40"/>
  <c r="X38" i="40"/>
  <c r="Y38" i="40"/>
  <c r="Z38" i="40"/>
  <c r="AA38" i="40"/>
  <c r="P30" i="39"/>
  <c r="P23" i="40"/>
  <c r="P25" i="40"/>
  <c r="P26" i="40"/>
  <c r="P22" i="40"/>
  <c r="P27" i="40"/>
  <c r="P28" i="40"/>
  <c r="P24" i="39"/>
  <c r="P25" i="39"/>
  <c r="P26" i="39"/>
  <c r="P27" i="39"/>
  <c r="P28" i="39"/>
  <c r="P36" i="37"/>
  <c r="R36" i="37"/>
  <c r="S36" i="37"/>
  <c r="T36" i="37"/>
  <c r="U36" i="37"/>
  <c r="V36" i="37"/>
  <c r="W36" i="37"/>
  <c r="X36" i="37"/>
  <c r="Y36" i="37"/>
  <c r="Z36" i="37"/>
  <c r="AA36" i="37"/>
  <c r="AB36" i="37"/>
  <c r="P37" i="37"/>
  <c r="R37" i="37"/>
  <c r="S37" i="37"/>
  <c r="T37" i="37"/>
  <c r="U37" i="37"/>
  <c r="V37" i="37"/>
  <c r="W37" i="37"/>
  <c r="X37" i="37"/>
  <c r="Y37" i="37"/>
  <c r="Z37" i="37"/>
  <c r="AA37" i="37"/>
  <c r="AB37" i="37"/>
  <c r="P38" i="37"/>
  <c r="R38" i="37"/>
  <c r="S38" i="37"/>
  <c r="T38" i="37"/>
  <c r="U38" i="37"/>
  <c r="V38" i="37"/>
  <c r="W38" i="37"/>
  <c r="X38" i="37"/>
  <c r="Y38" i="37"/>
  <c r="Z38" i="37"/>
  <c r="AA38" i="37"/>
  <c r="AB38" i="37"/>
  <c r="P39" i="37"/>
  <c r="R39" i="37"/>
  <c r="S39" i="37"/>
  <c r="T39" i="37"/>
  <c r="U39" i="37"/>
  <c r="V39" i="37"/>
  <c r="W39" i="37"/>
  <c r="X39" i="37"/>
  <c r="Y39" i="37"/>
  <c r="Z39" i="37"/>
  <c r="AA39" i="37"/>
  <c r="AB39" i="37"/>
  <c r="AB40" i="37"/>
  <c r="AA40" i="37"/>
  <c r="Z40" i="37"/>
  <c r="Y40" i="37"/>
  <c r="X40" i="37"/>
  <c r="W40" i="37"/>
  <c r="V40" i="37"/>
  <c r="U40" i="37"/>
  <c r="T40" i="37"/>
  <c r="S40" i="37"/>
  <c r="R40" i="37"/>
  <c r="P40" i="37"/>
  <c r="W24" i="50" l="1"/>
  <c r="U24" i="50"/>
  <c r="X25" i="50"/>
  <c r="U25" i="50"/>
  <c r="U44" i="50" s="1"/>
  <c r="W21" i="50"/>
  <c r="AD21" i="50" s="1"/>
  <c r="X24" i="50"/>
  <c r="W25" i="50"/>
  <c r="W44" i="50" s="1"/>
  <c r="X23" i="50"/>
  <c r="AD24" i="50" l="1"/>
  <c r="AD25" i="50"/>
  <c r="X44" i="50"/>
  <c r="AD23" i="50"/>
  <c r="V41" i="42"/>
  <c r="U41" i="42"/>
  <c r="T41" i="42"/>
  <c r="S41" i="42"/>
  <c r="Q41" i="42"/>
  <c r="O41" i="42"/>
  <c r="R41" i="42" s="1"/>
  <c r="M41" i="42"/>
  <c r="L41" i="42"/>
  <c r="I41" i="42"/>
  <c r="T40" i="42"/>
  <c r="S40" i="42"/>
  <c r="O40" i="42"/>
  <c r="R40" i="42" s="1"/>
  <c r="M40" i="42"/>
  <c r="L40" i="42"/>
  <c r="I40" i="42"/>
  <c r="T39" i="42"/>
  <c r="S39" i="42"/>
  <c r="O39" i="42"/>
  <c r="R39" i="42" s="1"/>
  <c r="M39" i="42"/>
  <c r="L39" i="42"/>
  <c r="I39" i="42"/>
  <c r="T38" i="42"/>
  <c r="Q38" i="42"/>
  <c r="O38" i="42"/>
  <c r="M38" i="42"/>
  <c r="L38" i="42"/>
  <c r="I38" i="42"/>
  <c r="T37" i="42"/>
  <c r="Q37" i="42"/>
  <c r="O37" i="42"/>
  <c r="M37" i="42"/>
  <c r="L37" i="42"/>
  <c r="I37" i="42"/>
  <c r="T36" i="42"/>
  <c r="S36" i="42"/>
  <c r="O36" i="42"/>
  <c r="R36" i="42" s="1"/>
  <c r="M36" i="42"/>
  <c r="L36" i="42"/>
  <c r="I36" i="42"/>
  <c r="T32" i="42"/>
  <c r="S32" i="42"/>
  <c r="O32" i="42"/>
  <c r="R32" i="42" s="1"/>
  <c r="M32" i="42"/>
  <c r="L32" i="42"/>
  <c r="I32" i="42"/>
  <c r="T31" i="42"/>
  <c r="O31" i="42"/>
  <c r="M31" i="42"/>
  <c r="L31" i="42"/>
  <c r="I31" i="42"/>
  <c r="T30" i="42"/>
  <c r="O30" i="42"/>
  <c r="M30" i="42"/>
  <c r="L30" i="42"/>
  <c r="I30" i="42"/>
  <c r="T29" i="42"/>
  <c r="S29" i="42"/>
  <c r="O29" i="42"/>
  <c r="R29" i="42" s="1"/>
  <c r="M29" i="42"/>
  <c r="L29" i="42"/>
  <c r="I29" i="42"/>
  <c r="T27" i="42"/>
  <c r="S27" i="42"/>
  <c r="O27" i="42"/>
  <c r="R27" i="42" s="1"/>
  <c r="M27" i="42"/>
  <c r="L27" i="42"/>
  <c r="I27" i="42"/>
  <c r="T26" i="42"/>
  <c r="O26" i="42"/>
  <c r="M26" i="42"/>
  <c r="L26" i="42"/>
  <c r="I26" i="42"/>
  <c r="T25" i="42"/>
  <c r="S25" i="42"/>
  <c r="O25" i="42"/>
  <c r="R25" i="42" s="1"/>
  <c r="M25" i="42"/>
  <c r="L25" i="42"/>
  <c r="I25" i="42"/>
  <c r="T24" i="42"/>
  <c r="S24" i="42"/>
  <c r="O24" i="42"/>
  <c r="R24" i="42" s="1"/>
  <c r="M24" i="42"/>
  <c r="L24" i="42"/>
  <c r="I24" i="42"/>
  <c r="T23" i="42"/>
  <c r="S23" i="42"/>
  <c r="O23" i="42"/>
  <c r="R23" i="42" s="1"/>
  <c r="M23" i="42"/>
  <c r="L23" i="42"/>
  <c r="I23" i="42"/>
  <c r="T22" i="42"/>
  <c r="O22" i="42"/>
  <c r="M22" i="42"/>
  <c r="L22" i="42"/>
  <c r="I22" i="42"/>
  <c r="H17" i="42"/>
  <c r="P39" i="42" s="1"/>
  <c r="Q39" i="42" s="1"/>
  <c r="H16" i="42"/>
  <c r="J16" i="42" s="1"/>
  <c r="H15" i="42"/>
  <c r="J15" i="42" s="1"/>
  <c r="H14" i="42"/>
  <c r="J14" i="42" s="1"/>
  <c r="B12" i="42"/>
  <c r="B2" i="42"/>
  <c r="V40" i="41"/>
  <c r="U40" i="41"/>
  <c r="T40" i="41"/>
  <c r="S40" i="41"/>
  <c r="Q40" i="41"/>
  <c r="O40" i="41"/>
  <c r="R40" i="41" s="1"/>
  <c r="M40" i="41"/>
  <c r="L40" i="41"/>
  <c r="I40" i="41"/>
  <c r="T39" i="41"/>
  <c r="S39" i="41"/>
  <c r="O39" i="41"/>
  <c r="R39" i="41" s="1"/>
  <c r="M39" i="41"/>
  <c r="L39" i="41"/>
  <c r="I39" i="41"/>
  <c r="T38" i="41"/>
  <c r="O38" i="41"/>
  <c r="M38" i="41"/>
  <c r="L38" i="41"/>
  <c r="I38" i="41"/>
  <c r="T36" i="41"/>
  <c r="S36" i="41"/>
  <c r="O36" i="41"/>
  <c r="R36" i="41" s="1"/>
  <c r="M36" i="41"/>
  <c r="L36" i="41"/>
  <c r="I36" i="41"/>
  <c r="T35" i="41"/>
  <c r="O35" i="41"/>
  <c r="M35" i="41"/>
  <c r="L35" i="41"/>
  <c r="I35" i="41"/>
  <c r="T33" i="41"/>
  <c r="Q33" i="41"/>
  <c r="O33" i="41"/>
  <c r="M33" i="41"/>
  <c r="L33" i="41"/>
  <c r="I33" i="41"/>
  <c r="T32" i="41"/>
  <c r="O32" i="41"/>
  <c r="M32" i="41"/>
  <c r="L32" i="41"/>
  <c r="I32" i="41"/>
  <c r="T31" i="41"/>
  <c r="O31" i="41"/>
  <c r="M31" i="41"/>
  <c r="L31" i="41"/>
  <c r="I31" i="41"/>
  <c r="T30" i="41"/>
  <c r="O30" i="41"/>
  <c r="M30" i="41"/>
  <c r="L30" i="41"/>
  <c r="I30" i="41"/>
  <c r="T29" i="41"/>
  <c r="O29" i="41"/>
  <c r="M29" i="41"/>
  <c r="L29" i="41"/>
  <c r="I29" i="41"/>
  <c r="T28" i="41"/>
  <c r="O28" i="41"/>
  <c r="M28" i="41"/>
  <c r="L28" i="41"/>
  <c r="I28" i="41"/>
  <c r="T26" i="41"/>
  <c r="O26" i="41"/>
  <c r="M26" i="41"/>
  <c r="L26" i="41"/>
  <c r="I26" i="41"/>
  <c r="T25" i="41"/>
  <c r="O25" i="41"/>
  <c r="M25" i="41"/>
  <c r="L25" i="41"/>
  <c r="I25" i="41"/>
  <c r="T24" i="41"/>
  <c r="O24" i="41"/>
  <c r="M24" i="41"/>
  <c r="L24" i="41"/>
  <c r="I24" i="41"/>
  <c r="T23" i="41"/>
  <c r="O23" i="41"/>
  <c r="M23" i="41"/>
  <c r="L23" i="41"/>
  <c r="I23" i="41"/>
  <c r="T22" i="41"/>
  <c r="O22" i="41"/>
  <c r="M22" i="41"/>
  <c r="L22" i="41"/>
  <c r="I22" i="41"/>
  <c r="H17" i="41"/>
  <c r="P38" i="41" s="1"/>
  <c r="H16" i="41"/>
  <c r="J16" i="41" s="1"/>
  <c r="H15" i="41"/>
  <c r="J15" i="41" s="1"/>
  <c r="H14" i="41"/>
  <c r="J14" i="41" s="1"/>
  <c r="B12" i="41"/>
  <c r="B2" i="41"/>
  <c r="AC42" i="40"/>
  <c r="AB42" i="40"/>
  <c r="AA42" i="40"/>
  <c r="Z42" i="40"/>
  <c r="Y42" i="40"/>
  <c r="W42" i="40"/>
  <c r="V42" i="40"/>
  <c r="U42" i="40"/>
  <c r="T42" i="40"/>
  <c r="R42" i="40"/>
  <c r="Q42" i="40"/>
  <c r="P42" i="40"/>
  <c r="X42" i="40" s="1"/>
  <c r="N42" i="40"/>
  <c r="M42" i="40"/>
  <c r="J42" i="40"/>
  <c r="AC41" i="40"/>
  <c r="AB41" i="40"/>
  <c r="AA41" i="40"/>
  <c r="Z41" i="40"/>
  <c r="Y41" i="40"/>
  <c r="W41" i="40"/>
  <c r="U41" i="40"/>
  <c r="T41" i="40"/>
  <c r="R41" i="40"/>
  <c r="Q41" i="40"/>
  <c r="P41" i="40"/>
  <c r="V41" i="40" s="1"/>
  <c r="N41" i="40"/>
  <c r="M41" i="40"/>
  <c r="J41" i="40"/>
  <c r="AC40" i="40"/>
  <c r="AA40" i="40"/>
  <c r="Z40" i="40"/>
  <c r="Y40" i="40"/>
  <c r="W40" i="40"/>
  <c r="U40" i="40"/>
  <c r="T40" i="40"/>
  <c r="R40" i="40"/>
  <c r="Q40" i="40"/>
  <c r="P40" i="40"/>
  <c r="V40" i="40" s="1"/>
  <c r="N40" i="40"/>
  <c r="M40" i="40"/>
  <c r="J40" i="40"/>
  <c r="AC39" i="40"/>
  <c r="AA39" i="40"/>
  <c r="Z39" i="40"/>
  <c r="Y39" i="40"/>
  <c r="W39" i="40"/>
  <c r="V39" i="40"/>
  <c r="U39" i="40"/>
  <c r="T39" i="40"/>
  <c r="R39" i="40"/>
  <c r="Q39" i="40"/>
  <c r="P39" i="40"/>
  <c r="X39" i="40" s="1"/>
  <c r="N39" i="40"/>
  <c r="M39" i="40"/>
  <c r="J39" i="40"/>
  <c r="AC38" i="40"/>
  <c r="P38" i="40"/>
  <c r="N38" i="40"/>
  <c r="M38" i="40"/>
  <c r="J38" i="40"/>
  <c r="AC37" i="40"/>
  <c r="P37" i="40"/>
  <c r="N37" i="40"/>
  <c r="M37" i="40"/>
  <c r="J37" i="40"/>
  <c r="AC36" i="40"/>
  <c r="P36" i="40"/>
  <c r="N36" i="40"/>
  <c r="M36" i="40"/>
  <c r="J36" i="40"/>
  <c r="AC35" i="40"/>
  <c r="P35" i="40"/>
  <c r="N35" i="40"/>
  <c r="M35" i="40"/>
  <c r="J35" i="40"/>
  <c r="AC34" i="40"/>
  <c r="P34" i="40"/>
  <c r="N34" i="40"/>
  <c r="M34" i="40"/>
  <c r="J34" i="40"/>
  <c r="P33" i="40"/>
  <c r="N33" i="40"/>
  <c r="M33" i="40"/>
  <c r="J33" i="40"/>
  <c r="P32" i="40"/>
  <c r="N32" i="40"/>
  <c r="M32" i="40"/>
  <c r="J32" i="40"/>
  <c r="P31" i="40"/>
  <c r="N31" i="40"/>
  <c r="M31" i="40"/>
  <c r="J31" i="40"/>
  <c r="AA30" i="40"/>
  <c r="Z30" i="40"/>
  <c r="Y30" i="40"/>
  <c r="W30" i="40"/>
  <c r="U30" i="40"/>
  <c r="P30" i="40"/>
  <c r="X30" i="40" s="1"/>
  <c r="N30" i="40"/>
  <c r="M30" i="40"/>
  <c r="J30" i="40"/>
  <c r="AA29" i="40"/>
  <c r="Z29" i="40"/>
  <c r="Y29" i="40"/>
  <c r="W29" i="40"/>
  <c r="U29" i="40"/>
  <c r="P29" i="40"/>
  <c r="V29" i="40" s="1"/>
  <c r="N29" i="40"/>
  <c r="M29" i="40"/>
  <c r="J29" i="40"/>
  <c r="AA28" i="40"/>
  <c r="Z28" i="40"/>
  <c r="Y28" i="40"/>
  <c r="W28" i="40"/>
  <c r="U28" i="40"/>
  <c r="V28" i="40"/>
  <c r="N28" i="40"/>
  <c r="M28" i="40"/>
  <c r="J28" i="40"/>
  <c r="AA27" i="40"/>
  <c r="Z27" i="40"/>
  <c r="Y27" i="40"/>
  <c r="U27" i="40"/>
  <c r="X27" i="40"/>
  <c r="N27" i="40"/>
  <c r="M27" i="40"/>
  <c r="J27" i="40"/>
  <c r="AA26" i="40"/>
  <c r="Z26" i="40"/>
  <c r="Y26" i="40"/>
  <c r="W26" i="40"/>
  <c r="U26" i="40"/>
  <c r="X26" i="40"/>
  <c r="N26" i="40"/>
  <c r="M26" i="40"/>
  <c r="J26" i="40"/>
  <c r="AA25" i="40"/>
  <c r="Z25" i="40"/>
  <c r="Y25" i="40"/>
  <c r="W25" i="40"/>
  <c r="U25" i="40"/>
  <c r="V25" i="40"/>
  <c r="N25" i="40"/>
  <c r="M25" i="40"/>
  <c r="J25" i="40"/>
  <c r="AA23" i="40"/>
  <c r="Z23" i="40"/>
  <c r="Y23" i="40"/>
  <c r="U23" i="40"/>
  <c r="T23" i="40"/>
  <c r="N23" i="40"/>
  <c r="M23" i="40"/>
  <c r="J23" i="40"/>
  <c r="AA22" i="40"/>
  <c r="Z22" i="40"/>
  <c r="W22" i="40"/>
  <c r="U22" i="40"/>
  <c r="N22" i="40"/>
  <c r="M22" i="40"/>
  <c r="J22" i="40"/>
  <c r="I17" i="40"/>
  <c r="B14" i="40"/>
  <c r="B2" i="40"/>
  <c r="AA43" i="39"/>
  <c r="Z43" i="39"/>
  <c r="Y43" i="39"/>
  <c r="U43" i="39"/>
  <c r="P43" i="39"/>
  <c r="N43" i="39"/>
  <c r="M43" i="39"/>
  <c r="J43" i="39"/>
  <c r="AA42" i="39"/>
  <c r="Z42" i="39"/>
  <c r="Y42" i="39"/>
  <c r="W42" i="39"/>
  <c r="U42" i="39"/>
  <c r="P42" i="39"/>
  <c r="X42" i="39" s="1"/>
  <c r="N42" i="39"/>
  <c r="M42" i="39"/>
  <c r="J42" i="39"/>
  <c r="AA40" i="39"/>
  <c r="Z40" i="39"/>
  <c r="Y40" i="39"/>
  <c r="U40" i="39"/>
  <c r="P40" i="39"/>
  <c r="X40" i="39" s="1"/>
  <c r="N40" i="39"/>
  <c r="M40" i="39"/>
  <c r="J40" i="39"/>
  <c r="AA39" i="39"/>
  <c r="Z39" i="39"/>
  <c r="Y39" i="39"/>
  <c r="U39" i="39"/>
  <c r="P39" i="39"/>
  <c r="N39" i="39"/>
  <c r="M39" i="39"/>
  <c r="J39" i="39"/>
  <c r="AA38" i="39"/>
  <c r="Z38" i="39"/>
  <c r="Y38" i="39"/>
  <c r="W38" i="39"/>
  <c r="U38" i="39"/>
  <c r="P38" i="39"/>
  <c r="V38" i="39" s="1"/>
  <c r="N38" i="39"/>
  <c r="M38" i="39"/>
  <c r="J38" i="39"/>
  <c r="AA37" i="39"/>
  <c r="Z37" i="39"/>
  <c r="Y37" i="39"/>
  <c r="W37" i="39"/>
  <c r="U37" i="39"/>
  <c r="P37" i="39"/>
  <c r="X37" i="39" s="1"/>
  <c r="N37" i="39"/>
  <c r="M37" i="39"/>
  <c r="J37" i="39"/>
  <c r="AA36" i="39"/>
  <c r="Z36" i="39"/>
  <c r="Y36" i="39"/>
  <c r="W36" i="39"/>
  <c r="P36" i="39"/>
  <c r="X36" i="39" s="1"/>
  <c r="N36" i="39"/>
  <c r="M36" i="39"/>
  <c r="J36" i="39"/>
  <c r="AA35" i="39"/>
  <c r="Z35" i="39"/>
  <c r="Y35" i="39"/>
  <c r="W35" i="39"/>
  <c r="U35" i="39"/>
  <c r="P35" i="39"/>
  <c r="V35" i="39" s="1"/>
  <c r="N35" i="39"/>
  <c r="M35" i="39"/>
  <c r="J35" i="39"/>
  <c r="AA34" i="39"/>
  <c r="Z34" i="39"/>
  <c r="W34" i="39"/>
  <c r="U34" i="39"/>
  <c r="P34" i="39"/>
  <c r="V34" i="39" s="1"/>
  <c r="N34" i="39"/>
  <c r="M34" i="39"/>
  <c r="J34" i="39"/>
  <c r="AA33" i="39"/>
  <c r="Z33" i="39"/>
  <c r="Y33" i="39"/>
  <c r="T33" i="39"/>
  <c r="P33" i="39"/>
  <c r="X33" i="39" s="1"/>
  <c r="N33" i="39"/>
  <c r="M33" i="39"/>
  <c r="J33" i="39"/>
  <c r="AA30" i="39"/>
  <c r="Z30" i="39"/>
  <c r="U30" i="39"/>
  <c r="N30" i="39"/>
  <c r="M30" i="39"/>
  <c r="J30" i="39"/>
  <c r="AA28" i="39"/>
  <c r="Z28" i="39"/>
  <c r="Y28" i="39"/>
  <c r="U28" i="39"/>
  <c r="N28" i="39"/>
  <c r="M28" i="39"/>
  <c r="J28" i="39"/>
  <c r="AA27" i="39"/>
  <c r="Z27" i="39"/>
  <c r="Y27" i="39"/>
  <c r="W27" i="39"/>
  <c r="U27" i="39"/>
  <c r="V27" i="39"/>
  <c r="N27" i="39"/>
  <c r="M27" i="39"/>
  <c r="J27" i="39"/>
  <c r="AA26" i="39"/>
  <c r="Z26" i="39"/>
  <c r="Y26" i="39"/>
  <c r="W26" i="39"/>
  <c r="U26" i="39"/>
  <c r="X26" i="39"/>
  <c r="N26" i="39"/>
  <c r="M26" i="39"/>
  <c r="J26" i="39"/>
  <c r="AA25" i="39"/>
  <c r="Z25" i="39"/>
  <c r="Y25" i="39"/>
  <c r="W25" i="39"/>
  <c r="U25" i="39"/>
  <c r="X25" i="39"/>
  <c r="N25" i="39"/>
  <c r="M25" i="39"/>
  <c r="J25" i="39"/>
  <c r="AA24" i="39"/>
  <c r="Z24" i="39"/>
  <c r="Y24" i="39"/>
  <c r="W24" i="39"/>
  <c r="U24" i="39"/>
  <c r="V24" i="39"/>
  <c r="N24" i="39"/>
  <c r="M24" i="39"/>
  <c r="J24" i="39"/>
  <c r="AA23" i="39"/>
  <c r="Z23" i="39"/>
  <c r="Y23" i="39"/>
  <c r="W23" i="39"/>
  <c r="U23" i="39"/>
  <c r="R23" i="39"/>
  <c r="P23" i="39"/>
  <c r="V23" i="39" s="1"/>
  <c r="N23" i="39"/>
  <c r="M23" i="39"/>
  <c r="J23" i="39"/>
  <c r="AA22" i="39"/>
  <c r="Z22" i="39"/>
  <c r="Y22" i="39"/>
  <c r="U22" i="39"/>
  <c r="P22" i="39"/>
  <c r="X22" i="39" s="1"/>
  <c r="N22" i="39"/>
  <c r="M22" i="39"/>
  <c r="J22" i="39"/>
  <c r="I17" i="39"/>
  <c r="B14" i="39"/>
  <c r="B2" i="39"/>
  <c r="N40" i="37"/>
  <c r="M40" i="37"/>
  <c r="J40" i="37"/>
  <c r="N39" i="37"/>
  <c r="M39" i="37"/>
  <c r="J39" i="37"/>
  <c r="N38" i="37"/>
  <c r="M38" i="37"/>
  <c r="J38" i="37"/>
  <c r="N37" i="37"/>
  <c r="M37" i="37"/>
  <c r="J37" i="37"/>
  <c r="N36" i="37"/>
  <c r="M36" i="37"/>
  <c r="J36" i="37"/>
  <c r="AA35" i="37"/>
  <c r="Z35" i="37"/>
  <c r="W35" i="37"/>
  <c r="S35" i="37"/>
  <c r="N35" i="37"/>
  <c r="X35" i="37" s="1"/>
  <c r="M35" i="37"/>
  <c r="J35" i="37"/>
  <c r="AA34" i="37"/>
  <c r="Z34" i="37"/>
  <c r="W34" i="37"/>
  <c r="T34" i="37"/>
  <c r="S34" i="37"/>
  <c r="N34" i="37"/>
  <c r="Y34" i="37" s="1"/>
  <c r="M34" i="37"/>
  <c r="J34" i="37"/>
  <c r="AA33" i="37"/>
  <c r="Z33" i="37"/>
  <c r="W33" i="37"/>
  <c r="T33" i="37"/>
  <c r="S33" i="37"/>
  <c r="N33" i="37"/>
  <c r="V33" i="37" s="1"/>
  <c r="M33" i="37"/>
  <c r="J33" i="37"/>
  <c r="AA32" i="37"/>
  <c r="Z32" i="37"/>
  <c r="W32" i="37"/>
  <c r="T32" i="37"/>
  <c r="S32" i="37"/>
  <c r="N32" i="37"/>
  <c r="V32" i="37" s="1"/>
  <c r="M32" i="37"/>
  <c r="J32" i="37"/>
  <c r="AA31" i="37"/>
  <c r="Z31" i="37"/>
  <c r="W31" i="37"/>
  <c r="T31" i="37"/>
  <c r="S31" i="37"/>
  <c r="N31" i="37"/>
  <c r="X31" i="37" s="1"/>
  <c r="M31" i="37"/>
  <c r="J31" i="37"/>
  <c r="AA30" i="37"/>
  <c r="Z30" i="37"/>
  <c r="W30" i="37"/>
  <c r="T30" i="37"/>
  <c r="S30" i="37"/>
  <c r="N30" i="37"/>
  <c r="Y30" i="37" s="1"/>
  <c r="M30" i="37"/>
  <c r="J30" i="37"/>
  <c r="AA29" i="37"/>
  <c r="Z29" i="37"/>
  <c r="W29" i="37"/>
  <c r="T29" i="37"/>
  <c r="S29" i="37"/>
  <c r="N29" i="37"/>
  <c r="V29" i="37" s="1"/>
  <c r="M29" i="37"/>
  <c r="J29" i="37"/>
  <c r="AA28" i="37"/>
  <c r="Z28" i="37"/>
  <c r="W28" i="37"/>
  <c r="T28" i="37"/>
  <c r="S28" i="37"/>
  <c r="N28" i="37"/>
  <c r="V28" i="37" s="1"/>
  <c r="M28" i="37"/>
  <c r="J28" i="37"/>
  <c r="AA27" i="37"/>
  <c r="Z27" i="37"/>
  <c r="W27" i="37"/>
  <c r="T27" i="37"/>
  <c r="S27" i="37"/>
  <c r="N27" i="37"/>
  <c r="X27" i="37" s="1"/>
  <c r="M27" i="37"/>
  <c r="J27" i="37"/>
  <c r="AA26" i="37"/>
  <c r="Z26" i="37"/>
  <c r="W26" i="37"/>
  <c r="T26" i="37"/>
  <c r="S26" i="37"/>
  <c r="N26" i="37"/>
  <c r="Y26" i="37" s="1"/>
  <c r="M26" i="37"/>
  <c r="J26" i="37"/>
  <c r="AA25" i="37"/>
  <c r="Z25" i="37"/>
  <c r="W25" i="37"/>
  <c r="T25" i="37"/>
  <c r="S25" i="37"/>
  <c r="N25" i="37"/>
  <c r="V25" i="37" s="1"/>
  <c r="M25" i="37"/>
  <c r="J25" i="37"/>
  <c r="AA24" i="37"/>
  <c r="Z24" i="37"/>
  <c r="W24" i="37"/>
  <c r="S24" i="37"/>
  <c r="N24" i="37"/>
  <c r="M24" i="37"/>
  <c r="J24" i="37"/>
  <c r="AA23" i="37"/>
  <c r="Z23" i="37"/>
  <c r="W23" i="37"/>
  <c r="S23" i="37"/>
  <c r="N23" i="37"/>
  <c r="X23" i="37" s="1"/>
  <c r="M23" i="37"/>
  <c r="J23" i="37"/>
  <c r="AA22" i="37"/>
  <c r="Z22" i="37"/>
  <c r="W22" i="37"/>
  <c r="S22" i="37"/>
  <c r="N22" i="37"/>
  <c r="Y22" i="37" s="1"/>
  <c r="M22" i="37"/>
  <c r="J22" i="37"/>
  <c r="AA21" i="37"/>
  <c r="Z21" i="37"/>
  <c r="W21" i="37"/>
  <c r="T21" i="37"/>
  <c r="S21" i="37"/>
  <c r="N21" i="37"/>
  <c r="V21" i="37" s="1"/>
  <c r="M21" i="37"/>
  <c r="J21" i="37"/>
  <c r="M16" i="37"/>
  <c r="M15" i="37"/>
  <c r="N15" i="37" s="1"/>
  <c r="M14" i="37"/>
  <c r="N14" i="37" s="1"/>
  <c r="B12" i="37"/>
  <c r="B2" i="37"/>
  <c r="AA39" i="36"/>
  <c r="Z39" i="36"/>
  <c r="W39" i="36"/>
  <c r="T39" i="36"/>
  <c r="S39" i="36"/>
  <c r="N39" i="36"/>
  <c r="X39" i="36" s="1"/>
  <c r="M39" i="36"/>
  <c r="J39" i="36"/>
  <c r="AA38" i="36"/>
  <c r="Z38" i="36"/>
  <c r="W38" i="36"/>
  <c r="T38" i="36"/>
  <c r="S38" i="36"/>
  <c r="N38" i="36"/>
  <c r="Y38" i="36" s="1"/>
  <c r="M38" i="36"/>
  <c r="J38" i="36"/>
  <c r="AA37" i="36"/>
  <c r="Z37" i="36"/>
  <c r="W37" i="36"/>
  <c r="T37" i="36"/>
  <c r="S37" i="36"/>
  <c r="N37" i="36"/>
  <c r="V37" i="36" s="1"/>
  <c r="M37" i="36"/>
  <c r="J37" i="36"/>
  <c r="AA36" i="36"/>
  <c r="Z36" i="36"/>
  <c r="W36" i="36"/>
  <c r="T36" i="36"/>
  <c r="S36" i="36"/>
  <c r="N36" i="36"/>
  <c r="Y36" i="36" s="1"/>
  <c r="M36" i="36"/>
  <c r="J36" i="36"/>
  <c r="AA35" i="36"/>
  <c r="Z35" i="36"/>
  <c r="W35" i="36"/>
  <c r="S35" i="36"/>
  <c r="N35" i="36"/>
  <c r="X35" i="36" s="1"/>
  <c r="M35" i="36"/>
  <c r="J35" i="36"/>
  <c r="AA34" i="36"/>
  <c r="Z34" i="36"/>
  <c r="W34" i="36"/>
  <c r="T34" i="36"/>
  <c r="S34" i="36"/>
  <c r="N34" i="36"/>
  <c r="Y34" i="36" s="1"/>
  <c r="M34" i="36"/>
  <c r="J34" i="36"/>
  <c r="AA33" i="36"/>
  <c r="Z33" i="36"/>
  <c r="W33" i="36"/>
  <c r="T33" i="36"/>
  <c r="S33" i="36"/>
  <c r="N33" i="36"/>
  <c r="V33" i="36" s="1"/>
  <c r="M33" i="36"/>
  <c r="J33" i="36"/>
  <c r="AA32" i="36"/>
  <c r="Z32" i="36"/>
  <c r="W32" i="36"/>
  <c r="S32" i="36"/>
  <c r="N32" i="36"/>
  <c r="Y32" i="36" s="1"/>
  <c r="M32" i="36"/>
  <c r="J32" i="36"/>
  <c r="AA29" i="36"/>
  <c r="Z29" i="36"/>
  <c r="W29" i="36"/>
  <c r="T29" i="36"/>
  <c r="S29" i="36"/>
  <c r="N29" i="36"/>
  <c r="V29" i="36" s="1"/>
  <c r="M29" i="36"/>
  <c r="J29" i="36"/>
  <c r="AA28" i="36"/>
  <c r="Z28" i="36"/>
  <c r="W28" i="36"/>
  <c r="T28" i="36"/>
  <c r="S28" i="36"/>
  <c r="N28" i="36"/>
  <c r="Y28" i="36" s="1"/>
  <c r="M28" i="36"/>
  <c r="J28" i="36"/>
  <c r="AA27" i="36"/>
  <c r="Z27" i="36"/>
  <c r="W27" i="36"/>
  <c r="S27" i="36"/>
  <c r="R27" i="36"/>
  <c r="N27" i="36"/>
  <c r="X27" i="36" s="1"/>
  <c r="M27" i="36"/>
  <c r="J27" i="36"/>
  <c r="AA26" i="36"/>
  <c r="Z26" i="36"/>
  <c r="W26" i="36"/>
  <c r="S26" i="36"/>
  <c r="R26" i="36"/>
  <c r="N26" i="36"/>
  <c r="Y26" i="36" s="1"/>
  <c r="M26" i="36"/>
  <c r="J26" i="36"/>
  <c r="AA25" i="36"/>
  <c r="Z25" i="36"/>
  <c r="W25" i="36"/>
  <c r="S25" i="36"/>
  <c r="N25" i="36"/>
  <c r="M25" i="36"/>
  <c r="J25" i="36"/>
  <c r="AA24" i="36"/>
  <c r="Z24" i="36"/>
  <c r="W24" i="36"/>
  <c r="S24" i="36"/>
  <c r="R24" i="36"/>
  <c r="N24" i="36"/>
  <c r="Y24" i="36" s="1"/>
  <c r="M24" i="36"/>
  <c r="J24" i="36"/>
  <c r="AA23" i="36"/>
  <c r="Z23" i="36"/>
  <c r="W23" i="36"/>
  <c r="T23" i="36"/>
  <c r="S23" i="36"/>
  <c r="N23" i="36"/>
  <c r="X23" i="36" s="1"/>
  <c r="M23" i="36"/>
  <c r="J23" i="36"/>
  <c r="AA22" i="36"/>
  <c r="Z22" i="36"/>
  <c r="W22" i="36"/>
  <c r="S22" i="36"/>
  <c r="N22" i="36"/>
  <c r="Y22" i="36" s="1"/>
  <c r="M22" i="36"/>
  <c r="J22" i="36"/>
  <c r="AA21" i="36"/>
  <c r="Z21" i="36"/>
  <c r="W21" i="36"/>
  <c r="S21" i="36"/>
  <c r="N21" i="36"/>
  <c r="M21" i="36"/>
  <c r="J21" i="36"/>
  <c r="M16" i="36"/>
  <c r="Q38" i="36" s="1"/>
  <c r="M15" i="36"/>
  <c r="N15" i="36" s="1"/>
  <c r="M14" i="36"/>
  <c r="N14" i="36" s="1"/>
  <c r="B12" i="36"/>
  <c r="B2" i="36"/>
  <c r="S31" i="39" l="1"/>
  <c r="S29" i="39"/>
  <c r="Q38" i="41"/>
  <c r="Q37" i="37"/>
  <c r="Q39" i="37"/>
  <c r="Q36" i="37"/>
  <c r="Q38" i="37"/>
  <c r="Q40" i="37"/>
  <c r="S40" i="40"/>
  <c r="S31" i="40"/>
  <c r="W31" i="40" s="1"/>
  <c r="S32" i="40"/>
  <c r="T32" i="40" s="1"/>
  <c r="S33" i="40"/>
  <c r="S36" i="40"/>
  <c r="S37" i="40"/>
  <c r="S38" i="40"/>
  <c r="S34" i="40"/>
  <c r="S35" i="40"/>
  <c r="T33" i="40"/>
  <c r="P29" i="42"/>
  <c r="AD44" i="50"/>
  <c r="V30" i="40"/>
  <c r="V33" i="40"/>
  <c r="X33" i="40"/>
  <c r="V32" i="40"/>
  <c r="X32" i="40"/>
  <c r="X31" i="40"/>
  <c r="V22" i="40"/>
  <c r="Q29" i="42"/>
  <c r="R38" i="36"/>
  <c r="S25" i="40"/>
  <c r="T25" i="40" s="1"/>
  <c r="S41" i="40"/>
  <c r="S42" i="40"/>
  <c r="P30" i="42"/>
  <c r="S26" i="40"/>
  <c r="T26" i="40" s="1"/>
  <c r="S29" i="40"/>
  <c r="T29" i="40" s="1"/>
  <c r="S30" i="40"/>
  <c r="T30" i="40" s="1"/>
  <c r="P22" i="42"/>
  <c r="P25" i="42"/>
  <c r="Q25" i="42" s="1"/>
  <c r="V25" i="42" s="1"/>
  <c r="P26" i="42"/>
  <c r="Q26" i="42" s="1"/>
  <c r="P37" i="42"/>
  <c r="S37" i="42" s="1"/>
  <c r="P38" i="42"/>
  <c r="P41" i="42"/>
  <c r="S38" i="41"/>
  <c r="R38" i="41"/>
  <c r="P40" i="41"/>
  <c r="P24" i="41"/>
  <c r="P25" i="41"/>
  <c r="P28" i="41"/>
  <c r="P29" i="41"/>
  <c r="P32" i="41"/>
  <c r="P33" i="41"/>
  <c r="R33" i="41" s="1"/>
  <c r="P36" i="41"/>
  <c r="Q36" i="41" s="1"/>
  <c r="V36" i="41" s="1"/>
  <c r="S24" i="39"/>
  <c r="T24" i="39" s="1"/>
  <c r="S28" i="39"/>
  <c r="V28" i="39" s="1"/>
  <c r="S35" i="39"/>
  <c r="T35" i="39" s="1"/>
  <c r="V37" i="39"/>
  <c r="S39" i="39"/>
  <c r="V39" i="42"/>
  <c r="V29" i="42"/>
  <c r="T43" i="42"/>
  <c r="P24" i="42"/>
  <c r="Q24" i="42" s="1"/>
  <c r="V24" i="42" s="1"/>
  <c r="P32" i="42"/>
  <c r="Q32" i="42" s="1"/>
  <c r="P36" i="42"/>
  <c r="Q36" i="42" s="1"/>
  <c r="V36" i="42" s="1"/>
  <c r="P40" i="42"/>
  <c r="Q40" i="42" s="1"/>
  <c r="V40" i="42" s="1"/>
  <c r="J17" i="42"/>
  <c r="P23" i="42"/>
  <c r="Q23" i="42" s="1"/>
  <c r="V23" i="42" s="1"/>
  <c r="P27" i="42"/>
  <c r="Q27" i="42" s="1"/>
  <c r="V27" i="42" s="1"/>
  <c r="P31" i="42"/>
  <c r="Q31" i="42" s="1"/>
  <c r="T42" i="41"/>
  <c r="P23" i="41"/>
  <c r="P31" i="41"/>
  <c r="P35" i="41"/>
  <c r="R35" i="41" s="1"/>
  <c r="P39" i="41"/>
  <c r="Q39" i="41" s="1"/>
  <c r="V39" i="41" s="1"/>
  <c r="J17" i="41"/>
  <c r="P22" i="41"/>
  <c r="S22" i="41" s="1"/>
  <c r="P26" i="41"/>
  <c r="P30" i="41"/>
  <c r="V26" i="40"/>
  <c r="U44" i="40"/>
  <c r="Z44" i="40"/>
  <c r="AA44" i="40"/>
  <c r="X23" i="40"/>
  <c r="X28" i="40"/>
  <c r="X40" i="40"/>
  <c r="X25" i="40"/>
  <c r="X29" i="40"/>
  <c r="AC29" i="40" s="1"/>
  <c r="X41" i="40"/>
  <c r="S22" i="40"/>
  <c r="X22" i="40" s="1"/>
  <c r="S27" i="40"/>
  <c r="S39" i="40"/>
  <c r="K17" i="40"/>
  <c r="S23" i="40"/>
  <c r="W23" i="40" s="1"/>
  <c r="S28" i="40"/>
  <c r="T28" i="40" s="1"/>
  <c r="S43" i="39"/>
  <c r="V43" i="39" s="1"/>
  <c r="V42" i="39"/>
  <c r="V36" i="39"/>
  <c r="V30" i="39"/>
  <c r="V26" i="39"/>
  <c r="V25" i="39"/>
  <c r="X23" i="39"/>
  <c r="X27" i="39"/>
  <c r="X38" i="39"/>
  <c r="X43" i="39"/>
  <c r="X24" i="39"/>
  <c r="S25" i="39"/>
  <c r="T25" i="39" s="1"/>
  <c r="X28" i="39"/>
  <c r="S30" i="39"/>
  <c r="X35" i="39"/>
  <c r="S36" i="39"/>
  <c r="X39" i="39"/>
  <c r="S40" i="39"/>
  <c r="V40" i="39" s="1"/>
  <c r="K17" i="39"/>
  <c r="S22" i="39"/>
  <c r="T22" i="39" s="1"/>
  <c r="S26" i="39"/>
  <c r="T26" i="39" s="1"/>
  <c r="AC26" i="39" s="1"/>
  <c r="S33" i="39"/>
  <c r="S37" i="39"/>
  <c r="T37" i="39" s="1"/>
  <c r="S42" i="39"/>
  <c r="T42" i="39" s="1"/>
  <c r="S23" i="39"/>
  <c r="T23" i="39" s="1"/>
  <c r="S27" i="39"/>
  <c r="T27" i="39" s="1"/>
  <c r="S34" i="39"/>
  <c r="S38" i="39"/>
  <c r="T38" i="39" s="1"/>
  <c r="Y35" i="37"/>
  <c r="V34" i="37"/>
  <c r="Y32" i="37"/>
  <c r="X32" i="37"/>
  <c r="U32" i="37"/>
  <c r="V31" i="37"/>
  <c r="Y31" i="37"/>
  <c r="U31" i="37"/>
  <c r="V30" i="37"/>
  <c r="X28" i="37"/>
  <c r="U28" i="37"/>
  <c r="Y28" i="37"/>
  <c r="V27" i="37"/>
  <c r="Y27" i="37"/>
  <c r="U27" i="37"/>
  <c r="V26" i="37"/>
  <c r="Y24" i="37"/>
  <c r="X24" i="37"/>
  <c r="Y23" i="37"/>
  <c r="W42" i="37"/>
  <c r="S42" i="37"/>
  <c r="AA42" i="37"/>
  <c r="Z42" i="37"/>
  <c r="Q23" i="37"/>
  <c r="R23" i="37" s="1"/>
  <c r="Q27" i="37"/>
  <c r="R27" i="37" s="1"/>
  <c r="Q31" i="37"/>
  <c r="R31" i="37" s="1"/>
  <c r="Q35" i="37"/>
  <c r="R35" i="37" s="1"/>
  <c r="N16" i="37"/>
  <c r="X21" i="37"/>
  <c r="Q24" i="37"/>
  <c r="X25" i="37"/>
  <c r="Q28" i="37"/>
  <c r="R28" i="37" s="1"/>
  <c r="X29" i="37"/>
  <c r="Q32" i="37"/>
  <c r="R32" i="37" s="1"/>
  <c r="X33" i="37"/>
  <c r="Q21" i="37"/>
  <c r="R21" i="37" s="1"/>
  <c r="U21" i="37"/>
  <c r="Y21" i="37"/>
  <c r="X22" i="37"/>
  <c r="Q25" i="37"/>
  <c r="R25" i="37" s="1"/>
  <c r="U25" i="37"/>
  <c r="Y25" i="37"/>
  <c r="X26" i="37"/>
  <c r="Q29" i="37"/>
  <c r="R29" i="37" s="1"/>
  <c r="U29" i="37"/>
  <c r="Y29" i="37"/>
  <c r="X30" i="37"/>
  <c r="Q33" i="37"/>
  <c r="R33" i="37" s="1"/>
  <c r="U33" i="37"/>
  <c r="Y33" i="37"/>
  <c r="X34" i="37"/>
  <c r="Q22" i="37"/>
  <c r="R22" i="37" s="1"/>
  <c r="Q26" i="37"/>
  <c r="R26" i="37" s="1"/>
  <c r="U26" i="37"/>
  <c r="Q30" i="37"/>
  <c r="R30" i="37" s="1"/>
  <c r="U30" i="37"/>
  <c r="Q34" i="37"/>
  <c r="R34" i="37" s="1"/>
  <c r="U34" i="37"/>
  <c r="U39" i="36"/>
  <c r="V39" i="36"/>
  <c r="Y39" i="36"/>
  <c r="V38" i="36"/>
  <c r="V36" i="36"/>
  <c r="X36" i="36"/>
  <c r="U36" i="36"/>
  <c r="V35" i="36"/>
  <c r="Y35" i="36"/>
  <c r="V34" i="36"/>
  <c r="X32" i="36"/>
  <c r="V28" i="36"/>
  <c r="X28" i="36"/>
  <c r="U28" i="36"/>
  <c r="Y27" i="36"/>
  <c r="V26" i="36"/>
  <c r="X24" i="36"/>
  <c r="V23" i="36"/>
  <c r="U23" i="36"/>
  <c r="AA42" i="36"/>
  <c r="Y23" i="36"/>
  <c r="W42" i="36"/>
  <c r="S42" i="36"/>
  <c r="V22" i="36"/>
  <c r="Z42" i="36"/>
  <c r="Q23" i="36"/>
  <c r="R23" i="36" s="1"/>
  <c r="Q27" i="36"/>
  <c r="T27" i="36" s="1"/>
  <c r="Q35" i="36"/>
  <c r="U35" i="36" s="1"/>
  <c r="Q39" i="36"/>
  <c r="R39" i="36" s="1"/>
  <c r="N16" i="36"/>
  <c r="X21" i="36"/>
  <c r="Q24" i="36"/>
  <c r="T24" i="36" s="1"/>
  <c r="X25" i="36"/>
  <c r="Q28" i="36"/>
  <c r="R28" i="36" s="1"/>
  <c r="X29" i="36"/>
  <c r="Q32" i="36"/>
  <c r="R32" i="36" s="1"/>
  <c r="X33" i="36"/>
  <c r="Q36" i="36"/>
  <c r="R36" i="36" s="1"/>
  <c r="X37" i="36"/>
  <c r="Q21" i="36"/>
  <c r="Y21" i="36"/>
  <c r="X22" i="36"/>
  <c r="Q25" i="36"/>
  <c r="T25" i="36" s="1"/>
  <c r="Y25" i="36"/>
  <c r="X26" i="36"/>
  <c r="Q29" i="36"/>
  <c r="R29" i="36" s="1"/>
  <c r="U29" i="36"/>
  <c r="Y29" i="36"/>
  <c r="Q33" i="36"/>
  <c r="R33" i="36" s="1"/>
  <c r="U33" i="36"/>
  <c r="Y33" i="36"/>
  <c r="X34" i="36"/>
  <c r="Q37" i="36"/>
  <c r="R37" i="36" s="1"/>
  <c r="U37" i="36"/>
  <c r="Y37" i="36"/>
  <c r="X38" i="36"/>
  <c r="Q22" i="36"/>
  <c r="Q26" i="36"/>
  <c r="T26" i="36" s="1"/>
  <c r="Q34" i="36"/>
  <c r="R34" i="36" s="1"/>
  <c r="U34" i="36"/>
  <c r="U38" i="36"/>
  <c r="E14" i="16"/>
  <c r="H14" i="16" s="1"/>
  <c r="G14" i="16"/>
  <c r="E22" i="16" s="1"/>
  <c r="C14" i="16"/>
  <c r="D3" i="16"/>
  <c r="Y31" i="39" l="1"/>
  <c r="AA31" i="39"/>
  <c r="AA45" i="39" s="1"/>
  <c r="W29" i="39"/>
  <c r="Z29" i="39"/>
  <c r="Z45" i="39" s="1"/>
  <c r="AC30" i="40"/>
  <c r="V24" i="36"/>
  <c r="V31" i="40"/>
  <c r="AC31" i="40" s="1"/>
  <c r="R24" i="37"/>
  <c r="T24" i="37"/>
  <c r="U24" i="37"/>
  <c r="S30" i="41"/>
  <c r="Q30" i="41"/>
  <c r="R31" i="41"/>
  <c r="Q31" i="41"/>
  <c r="S23" i="41"/>
  <c r="Q23" i="41"/>
  <c r="S32" i="41"/>
  <c r="Q32" i="41"/>
  <c r="R28" i="41"/>
  <c r="Q28" i="41"/>
  <c r="S24" i="41"/>
  <c r="Q24" i="41"/>
  <c r="R35" i="36"/>
  <c r="T35" i="36"/>
  <c r="AC35" i="36" s="1"/>
  <c r="V27" i="36"/>
  <c r="Y30" i="39"/>
  <c r="X30" i="39"/>
  <c r="S26" i="41"/>
  <c r="Q26" i="41"/>
  <c r="Q35" i="41"/>
  <c r="V35" i="41" s="1"/>
  <c r="S35" i="41"/>
  <c r="S29" i="41"/>
  <c r="Q29" i="41"/>
  <c r="S25" i="41"/>
  <c r="Q25" i="41"/>
  <c r="S22" i="42"/>
  <c r="Q22" i="42"/>
  <c r="S30" i="42"/>
  <c r="Q30" i="42"/>
  <c r="AC32" i="40"/>
  <c r="AC33" i="40"/>
  <c r="Q22" i="41"/>
  <c r="V24" i="37"/>
  <c r="V38" i="41"/>
  <c r="W27" i="40"/>
  <c r="T27" i="40"/>
  <c r="T22" i="40"/>
  <c r="Y22" i="40"/>
  <c r="Y44" i="40" s="1"/>
  <c r="T43" i="39"/>
  <c r="W43" i="39"/>
  <c r="T40" i="39"/>
  <c r="W40" i="39"/>
  <c r="W39" i="39"/>
  <c r="T39" i="39"/>
  <c r="T36" i="39"/>
  <c r="U36" i="39"/>
  <c r="Y34" i="39"/>
  <c r="Y45" i="39" s="1"/>
  <c r="T34" i="39"/>
  <c r="W33" i="39"/>
  <c r="U33" i="39"/>
  <c r="U45" i="39" s="1"/>
  <c r="T30" i="39"/>
  <c r="W30" i="39"/>
  <c r="T28" i="39"/>
  <c r="W28" i="39"/>
  <c r="T32" i="36"/>
  <c r="U32" i="36"/>
  <c r="V32" i="36"/>
  <c r="T22" i="36"/>
  <c r="R22" i="36"/>
  <c r="T21" i="36"/>
  <c r="R21" i="36"/>
  <c r="R42" i="36" s="1"/>
  <c r="V22" i="37"/>
  <c r="T22" i="37"/>
  <c r="U22" i="37"/>
  <c r="R25" i="36"/>
  <c r="V23" i="37"/>
  <c r="U23" i="37"/>
  <c r="T23" i="37"/>
  <c r="V35" i="37"/>
  <c r="U35" i="37"/>
  <c r="T35" i="37"/>
  <c r="AC34" i="37"/>
  <c r="AC30" i="37"/>
  <c r="AC26" i="37"/>
  <c r="AC25" i="40"/>
  <c r="AC26" i="40"/>
  <c r="AC37" i="39"/>
  <c r="AC25" i="39"/>
  <c r="R42" i="37"/>
  <c r="AC28" i="36"/>
  <c r="AC36" i="36"/>
  <c r="AC39" i="36"/>
  <c r="AC32" i="37"/>
  <c r="AC40" i="37"/>
  <c r="R26" i="42"/>
  <c r="S26" i="42"/>
  <c r="V21" i="36"/>
  <c r="R37" i="42"/>
  <c r="V37" i="42" s="1"/>
  <c r="R22" i="42"/>
  <c r="AC34" i="36"/>
  <c r="U26" i="36"/>
  <c r="AC26" i="36" s="1"/>
  <c r="U22" i="36"/>
  <c r="U25" i="36"/>
  <c r="U21" i="36"/>
  <c r="U24" i="36"/>
  <c r="AC24" i="36" s="1"/>
  <c r="U27" i="36"/>
  <c r="AC27" i="36" s="1"/>
  <c r="AC31" i="37"/>
  <c r="AC36" i="37"/>
  <c r="W44" i="40"/>
  <c r="AC28" i="40"/>
  <c r="R31" i="42"/>
  <c r="S31" i="42"/>
  <c r="R38" i="42"/>
  <c r="S38" i="42"/>
  <c r="R30" i="42"/>
  <c r="V30" i="42" s="1"/>
  <c r="V25" i="36"/>
  <c r="R23" i="41"/>
  <c r="R25" i="41"/>
  <c r="R22" i="41"/>
  <c r="R32" i="41"/>
  <c r="R26" i="41"/>
  <c r="S33" i="41"/>
  <c r="V33" i="41" s="1"/>
  <c r="S31" i="41"/>
  <c r="S28" i="41"/>
  <c r="R29" i="41"/>
  <c r="R24" i="41"/>
  <c r="R30" i="41"/>
  <c r="AC35" i="39"/>
  <c r="AC24" i="39"/>
  <c r="X34" i="39"/>
  <c r="V39" i="39"/>
  <c r="V27" i="40"/>
  <c r="V23" i="40"/>
  <c r="X44" i="40"/>
  <c r="AC23" i="40"/>
  <c r="AC42" i="39"/>
  <c r="AC38" i="39"/>
  <c r="V33" i="39"/>
  <c r="AC27" i="39"/>
  <c r="AC23" i="39"/>
  <c r="V22" i="39"/>
  <c r="W22" i="39"/>
  <c r="AC39" i="37"/>
  <c r="AC38" i="37"/>
  <c r="AC37" i="37"/>
  <c r="AC33" i="37"/>
  <c r="AC29" i="37"/>
  <c r="AC28" i="37"/>
  <c r="AC27" i="37"/>
  <c r="AC25" i="37"/>
  <c r="AC21" i="37"/>
  <c r="Y42" i="37"/>
  <c r="X42" i="37"/>
  <c r="AC38" i="36"/>
  <c r="AC37" i="36"/>
  <c r="AC33" i="36"/>
  <c r="AC29" i="36"/>
  <c r="AC23" i="36"/>
  <c r="C3" i="16"/>
  <c r="D14" i="16" s="1"/>
  <c r="F14" i="16" s="1"/>
  <c r="Y42" i="36"/>
  <c r="X42" i="36"/>
  <c r="E18" i="16"/>
  <c r="B15" i="16"/>
  <c r="G15" i="16"/>
  <c r="B16" i="16"/>
  <c r="E21" i="16"/>
  <c r="E19" i="16"/>
  <c r="E20" i="16"/>
  <c r="T44" i="40" l="1"/>
  <c r="AC40" i="39"/>
  <c r="AC43" i="39"/>
  <c r="AC29" i="39"/>
  <c r="AC31" i="39"/>
  <c r="Q42" i="41"/>
  <c r="AC35" i="37"/>
  <c r="AC22" i="37"/>
  <c r="AC24" i="37"/>
  <c r="AC34" i="39"/>
  <c r="V24" i="41"/>
  <c r="V28" i="41"/>
  <c r="V23" i="41"/>
  <c r="AC21" i="36"/>
  <c r="AC22" i="36"/>
  <c r="T42" i="36"/>
  <c r="AC39" i="39"/>
  <c r="V25" i="41"/>
  <c r="AC32" i="36"/>
  <c r="Q43" i="42"/>
  <c r="T42" i="37"/>
  <c r="AC23" i="37"/>
  <c r="V42" i="37"/>
  <c r="AC28" i="39"/>
  <c r="AC30" i="39"/>
  <c r="AC36" i="39"/>
  <c r="AC27" i="40"/>
  <c r="AC22" i="40"/>
  <c r="T45" i="39"/>
  <c r="W45" i="39"/>
  <c r="X45" i="39"/>
  <c r="AC33" i="39"/>
  <c r="U42" i="37"/>
  <c r="V31" i="42"/>
  <c r="U42" i="36"/>
  <c r="V42" i="36"/>
  <c r="V22" i="42"/>
  <c r="R43" i="42"/>
  <c r="S43" i="42"/>
  <c r="V38" i="42"/>
  <c r="AC25" i="36"/>
  <c r="V26" i="42"/>
  <c r="V22" i="41"/>
  <c r="R42" i="41"/>
  <c r="S42" i="41"/>
  <c r="V44" i="40"/>
  <c r="V45" i="39"/>
  <c r="AC22" i="39"/>
  <c r="V42" i="41" l="1"/>
  <c r="V20" i="42" s="1"/>
  <c r="V43" i="42" s="1"/>
  <c r="I24" i="17" s="1"/>
  <c r="AC42" i="36"/>
  <c r="AC19" i="37" s="1"/>
  <c r="AC42" i="37" s="1"/>
  <c r="I18" i="17" s="1"/>
  <c r="AC45" i="39"/>
  <c r="AC20" i="40" s="1"/>
  <c r="AC44" i="40" s="1"/>
  <c r="I22" i="17" s="1"/>
  <c r="G29" i="17" l="1"/>
</calcChain>
</file>

<file path=xl/sharedStrings.xml><?xml version="1.0" encoding="utf-8"?>
<sst xmlns="http://schemas.openxmlformats.org/spreadsheetml/2006/main" count="799" uniqueCount="254">
  <si>
    <t>TRANSBA S.A.</t>
  </si>
  <si>
    <t>LÍNEAS</t>
  </si>
  <si>
    <t>CLASE</t>
  </si>
  <si>
    <t xml:space="preserve">ENTE NACIONAL REGULADOR </t>
  </si>
  <si>
    <t>DE LA ELECTRICIDAD</t>
  </si>
  <si>
    <t>SISTEMA DE TRANSPORTE DE ENERGÍA ELÉCTRICA POR DISTRIBUCIÓN TRONCAL - TRANSBA S.A.</t>
  </si>
  <si>
    <t>1.- LÍNEAS</t>
  </si>
  <si>
    <t xml:space="preserve">$/100 km-h : LÍNEAS 220 kV </t>
  </si>
  <si>
    <t>FACTOR DE PENALIZACIÓN (CLASE A)  K=</t>
  </si>
  <si>
    <t xml:space="preserve">$/100 km-h : LÍNEAS 132 kV </t>
  </si>
  <si>
    <t>FACTOR DE PENALIZACIÓN (CLASE B)  K=</t>
  </si>
  <si>
    <t xml:space="preserve">$/100 km-h : LÍNEAS 66 kV </t>
  </si>
  <si>
    <t>FACTOR DE PENALIZACIÓN (CLASE C)  K=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</si>
  <si>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</si>
  <si>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</si>
  <si>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</si>
  <si>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</si>
  <si>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</si>
  <si>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</si>
  <si>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</si>
  <si>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</si>
  <si>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</si>
  <si>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K
(CLASE)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</si>
  <si>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</si>
  <si>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</si>
  <si>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</si>
  <si>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</si>
  <si>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</si>
  <si>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</si>
  <si>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</si>
  <si>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</si>
  <si>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</si>
  <si>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</si>
  <si>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</si>
  <si>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</si>
  <si>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</si>
  <si>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</si>
  <si>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</si>
  <si>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</si>
  <si>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</si>
  <si>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</si>
  <si>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</si>
  <si>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</si>
  <si>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</si>
  <si>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</si>
  <si>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</si>
  <si>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TRANSBA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</si>
  <si>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</si>
  <si>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</si>
  <si>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</si>
  <si>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</si>
  <si>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</si>
  <si>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</si>
  <si>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</si>
  <si>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</si>
  <si>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</si>
  <si>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</si>
  <si>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</si>
  <si>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</si>
  <si>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</si>
  <si>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</si>
  <si>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</si>
  <si>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</si>
  <si>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</si>
  <si>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</si>
  <si>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</si>
  <si>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charset val="2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</si>
  <si>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charset val="2"/>
      </rPr>
      <t>²</t>
    </r>
    <r>
      <rPr>
        <sz val="7"/>
        <rFont val="Times New Roman"/>
        <family val="1"/>
      </rPr>
      <t>)</t>
    </r>
  </si>
  <si>
    <t>PRESTADOR DE LA FUNCIÓN TÉCNICA DE TRANSPORTE DE ENERGÍA ELÉCTRICA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</si>
  <si>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</si>
  <si>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</si>
  <si>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</si>
  <si>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</si>
  <si>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</si>
  <si>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</si>
  <si>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</si>
  <si>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</si>
  <si>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</si>
  <si>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</si>
  <si>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</si>
  <si>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</si>
  <si>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</si>
  <si>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</si>
  <si>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</si>
  <si>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</si>
  <si>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</si>
  <si>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</si>
  <si>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</si>
  <si>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</si>
  <si>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</si>
  <si>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</si>
  <si>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</si>
  <si>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</si>
  <si>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</si>
  <si>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</si>
  <si>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</si>
  <si>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</si>
  <si>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</si>
  <si>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</si>
  <si>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</si>
  <si>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</si>
  <si>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</si>
  <si>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</si>
  <si>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</si>
  <si>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</si>
  <si>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</si>
  <si>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</si>
  <si>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</si>
  <si>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</si>
  <si>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</si>
  <si>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</si>
  <si>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</si>
  <si>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</si>
  <si>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</si>
  <si>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</si>
  <si>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</si>
  <si>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</si>
  <si>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</si>
  <si>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</si>
  <si>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</si>
  <si>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</si>
  <si>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</si>
  <si>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</si>
  <si>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</si>
  <si>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</si>
  <si>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</si>
  <si>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</si>
  <si>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</si>
  <si>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</si>
  <si>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</si>
  <si>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TRANSBA_CAUSAS_VST.XLS</t>
  </si>
  <si>
    <t>MODELO R</t>
  </si>
  <si>
    <t>TRANSBA_INDISPONIBILIDADES_LINEAS_TRANSBA.XLS</t>
  </si>
  <si>
    <t>TRANSBA_INDISPONIBILIDADES_TRAFOS_TRANSBA.XLS</t>
  </si>
  <si>
    <t>TRANSBA_INDISPONIBILIDADES_SALIDAS_TRANSBA.XLS</t>
  </si>
  <si>
    <t>TRANSBA_INDISPONIBILIDADES_REACTIVOS_TRANSBA.XLS</t>
  </si>
  <si>
    <t>LUJAN - MORÓN 2</t>
  </si>
  <si>
    <t>A</t>
  </si>
  <si>
    <t>F</t>
  </si>
  <si>
    <t>SI</t>
  </si>
  <si>
    <t>0,000</t>
  </si>
  <si>
    <t>C</t>
  </si>
  <si>
    <t>P</t>
  </si>
  <si>
    <t>9 DE JULIO - BRAGADO</t>
  </si>
  <si>
    <t>S. A. ARECO - LUJAN</t>
  </si>
  <si>
    <t>OLAVARRIA - AZUL</t>
  </si>
  <si>
    <t>132/33/13,2</t>
  </si>
  <si>
    <t>COLON</t>
  </si>
  <si>
    <t>TRAFO 1</t>
  </si>
  <si>
    <t>R</t>
  </si>
  <si>
    <t>OLAVARRIA VIEJA</t>
  </si>
  <si>
    <t>T2OA</t>
  </si>
  <si>
    <t>T1OA</t>
  </si>
  <si>
    <t>PUNTA ALTA</t>
  </si>
  <si>
    <t>LAS FLORES</t>
  </si>
  <si>
    <t>TRES ARROYOS</t>
  </si>
  <si>
    <t>ARRECIFES</t>
  </si>
  <si>
    <t>BRAGADO</t>
  </si>
  <si>
    <t>VILLA GESELL</t>
  </si>
  <si>
    <t>TRAFO 2</t>
  </si>
  <si>
    <t>132/22/13,2</t>
  </si>
  <si>
    <t>P - PROGRAMADA  ; F - FORZADA</t>
  </si>
  <si>
    <t>Desde el 01 al 29 de Febrero de 2016</t>
  </si>
  <si>
    <t>TORNQUIST - BAHIA BLANCA</t>
  </si>
  <si>
    <t>PIGUE - TORNQUIST</t>
  </si>
  <si>
    <t>MAR DEL PLATA - MIRAMAR</t>
  </si>
  <si>
    <t>CNEL. SUAREZ - PIGUE</t>
  </si>
  <si>
    <t>N. CAMPANA - CORCEMAR   1</t>
  </si>
  <si>
    <t>LAPRIDA - PRINGLES</t>
  </si>
  <si>
    <t>CORCEMAR - TOYOTA   1</t>
  </si>
  <si>
    <t>SAN NICOLÁS - VILLA CONSTITUCIÓN IND.</t>
  </si>
  <si>
    <t>MERCEDES B.A. - LUJAN</t>
  </si>
  <si>
    <t>B</t>
  </si>
  <si>
    <t>HENDERSON - CNEL. SUAREZ</t>
  </si>
  <si>
    <t>GRAL. MADARIAGA - LAS ARMAS</t>
  </si>
  <si>
    <t>URBANA BB - C. PIEDRABUENA</t>
  </si>
  <si>
    <t>PETROQ. BAHIA BLANCA - URBANA BB</t>
  </si>
  <si>
    <t>BAHIA BLANCA - P. LURO</t>
  </si>
  <si>
    <t>MAR DE AJO - PINAMAR</t>
  </si>
  <si>
    <t>OLAVARRIA - HENDERSON</t>
  </si>
  <si>
    <t>GONZALEZ CHAVEZ - TRES ARROYOS</t>
  </si>
  <si>
    <t>ZARATE - CAMPANA III</t>
  </si>
  <si>
    <t>CAMPANA III - MATHEU</t>
  </si>
  <si>
    <t>NO</t>
  </si>
  <si>
    <t>RP</t>
  </si>
  <si>
    <t>TORNQUIST</t>
  </si>
  <si>
    <t>66/33</t>
  </si>
  <si>
    <t>TRAFO 5</t>
  </si>
  <si>
    <t>TRAFO 3</t>
  </si>
  <si>
    <t>LAS ARMAS</t>
  </si>
  <si>
    <t>PINAMAR</t>
  </si>
  <si>
    <t>TRENQUE LAUQUEN</t>
  </si>
  <si>
    <t>AZUL</t>
  </si>
  <si>
    <t>TANDIL</t>
  </si>
  <si>
    <t>CHACABUCO</t>
  </si>
  <si>
    <t>TRAFO1</t>
  </si>
  <si>
    <t>IMPSA</t>
  </si>
  <si>
    <t>132/33/132,2</t>
  </si>
  <si>
    <t xml:space="preserve">SAN PEDRO </t>
  </si>
  <si>
    <t>132/33</t>
  </si>
  <si>
    <t>CHAÑARES</t>
  </si>
  <si>
    <t>132/13,2</t>
  </si>
  <si>
    <t>CAMPANA</t>
  </si>
  <si>
    <t>P - PROGRAMADA  ; F - FORZADA  ; R - REDUCCIÓN FORZADA</t>
  </si>
  <si>
    <t>Alimentador 1 PAPEL TORNQUIST</t>
  </si>
  <si>
    <t>Alimentador 2 PAPEL TORNQUIST</t>
  </si>
  <si>
    <t>Alimentador 1</t>
  </si>
  <si>
    <t>Alimentador 1 a LAS ARMAS</t>
  </si>
  <si>
    <t>HENDERSON</t>
  </si>
  <si>
    <t>SALIDA TRAFO 500/132</t>
  </si>
  <si>
    <t>SALIDA 1 A G. CHAVES</t>
  </si>
  <si>
    <t>SAN NICOLAS</t>
  </si>
  <si>
    <t>SALIDA A RyCSA</t>
  </si>
  <si>
    <t>PROTISA</t>
  </si>
  <si>
    <t>SALIDA A TRAFO 132/13,2</t>
  </si>
  <si>
    <t>SALIDA TG14</t>
  </si>
  <si>
    <t>SALIDA WARNER-O´BRIEN</t>
  </si>
  <si>
    <t>SALIDA 7 A CHACABUCO</t>
  </si>
  <si>
    <t>PETROQUIMICA</t>
  </si>
  <si>
    <t>SALIDA CARGILL</t>
  </si>
  <si>
    <t>SALIDA 2 A G. CHAVES</t>
  </si>
  <si>
    <t>G. CHAVES</t>
  </si>
  <si>
    <t>SALIDA A TRES ARROYOS</t>
  </si>
  <si>
    <t>SALIDA 1 A P.S. GRUNBEIN</t>
  </si>
  <si>
    <t>SALIDA 4 A B. NABAL P. BELGRANO</t>
  </si>
  <si>
    <t>SALIDA 1 A ARRECIFES</t>
  </si>
  <si>
    <t>PIGUE</t>
  </si>
  <si>
    <t>SALIDA 3 A SAAVEDRA</t>
  </si>
  <si>
    <t>SALIDA 6 A B. NABAL P. BELGRANO</t>
  </si>
  <si>
    <t>SALIDA 2 A P.S. GRUNBEIN</t>
  </si>
  <si>
    <t>BARKER</t>
  </si>
  <si>
    <t>Alimentador 3 a Coop.BARKER</t>
  </si>
  <si>
    <t>3.- REACTIVA</t>
  </si>
  <si>
    <t>MVA    $ =</t>
  </si>
  <si>
    <t>JUNIN</t>
  </si>
  <si>
    <t>K1JU</t>
  </si>
  <si>
    <t>MERCEDES</t>
  </si>
  <si>
    <t>CAP K1MD</t>
  </si>
  <si>
    <t>CHIVILCOY</t>
  </si>
  <si>
    <t>K1CI</t>
  </si>
  <si>
    <t>K2CI</t>
  </si>
  <si>
    <t>3.-</t>
  </si>
  <si>
    <t>Equipamiento propio Res. 01_03</t>
  </si>
  <si>
    <t>3.- Equipamiento propio Res. 01_03</t>
  </si>
  <si>
    <t>Valores remuneratorios según Acuerdo SEE-ENRE-TRANSBA - 2016-2017</t>
  </si>
  <si>
    <t>TOTAL DE PENALIZACIONES A APLICAR</t>
  </si>
  <si>
    <t>41b</t>
  </si>
  <si>
    <t>RF</t>
  </si>
  <si>
    <t>42b</t>
  </si>
  <si>
    <t>RR</t>
  </si>
  <si>
    <t xml:space="preserve"> P - PROGRAMADA  ; F - FORZADA  ; R - REDUCCIÓN FORZADA  ; RP - REDUCCIÓN PROGRAMADA  ; RF - RESTANTE FORZADA  ; RR - REDUCCIÓN RESTANTE</t>
  </si>
  <si>
    <t>51b</t>
  </si>
  <si>
    <t>55b</t>
  </si>
  <si>
    <t>ANEXO III al Memorándum D.T.E.E. N°   243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</si>
</sst>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&quot;$&quot;#,##0.00_);\(&quot;$&quot;#,##0.00\)"/>
    <numFmt numFmtId="165" formatCode="&quot;$&quot;#,##0.00_);[Red]\(&quot;$&quot;#,##0.00\)"/>
    <numFmt numFmtId="166" formatCode="0_)"/>
    <numFmt numFmtId="167" formatCode="0.0_)"/>
    <numFmt numFmtId="168" formatCode="#,##0.0000"/>
    <numFmt numFmtId="169" formatCode="0.00_)"/>
    <numFmt numFmtId="170" formatCode="&quot;$&quot;\ #,##0.000;&quot;$&quot;\ \-#,##0.000"/>
    <numFmt numFmtId="171" formatCode="#,##0.0"/>
    <numFmt numFmtId="172" formatCode="0.000"/>
    <numFmt numFmtId="173" formatCode="&quot;$&quot;#,##0.00\ ;&quot;$&quot;\-#,##0.00\ "/>
    <numFmt numFmtId="174" formatCode="0.0000"/>
    <numFmt numFmtId="175" formatCode="0.000_)"/>
  </numFmts>
  <fonts count="74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/>
      <sz val="10"/>
      <name val="Times New Roman"/>
      <family val="1"/>
    </font>
    <font>
      <b/>
      <i/>
      <u/>
      <sz val="14"/>
      <name val="Times New Roman"/>
      <family val="1"/>
    </font>
    <font>
      <b/>
      <i/>
      <u/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u/>
      <sz val="16"/>
      <name val="Times New Roman"/>
      <family val="1"/>
    </font>
    <font>
      <sz val="10"/>
      <name val="MS Sans Serif"/>
      <family val="2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charset val="2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8"/>
      <name val="Times New Roman"/>
      <family val="1"/>
    </font>
    <font>
      <b/>
      <sz val="10"/>
      <color indexed="47"/>
      <name val="Times New Roman"/>
      <family val="1"/>
    </font>
    <font>
      <sz val="11"/>
      <name val="Times New Roman"/>
      <family val="1"/>
    </font>
    <font>
      <sz val="7"/>
      <name val="Wingdings"/>
      <charset val="2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26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26"/>
      <name val="Times New Roman"/>
      <family val="1"/>
    </font>
    <font>
      <b/>
      <sz val="10"/>
      <color indexed="58"/>
      <name val="Times New Roman"/>
      <family val="1"/>
    </font>
    <font>
      <b/>
      <sz val="12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sz val="10"/>
      <color indexed="50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2"/>
    </font>
    <font>
      <b/>
      <sz val="20"/>
      <name val="Times New Roman"/>
      <family val="1"/>
    </font>
    <font>
      <b/>
      <u/>
      <sz val="14"/>
      <name val="Times New Roman"/>
      <family val="1"/>
    </font>
    <font>
      <sz val="16"/>
      <name val="MS Sans Serif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MS Sans Serif"/>
      <family val="2"/>
    </font>
    <font>
      <sz val="10"/>
      <color indexed="50"/>
      <name val="MS Sans Serif"/>
      <family val="2"/>
    </font>
    <font>
      <sz val="10"/>
      <color rgb="FF000000"/>
      <name val="MS Sans Serif"/>
    </font>
    <font>
      <sz val="9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492">
    <xf numFmtId="0" fontId="0" fillId="0" borderId="0" xfId="0"/>
    <xf numFmtId="0" fontId="7" fillId="0" borderId="0" xfId="4" applyFont="1"/>
    <xf numFmtId="0" fontId="7" fillId="0" borderId="0" xfId="4" applyFont="1" applyFill="1" applyBorder="1"/>
    <xf numFmtId="0" fontId="9" fillId="0" borderId="0" xfId="4" applyFont="1"/>
    <xf numFmtId="0" fontId="9" fillId="0" borderId="0" xfId="4" applyFont="1" applyAlignment="1">
      <alignment horizontal="centerContinuous"/>
    </xf>
    <xf numFmtId="0" fontId="2" fillId="0" borderId="0" xfId="4"/>
    <xf numFmtId="0" fontId="7" fillId="0" borderId="0" xfId="4" applyFont="1" applyAlignment="1">
      <alignment horizontal="centerContinuous"/>
    </xf>
    <xf numFmtId="0" fontId="7" fillId="0" borderId="0" xfId="4" applyFont="1" applyBorder="1"/>
    <xf numFmtId="0" fontId="5" fillId="0" borderId="0" xfId="4" applyFont="1" applyFill="1" applyBorder="1" applyAlignment="1" applyProtection="1">
      <alignment horizontal="centerContinuous"/>
    </xf>
    <xf numFmtId="0" fontId="11" fillId="0" borderId="0" xfId="4" applyFont="1"/>
    <xf numFmtId="0" fontId="12" fillId="0" borderId="0" xfId="4" applyFont="1"/>
    <xf numFmtId="0" fontId="14" fillId="0" borderId="1" xfId="4" applyFont="1" applyBorder="1" applyAlignment="1">
      <alignment horizontal="centerContinuous"/>
    </xf>
    <xf numFmtId="0" fontId="14" fillId="0" borderId="0" xfId="4" applyFont="1" applyBorder="1" applyAlignment="1">
      <alignment horizontal="centerContinuous"/>
    </xf>
    <xf numFmtId="0" fontId="7" fillId="0" borderId="1" xfId="4" applyFont="1" applyBorder="1"/>
    <xf numFmtId="0" fontId="7" fillId="0" borderId="2" xfId="4" applyFont="1" applyBorder="1"/>
    <xf numFmtId="0" fontId="7" fillId="0" borderId="0" xfId="4" applyFont="1" applyBorder="1" applyAlignment="1">
      <alignment horizontal="center"/>
    </xf>
    <xf numFmtId="0" fontId="10" fillId="0" borderId="0" xfId="4" applyFont="1" applyAlignment="1" applyProtection="1">
      <alignment horizontal="centerContinuous"/>
      <protection locked="0"/>
    </xf>
    <xf numFmtId="0" fontId="13" fillId="0" borderId="0" xfId="4" applyFont="1" applyAlignment="1" applyProtection="1">
      <alignment horizontal="centerContinuous"/>
      <protection locked="0"/>
    </xf>
    <xf numFmtId="0" fontId="5" fillId="0" borderId="0" xfId="4" applyFont="1" applyBorder="1" applyAlignment="1" applyProtection="1">
      <alignment horizontal="centerContinuous"/>
    </xf>
    <xf numFmtId="0" fontId="7" fillId="0" borderId="3" xfId="4" applyFont="1" applyBorder="1"/>
    <xf numFmtId="0" fontId="7" fillId="0" borderId="4" xfId="4" applyFont="1" applyBorder="1"/>
    <xf numFmtId="0" fontId="7" fillId="0" borderId="5" xfId="4" applyFont="1" applyBorder="1"/>
    <xf numFmtId="0" fontId="17" fillId="0" borderId="0" xfId="4" applyFont="1"/>
    <xf numFmtId="0" fontId="17" fillId="0" borderId="1" xfId="4" applyFont="1" applyBorder="1"/>
    <xf numFmtId="0" fontId="18" fillId="0" borderId="0" xfId="4" applyFont="1" applyBorder="1"/>
    <xf numFmtId="0" fontId="17" fillId="0" borderId="0" xfId="4" applyFont="1" applyBorder="1"/>
    <xf numFmtId="0" fontId="17" fillId="0" borderId="2" xfId="4" applyFont="1" applyBorder="1"/>
    <xf numFmtId="0" fontId="16" fillId="0" borderId="0" xfId="4" applyFont="1" applyBorder="1"/>
    <xf numFmtId="0" fontId="14" fillId="0" borderId="0" xfId="4" applyFont="1" applyFill="1" applyBorder="1" applyAlignment="1" applyProtection="1">
      <alignment horizontal="centerContinuous"/>
      <protection locked="0"/>
    </xf>
    <xf numFmtId="0" fontId="14" fillId="0" borderId="0" xfId="4" applyFont="1" applyAlignment="1">
      <alignment horizontal="centerContinuous"/>
    </xf>
    <xf numFmtId="0" fontId="14" fillId="0" borderId="0" xfId="4" applyFont="1" applyBorder="1" applyAlignment="1" applyProtection="1">
      <alignment horizontal="centerContinuous"/>
    </xf>
    <xf numFmtId="0" fontId="14" fillId="0" borderId="2" xfId="4" applyFont="1" applyBorder="1" applyAlignment="1">
      <alignment horizontal="centerContinuous"/>
    </xf>
    <xf numFmtId="0" fontId="13" fillId="0" borderId="0" xfId="4" applyFont="1" applyBorder="1"/>
    <xf numFmtId="0" fontId="16" fillId="0" borderId="0" xfId="4" applyFont="1" applyBorder="1" applyProtection="1"/>
    <xf numFmtId="0" fontId="7" fillId="0" borderId="0" xfId="4" applyFont="1" applyBorder="1" applyProtection="1"/>
    <xf numFmtId="0" fontId="19" fillId="0" borderId="6" xfId="4" applyFont="1" applyBorder="1" applyAlignment="1" applyProtection="1">
      <alignment horizontal="center"/>
    </xf>
    <xf numFmtId="172" fontId="19" fillId="0" borderId="6" xfId="4" applyNumberFormat="1" applyFont="1" applyBorder="1" applyAlignment="1">
      <alignment horizontal="centerContinuous"/>
    </xf>
    <xf numFmtId="0" fontId="16" fillId="0" borderId="7" xfId="4" applyFont="1" applyBorder="1" applyAlignment="1" applyProtection="1">
      <alignment horizontal="centerContinuous"/>
    </xf>
    <xf numFmtId="0" fontId="16" fillId="0" borderId="0" xfId="4" applyFont="1" applyBorder="1" applyAlignment="1" applyProtection="1"/>
    <xf numFmtId="0" fontId="19" fillId="0" borderId="0" xfId="4" applyFont="1" applyBorder="1" applyAlignment="1">
      <alignment horizontal="right"/>
    </xf>
    <xf numFmtId="0" fontId="19" fillId="0" borderId="0" xfId="4" applyFont="1" applyBorder="1" applyAlignment="1" applyProtection="1">
      <alignment horizontal="center"/>
      <protection locked="0"/>
    </xf>
    <xf numFmtId="0" fontId="19" fillId="0" borderId="0" xfId="4" applyFont="1" applyAlignment="1" applyProtection="1"/>
    <xf numFmtId="168" fontId="7" fillId="0" borderId="7" xfId="4" applyNumberFormat="1" applyFont="1" applyBorder="1" applyAlignment="1">
      <alignment horizontal="centerContinuous"/>
    </xf>
    <xf numFmtId="168" fontId="7" fillId="0" borderId="0" xfId="4" applyNumberFormat="1" applyFont="1" applyBorder="1" applyAlignment="1"/>
    <xf numFmtId="0" fontId="19" fillId="0" borderId="0" xfId="4" applyFont="1" applyAlignment="1">
      <alignment horizontal="right"/>
    </xf>
    <xf numFmtId="0" fontId="7" fillId="0" borderId="0" xfId="4" applyFont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20" fillId="0" borderId="8" xfId="4" applyFont="1" applyBorder="1" applyAlignment="1" applyProtection="1">
      <alignment horizontal="center" vertical="center"/>
    </xf>
    <xf numFmtId="0" fontId="20" fillId="0" borderId="8" xfId="4" applyFont="1" applyBorder="1" applyAlignment="1" applyProtection="1">
      <alignment horizontal="center" vertical="center" wrapText="1"/>
    </xf>
    <xf numFmtId="0" fontId="21" fillId="2" borderId="8" xfId="4" applyFont="1" applyFill="1" applyBorder="1" applyAlignment="1" applyProtection="1">
      <alignment horizontal="center" vertical="center"/>
    </xf>
    <xf numFmtId="0" fontId="23" fillId="3" borderId="8" xfId="4" applyFont="1" applyFill="1" applyBorder="1" applyAlignment="1" applyProtection="1">
      <alignment horizontal="center" vertical="center" wrapText="1"/>
    </xf>
    <xf numFmtId="0" fontId="24" fillId="4" borderId="8" xfId="4" applyFont="1" applyFill="1" applyBorder="1" applyAlignment="1">
      <alignment horizontal="center" vertical="center" wrapText="1"/>
    </xf>
    <xf numFmtId="0" fontId="25" fillId="5" borderId="8" xfId="4" applyFont="1" applyFill="1" applyBorder="1" applyAlignment="1">
      <alignment horizontal="center" vertical="center" wrapText="1"/>
    </xf>
    <xf numFmtId="0" fontId="26" fillId="2" borderId="6" xfId="4" applyFont="1" applyFill="1" applyBorder="1" applyAlignment="1" applyProtection="1">
      <alignment horizontal="centerContinuous" vertical="center" wrapText="1"/>
    </xf>
    <xf numFmtId="0" fontId="27" fillId="2" borderId="9" xfId="4" applyFont="1" applyFill="1" applyBorder="1" applyAlignment="1">
      <alignment horizontal="centerContinuous"/>
    </xf>
    <xf numFmtId="0" fontId="26" fillId="2" borderId="7" xfId="4" applyFont="1" applyFill="1" applyBorder="1" applyAlignment="1">
      <alignment horizontal="centerContinuous" vertical="center"/>
    </xf>
    <xf numFmtId="0" fontId="24" fillId="6" borderId="6" xfId="4" applyFont="1" applyFill="1" applyBorder="1" applyAlignment="1" applyProtection="1">
      <alignment horizontal="centerContinuous" vertical="center" wrapText="1"/>
    </xf>
    <xf numFmtId="0" fontId="24" fillId="6" borderId="9" xfId="4" applyFont="1" applyFill="1" applyBorder="1" applyAlignment="1">
      <alignment horizontal="centerContinuous" vertical="center"/>
    </xf>
    <xf numFmtId="0" fontId="24" fillId="6" borderId="7" xfId="4" applyFont="1" applyFill="1" applyBorder="1" applyAlignment="1">
      <alignment horizontal="centerContinuous" vertical="center"/>
    </xf>
    <xf numFmtId="0" fontId="28" fillId="7" borderId="8" xfId="4" applyFont="1" applyFill="1" applyBorder="1" applyAlignment="1">
      <alignment horizontal="center" vertical="center" wrapText="1"/>
    </xf>
    <xf numFmtId="0" fontId="29" fillId="8" borderId="8" xfId="4" applyFont="1" applyFill="1" applyBorder="1" applyAlignment="1">
      <alignment horizontal="center" vertical="center" wrapText="1"/>
    </xf>
    <xf numFmtId="0" fontId="20" fillId="0" borderId="8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/>
    </xf>
    <xf numFmtId="0" fontId="7" fillId="0" borderId="10" xfId="4" applyFont="1" applyBorder="1" applyProtection="1">
      <protection locked="0"/>
    </xf>
    <xf numFmtId="0" fontId="7" fillId="0" borderId="10" xfId="4" applyFont="1" applyBorder="1" applyAlignment="1" applyProtection="1">
      <alignment horizontal="center"/>
      <protection locked="0"/>
    </xf>
    <xf numFmtId="0" fontId="30" fillId="2" borderId="10" xfId="4" applyFont="1" applyFill="1" applyBorder="1" applyProtection="1">
      <protection locked="0"/>
    </xf>
    <xf numFmtId="0" fontId="7" fillId="0" borderId="10" xfId="4" applyFont="1" applyBorder="1" applyAlignment="1">
      <alignment horizontal="center"/>
    </xf>
    <xf numFmtId="0" fontId="31" fillId="3" borderId="10" xfId="4" applyFont="1" applyFill="1" applyBorder="1" applyProtection="1">
      <protection locked="0"/>
    </xf>
    <xf numFmtId="0" fontId="32" fillId="4" borderId="10" xfId="4" applyFont="1" applyFill="1" applyBorder="1" applyProtection="1">
      <protection locked="0"/>
    </xf>
    <xf numFmtId="0" fontId="33" fillId="5" borderId="10" xfId="4" applyFont="1" applyFill="1" applyBorder="1" applyProtection="1">
      <protection locked="0"/>
    </xf>
    <xf numFmtId="0" fontId="34" fillId="2" borderId="10" xfId="4" applyFont="1" applyFill="1" applyBorder="1" applyAlignment="1" applyProtection="1">
      <alignment horizontal="center"/>
      <protection locked="0"/>
    </xf>
    <xf numFmtId="0" fontId="34" fillId="2" borderId="10" xfId="4" applyFont="1" applyFill="1" applyBorder="1" applyProtection="1">
      <protection locked="0"/>
    </xf>
    <xf numFmtId="0" fontId="32" fillId="6" borderId="10" xfId="4" applyFont="1" applyFill="1" applyBorder="1" applyProtection="1">
      <protection locked="0"/>
    </xf>
    <xf numFmtId="0" fontId="35" fillId="7" borderId="10" xfId="4" applyFont="1" applyFill="1" applyBorder="1" applyProtection="1">
      <protection locked="0"/>
    </xf>
    <xf numFmtId="0" fontId="36" fillId="8" borderId="10" xfId="4" applyFont="1" applyFill="1" applyBorder="1" applyProtection="1">
      <protection locked="0"/>
    </xf>
    <xf numFmtId="173" fontId="37" fillId="0" borderId="10" xfId="4" applyNumberFormat="1" applyFont="1" applyBorder="1" applyAlignment="1">
      <alignment horizontal="right"/>
    </xf>
    <xf numFmtId="0" fontId="7" fillId="0" borderId="11" xfId="4" applyFont="1" applyBorder="1" applyProtection="1">
      <protection locked="0"/>
    </xf>
    <xf numFmtId="0" fontId="7" fillId="0" borderId="12" xfId="4" applyFont="1" applyBorder="1" applyAlignment="1" applyProtection="1">
      <alignment horizontal="center"/>
      <protection locked="0"/>
    </xf>
    <xf numFmtId="0" fontId="30" fillId="2" borderId="11" xfId="4" applyFont="1" applyFill="1" applyBorder="1" applyProtection="1">
      <protection locked="0"/>
    </xf>
    <xf numFmtId="0" fontId="7" fillId="0" borderId="11" xfId="4" applyFont="1" applyBorder="1" applyAlignment="1" applyProtection="1">
      <alignment horizontal="center"/>
      <protection locked="0"/>
    </xf>
    <xf numFmtId="0" fontId="7" fillId="0" borderId="11" xfId="4" applyFont="1" applyBorder="1" applyAlignment="1">
      <alignment horizontal="center"/>
    </xf>
    <xf numFmtId="0" fontId="31" fillId="3" borderId="11" xfId="4" applyFont="1" applyFill="1" applyBorder="1" applyProtection="1">
      <protection locked="0"/>
    </xf>
    <xf numFmtId="0" fontId="32" fillId="4" borderId="11" xfId="4" applyFont="1" applyFill="1" applyBorder="1" applyProtection="1">
      <protection locked="0"/>
    </xf>
    <xf numFmtId="0" fontId="33" fillId="5" borderId="11" xfId="4" applyFont="1" applyFill="1" applyBorder="1" applyProtection="1">
      <protection locked="0"/>
    </xf>
    <xf numFmtId="0" fontId="34" fillId="2" borderId="11" xfId="4" applyFont="1" applyFill="1" applyBorder="1" applyAlignment="1" applyProtection="1">
      <alignment horizontal="center"/>
      <protection locked="0"/>
    </xf>
    <xf numFmtId="0" fontId="34" fillId="2" borderId="11" xfId="4" applyFont="1" applyFill="1" applyBorder="1" applyProtection="1">
      <protection locked="0"/>
    </xf>
    <xf numFmtId="0" fontId="32" fillId="6" borderId="11" xfId="4" applyFont="1" applyFill="1" applyBorder="1" applyProtection="1">
      <protection locked="0"/>
    </xf>
    <xf numFmtId="0" fontId="35" fillId="7" borderId="11" xfId="4" applyFont="1" applyFill="1" applyBorder="1" applyProtection="1">
      <protection locked="0"/>
    </xf>
    <xf numFmtId="0" fontId="36" fillId="8" borderId="11" xfId="4" applyFont="1" applyFill="1" applyBorder="1" applyProtection="1">
      <protection locked="0"/>
    </xf>
    <xf numFmtId="0" fontId="37" fillId="0" borderId="11" xfId="4" applyFont="1" applyBorder="1" applyAlignment="1">
      <alignment horizontal="center"/>
    </xf>
    <xf numFmtId="2" fontId="7" fillId="0" borderId="12" xfId="4" applyNumberFormat="1" applyFont="1" applyBorder="1" applyAlignment="1" applyProtection="1">
      <alignment horizontal="center"/>
      <protection locked="0"/>
    </xf>
    <xf numFmtId="2" fontId="7" fillId="0" borderId="11" xfId="4" applyNumberFormat="1" applyFont="1" applyBorder="1" applyAlignment="1" applyProtection="1">
      <alignment horizontal="center"/>
      <protection locked="0"/>
    </xf>
    <xf numFmtId="169" fontId="30" fillId="2" borderId="11" xfId="4" applyNumberFormat="1" applyFont="1" applyFill="1" applyBorder="1" applyAlignment="1" applyProtection="1">
      <alignment horizontal="center"/>
      <protection locked="0"/>
    </xf>
    <xf numFmtId="22" fontId="7" fillId="0" borderId="11" xfId="4" applyNumberFormat="1" applyFont="1" applyBorder="1" applyAlignment="1" applyProtection="1">
      <alignment horizontal="center"/>
      <protection locked="0"/>
    </xf>
    <xf numFmtId="2" fontId="7" fillId="0" borderId="11" xfId="4" applyNumberFormat="1" applyFont="1" applyBorder="1" applyAlignment="1" applyProtection="1">
      <alignment horizontal="center"/>
    </xf>
    <xf numFmtId="1" fontId="7" fillId="0" borderId="11" xfId="4" applyNumberFormat="1" applyFont="1" applyBorder="1" applyAlignment="1" applyProtection="1">
      <alignment horizontal="center"/>
    </xf>
    <xf numFmtId="169" fontId="7" fillId="0" borderId="11" xfId="4" applyNumberFormat="1" applyFont="1" applyBorder="1" applyAlignment="1" applyProtection="1">
      <alignment horizontal="center"/>
      <protection locked="0"/>
    </xf>
    <xf numFmtId="169" fontId="31" fillId="3" borderId="11" xfId="4" quotePrefix="1" applyNumberFormat="1" applyFont="1" applyFill="1" applyBorder="1" applyAlignment="1" applyProtection="1">
      <alignment horizontal="center"/>
      <protection locked="0"/>
    </xf>
    <xf numFmtId="2" fontId="32" fillId="4" borderId="11" xfId="4" applyNumberFormat="1" applyFont="1" applyFill="1" applyBorder="1" applyAlignment="1" applyProtection="1">
      <alignment horizontal="center"/>
      <protection locked="0"/>
    </xf>
    <xf numFmtId="2" fontId="33" fillId="5" borderId="11" xfId="4" applyNumberFormat="1" applyFont="1" applyFill="1" applyBorder="1" applyAlignment="1" applyProtection="1">
      <alignment horizontal="center"/>
      <protection locked="0"/>
    </xf>
    <xf numFmtId="169" fontId="34" fillId="2" borderId="11" xfId="4" quotePrefix="1" applyNumberFormat="1" applyFont="1" applyFill="1" applyBorder="1" applyAlignment="1" applyProtection="1">
      <alignment horizontal="center"/>
      <protection locked="0"/>
    </xf>
    <xf numFmtId="4" fontId="34" fillId="2" borderId="11" xfId="4" applyNumberFormat="1" applyFont="1" applyFill="1" applyBorder="1" applyAlignment="1" applyProtection="1">
      <alignment horizontal="center"/>
      <protection locked="0"/>
    </xf>
    <xf numFmtId="169" fontId="32" fillId="6" borderId="11" xfId="4" quotePrefix="1" applyNumberFormat="1" applyFont="1" applyFill="1" applyBorder="1" applyAlignment="1" applyProtection="1">
      <alignment horizontal="center"/>
      <protection locked="0"/>
    </xf>
    <xf numFmtId="4" fontId="32" fillId="6" borderId="11" xfId="4" applyNumberFormat="1" applyFont="1" applyFill="1" applyBorder="1" applyAlignment="1" applyProtection="1">
      <alignment horizontal="center"/>
      <protection locked="0"/>
    </xf>
    <xf numFmtId="4" fontId="35" fillId="7" borderId="11" xfId="4" applyNumberFormat="1" applyFont="1" applyFill="1" applyBorder="1" applyAlignment="1" applyProtection="1">
      <alignment horizontal="center"/>
      <protection locked="0"/>
    </xf>
    <xf numFmtId="4" fontId="36" fillId="8" borderId="11" xfId="4" applyNumberFormat="1" applyFont="1" applyFill="1" applyBorder="1" applyAlignment="1" applyProtection="1">
      <alignment horizontal="center"/>
      <protection locked="0"/>
    </xf>
    <xf numFmtId="4" fontId="37" fillId="0" borderId="11" xfId="4" applyNumberFormat="1" applyFont="1" applyBorder="1" applyAlignment="1">
      <alignment horizontal="right"/>
    </xf>
    <xf numFmtId="2" fontId="7" fillId="0" borderId="2" xfId="4" applyNumberFormat="1" applyFont="1" applyBorder="1"/>
    <xf numFmtId="0" fontId="7" fillId="0" borderId="1" xfId="4" applyFont="1" applyBorder="1" applyAlignment="1">
      <alignment horizontal="center"/>
    </xf>
    <xf numFmtId="0" fontId="7" fillId="0" borderId="13" xfId="4" applyFont="1" applyBorder="1" applyAlignment="1" applyProtection="1">
      <alignment horizontal="center"/>
      <protection locked="0"/>
    </xf>
    <xf numFmtId="169" fontId="7" fillId="0" borderId="13" xfId="4" applyNumberFormat="1" applyFont="1" applyBorder="1" applyAlignment="1" applyProtection="1">
      <alignment horizontal="center"/>
    </xf>
    <xf numFmtId="169" fontId="30" fillId="2" borderId="13" xfId="4" applyNumberFormat="1" applyFont="1" applyFill="1" applyBorder="1" applyAlignment="1" applyProtection="1">
      <alignment horizontal="center"/>
    </xf>
    <xf numFmtId="164" fontId="37" fillId="0" borderId="14" xfId="4" applyNumberFormat="1" applyFont="1" applyBorder="1" applyAlignment="1">
      <alignment horizontal="center"/>
    </xf>
    <xf numFmtId="0" fontId="39" fillId="0" borderId="15" xfId="4" applyFont="1" applyBorder="1" applyAlignment="1">
      <alignment horizontal="center"/>
    </xf>
    <xf numFmtId="0" fontId="40" fillId="0" borderId="0" xfId="4" applyFont="1" applyBorder="1" applyAlignment="1" applyProtection="1">
      <alignment horizontal="left"/>
    </xf>
    <xf numFmtId="0" fontId="7" fillId="0" borderId="0" xfId="4" applyFont="1" applyBorder="1" applyAlignment="1" applyProtection="1">
      <alignment horizontal="center"/>
    </xf>
    <xf numFmtId="2" fontId="7" fillId="0" borderId="0" xfId="4" applyNumberFormat="1" applyFont="1" applyBorder="1" applyAlignment="1" applyProtection="1">
      <alignment horizontal="center"/>
    </xf>
    <xf numFmtId="169" fontId="7" fillId="0" borderId="0" xfId="4" applyNumberFormat="1" applyFont="1" applyBorder="1" applyAlignment="1" applyProtection="1">
      <alignment horizontal="center"/>
    </xf>
    <xf numFmtId="169" fontId="7" fillId="0" borderId="0" xfId="4" quotePrefix="1" applyNumberFormat="1" applyFont="1" applyBorder="1" applyAlignment="1" applyProtection="1">
      <alignment horizontal="center"/>
    </xf>
    <xf numFmtId="2" fontId="32" fillId="4" borderId="8" xfId="4" applyNumberFormat="1" applyFont="1" applyFill="1" applyBorder="1" applyAlignment="1">
      <alignment horizontal="center"/>
    </xf>
    <xf numFmtId="2" fontId="33" fillId="5" borderId="8" xfId="4" applyNumberFormat="1" applyFont="1" applyFill="1" applyBorder="1" applyAlignment="1">
      <alignment horizontal="center"/>
    </xf>
    <xf numFmtId="169" fontId="34" fillId="2" borderId="8" xfId="4" quotePrefix="1" applyNumberFormat="1" applyFont="1" applyFill="1" applyBorder="1" applyAlignment="1" applyProtection="1">
      <alignment horizontal="center"/>
    </xf>
    <xf numFmtId="169" fontId="32" fillId="6" borderId="8" xfId="4" quotePrefix="1" applyNumberFormat="1" applyFont="1" applyFill="1" applyBorder="1" applyAlignment="1" applyProtection="1">
      <alignment horizontal="center"/>
    </xf>
    <xf numFmtId="169" fontId="35" fillId="7" borderId="8" xfId="4" quotePrefix="1" applyNumberFormat="1" applyFont="1" applyFill="1" applyBorder="1" applyAlignment="1" applyProtection="1">
      <alignment horizontal="center"/>
    </xf>
    <xf numFmtId="169" fontId="36" fillId="8" borderId="8" xfId="4" quotePrefix="1" applyNumberFormat="1" applyFont="1" applyFill="1" applyBorder="1" applyAlignment="1" applyProtection="1">
      <alignment horizontal="center"/>
    </xf>
    <xf numFmtId="4" fontId="8" fillId="0" borderId="0" xfId="4" applyNumberFormat="1" applyFont="1" applyBorder="1" applyAlignment="1">
      <alignment horizontal="center"/>
    </xf>
    <xf numFmtId="2" fontId="7" fillId="0" borderId="2" xfId="4" applyNumberFormat="1" applyFont="1" applyBorder="1" applyAlignment="1">
      <alignment horizontal="center"/>
    </xf>
    <xf numFmtId="0" fontId="39" fillId="0" borderId="0" xfId="4" applyFont="1"/>
    <xf numFmtId="0" fontId="39" fillId="0" borderId="1" xfId="4" applyFont="1" applyBorder="1"/>
    <xf numFmtId="0" fontId="39" fillId="0" borderId="0" xfId="4" applyFont="1" applyBorder="1" applyAlignment="1">
      <alignment horizontal="center"/>
    </xf>
    <xf numFmtId="0" fontId="40" fillId="0" borderId="0" xfId="4" applyFont="1" applyBorder="1" applyAlignment="1" applyProtection="1">
      <alignment horizontal="left" vertical="top"/>
    </xf>
    <xf numFmtId="0" fontId="39" fillId="0" borderId="0" xfId="4" applyFont="1" applyBorder="1" applyAlignment="1" applyProtection="1">
      <alignment horizontal="center"/>
    </xf>
    <xf numFmtId="2" fontId="39" fillId="0" borderId="0" xfId="4" applyNumberFormat="1" applyFont="1" applyBorder="1" applyAlignment="1" applyProtection="1">
      <alignment horizontal="center"/>
    </xf>
    <xf numFmtId="169" fontId="39" fillId="0" borderId="0" xfId="4" applyNumberFormat="1" applyFont="1" applyBorder="1" applyAlignment="1" applyProtection="1">
      <alignment horizontal="center"/>
    </xf>
    <xf numFmtId="169" fontId="39" fillId="0" borderId="0" xfId="4" quotePrefix="1" applyNumberFormat="1" applyFont="1" applyBorder="1" applyAlignment="1" applyProtection="1">
      <alignment horizontal="center"/>
    </xf>
    <xf numFmtId="2" fontId="41" fillId="0" borderId="0" xfId="4" applyNumberFormat="1" applyFont="1" applyBorder="1" applyAlignment="1">
      <alignment horizontal="center"/>
    </xf>
    <xf numFmtId="169" fontId="42" fillId="0" borderId="0" xfId="4" quotePrefix="1" applyNumberFormat="1" applyFont="1" applyBorder="1" applyAlignment="1" applyProtection="1">
      <alignment horizontal="center"/>
    </xf>
    <xf numFmtId="4" fontId="42" fillId="0" borderId="0" xfId="4" applyNumberFormat="1" applyFont="1" applyBorder="1" applyAlignment="1">
      <alignment horizontal="center"/>
    </xf>
    <xf numFmtId="165" fontId="43" fillId="0" borderId="0" xfId="4" applyNumberFormat="1" applyFont="1" applyBorder="1" applyAlignment="1" applyProtection="1">
      <alignment horizontal="right"/>
      <protection locked="0"/>
    </xf>
    <xf numFmtId="2" fontId="39" fillId="0" borderId="2" xfId="4" applyNumberFormat="1" applyFont="1" applyBorder="1" applyAlignment="1">
      <alignment horizontal="center"/>
    </xf>
    <xf numFmtId="0" fontId="7" fillId="0" borderId="16" xfId="4" applyFont="1" applyBorder="1"/>
    <xf numFmtId="0" fontId="7" fillId="0" borderId="17" xfId="4" applyFont="1" applyBorder="1"/>
    <xf numFmtId="0" fontId="7" fillId="0" borderId="18" xfId="4" applyFont="1" applyBorder="1"/>
    <xf numFmtId="0" fontId="2" fillId="0" borderId="0" xfId="4" applyBorder="1"/>
    <xf numFmtId="0" fontId="9" fillId="0" borderId="0" xfId="4" applyFont="1" applyFill="1"/>
    <xf numFmtId="0" fontId="9" fillId="0" borderId="0" xfId="4" applyFont="1" applyFill="1" applyAlignment="1">
      <alignment horizontal="centerContinuous"/>
    </xf>
    <xf numFmtId="0" fontId="7" fillId="0" borderId="0" xfId="4" applyFont="1" applyFill="1" applyAlignment="1">
      <alignment horizontal="centerContinuous"/>
    </xf>
    <xf numFmtId="0" fontId="11" fillId="0" borderId="0" xfId="4" applyFont="1" applyFill="1" applyAlignment="1">
      <alignment horizontal="centerContinuous"/>
    </xf>
    <xf numFmtId="0" fontId="11" fillId="0" borderId="0" xfId="4" applyFont="1" applyFill="1"/>
    <xf numFmtId="0" fontId="7" fillId="0" borderId="0" xfId="4" applyFont="1" applyFill="1"/>
    <xf numFmtId="0" fontId="7" fillId="0" borderId="3" xfId="4" applyFont="1" applyFill="1" applyBorder="1"/>
    <xf numFmtId="0" fontId="7" fillId="0" borderId="4" xfId="4" applyFont="1" applyFill="1" applyBorder="1"/>
    <xf numFmtId="0" fontId="7" fillId="0" borderId="5" xfId="4" applyFont="1" applyFill="1" applyBorder="1"/>
    <xf numFmtId="0" fontId="17" fillId="0" borderId="1" xfId="4" applyFont="1" applyFill="1" applyBorder="1"/>
    <xf numFmtId="0" fontId="17" fillId="0" borderId="0" xfId="4" applyFont="1" applyFill="1" applyBorder="1"/>
    <xf numFmtId="0" fontId="18" fillId="0" borderId="0" xfId="4" applyFont="1" applyFill="1" applyBorder="1"/>
    <xf numFmtId="0" fontId="17" fillId="0" borderId="0" xfId="4" applyFont="1" applyFill="1"/>
    <xf numFmtId="0" fontId="17" fillId="0" borderId="2" xfId="4" applyFont="1" applyFill="1" applyBorder="1"/>
    <xf numFmtId="0" fontId="7" fillId="0" borderId="1" xfId="4" applyFont="1" applyFill="1" applyBorder="1"/>
    <xf numFmtId="0" fontId="7" fillId="0" borderId="2" xfId="4" applyFont="1" applyFill="1" applyBorder="1"/>
    <xf numFmtId="0" fontId="16" fillId="0" borderId="0" xfId="4" applyFont="1" applyFill="1" applyBorder="1"/>
    <xf numFmtId="0" fontId="18" fillId="0" borderId="0" xfId="4" applyFont="1" applyFill="1"/>
    <xf numFmtId="0" fontId="17" fillId="0" borderId="0" xfId="4" applyFont="1" applyFill="1" applyBorder="1" applyProtection="1"/>
    <xf numFmtId="0" fontId="7" fillId="0" borderId="0" xfId="4" applyFont="1" applyFill="1" applyBorder="1" applyAlignment="1" applyProtection="1">
      <alignment horizontal="left"/>
    </xf>
    <xf numFmtId="166" fontId="7" fillId="0" borderId="0" xfId="4" applyNumberFormat="1" applyFont="1" applyFill="1" applyBorder="1" applyProtection="1"/>
    <xf numFmtId="0" fontId="7" fillId="0" borderId="0" xfId="4" applyFont="1" applyFill="1" applyBorder="1" applyProtection="1"/>
    <xf numFmtId="0" fontId="14" fillId="0" borderId="1" xfId="4" applyFont="1" applyFill="1" applyBorder="1" applyAlignment="1">
      <alignment horizontal="centerContinuous"/>
    </xf>
    <xf numFmtId="0" fontId="14" fillId="0" borderId="0" xfId="4" applyFont="1" applyFill="1" applyBorder="1" applyAlignment="1">
      <alignment horizontal="centerContinuous"/>
    </xf>
    <xf numFmtId="0" fontId="14" fillId="0" borderId="2" xfId="4" applyFont="1" applyFill="1" applyBorder="1" applyAlignment="1">
      <alignment horizontal="centerContinuous"/>
    </xf>
    <xf numFmtId="0" fontId="7" fillId="0" borderId="0" xfId="4" applyFont="1" applyFill="1" applyBorder="1" applyAlignment="1">
      <alignment horizontal="center"/>
    </xf>
    <xf numFmtId="0" fontId="15" fillId="0" borderId="0" xfId="4" applyFont="1" applyFill="1" applyBorder="1" applyAlignment="1">
      <alignment horizontal="left"/>
    </xf>
    <xf numFmtId="0" fontId="19" fillId="0" borderId="6" xfId="4" applyFont="1" applyFill="1" applyBorder="1" applyAlignment="1" applyProtection="1">
      <alignment horizontal="left"/>
    </xf>
    <xf numFmtId="0" fontId="19" fillId="0" borderId="15" xfId="4" applyFont="1" applyFill="1" applyBorder="1" applyAlignment="1" applyProtection="1">
      <alignment horizontal="center"/>
    </xf>
    <xf numFmtId="0" fontId="19" fillId="0" borderId="15" xfId="4" applyFont="1" applyFill="1" applyBorder="1"/>
    <xf numFmtId="0" fontId="19" fillId="0" borderId="6" xfId="4" quotePrefix="1" applyFont="1" applyFill="1" applyBorder="1" applyAlignment="1" applyProtection="1">
      <alignment horizontal="left"/>
    </xf>
    <xf numFmtId="0" fontId="19" fillId="0" borderId="9" xfId="4" applyFont="1" applyFill="1" applyBorder="1" applyAlignment="1" applyProtection="1">
      <alignment horizontal="center"/>
    </xf>
    <xf numFmtId="166" fontId="19" fillId="0" borderId="8" xfId="4" applyNumberFormat="1" applyFont="1" applyFill="1" applyBorder="1" applyAlignment="1" applyProtection="1">
      <alignment horizontal="center"/>
    </xf>
    <xf numFmtId="0" fontId="7" fillId="0" borderId="0" xfId="4" applyFont="1" applyAlignment="1" applyProtection="1"/>
    <xf numFmtId="22" fontId="7" fillId="0" borderId="0" xfId="4" applyNumberFormat="1" applyFont="1" applyFill="1" applyBorder="1"/>
    <xf numFmtId="0" fontId="7" fillId="0" borderId="0" xfId="4" applyFont="1" applyAlignment="1">
      <alignment vertical="center"/>
    </xf>
    <xf numFmtId="0" fontId="7" fillId="0" borderId="1" xfId="4" applyFont="1" applyFill="1" applyBorder="1" applyAlignment="1">
      <alignment vertical="center"/>
    </xf>
    <xf numFmtId="0" fontId="20" fillId="0" borderId="8" xfId="4" applyFont="1" applyFill="1" applyBorder="1" applyAlignment="1" applyProtection="1">
      <alignment horizontal="center" vertical="center" wrapText="1"/>
    </xf>
    <xf numFmtId="0" fontId="20" fillId="0" borderId="8" xfId="4" applyFont="1" applyFill="1" applyBorder="1" applyAlignment="1" applyProtection="1">
      <alignment horizontal="center" vertical="center"/>
    </xf>
    <xf numFmtId="0" fontId="20" fillId="0" borderId="8" xfId="4" quotePrefix="1" applyFont="1" applyFill="1" applyBorder="1" applyAlignment="1" applyProtection="1">
      <alignment horizontal="center" vertical="center" wrapText="1"/>
    </xf>
    <xf numFmtId="0" fontId="20" fillId="0" borderId="8" xfId="4" applyFont="1" applyFill="1" applyBorder="1" applyAlignment="1">
      <alignment horizontal="center" vertical="center" wrapText="1"/>
    </xf>
    <xf numFmtId="0" fontId="44" fillId="2" borderId="8" xfId="4" applyFont="1" applyFill="1" applyBorder="1" applyAlignment="1" applyProtection="1">
      <alignment horizontal="center" vertical="center"/>
    </xf>
    <xf numFmtId="0" fontId="29" fillId="8" borderId="8" xfId="4" applyFont="1" applyFill="1" applyBorder="1" applyAlignment="1" applyProtection="1">
      <alignment horizontal="center" vertical="center"/>
    </xf>
    <xf numFmtId="0" fontId="24" fillId="6" borderId="8" xfId="4" applyFont="1" applyFill="1" applyBorder="1" applyAlignment="1">
      <alignment horizontal="center" vertical="center" wrapText="1"/>
    </xf>
    <xf numFmtId="0" fontId="23" fillId="9" borderId="8" xfId="4" applyFont="1" applyFill="1" applyBorder="1" applyAlignment="1">
      <alignment horizontal="center" vertical="center" wrapText="1"/>
    </xf>
    <xf numFmtId="0" fontId="23" fillId="3" borderId="6" xfId="4" applyFont="1" applyFill="1" applyBorder="1" applyAlignment="1" applyProtection="1">
      <alignment horizontal="centerContinuous" vertical="center" wrapText="1"/>
    </xf>
    <xf numFmtId="0" fontId="23" fillId="3" borderId="7" xfId="4" applyFont="1" applyFill="1" applyBorder="1" applyAlignment="1">
      <alignment horizontal="centerContinuous" vertical="center"/>
    </xf>
    <xf numFmtId="0" fontId="45" fillId="10" borderId="6" xfId="4" applyFont="1" applyFill="1" applyBorder="1" applyAlignment="1" applyProtection="1">
      <alignment horizontal="centerContinuous" vertical="center" wrapText="1"/>
    </xf>
    <xf numFmtId="0" fontId="45" fillId="10" borderId="7" xfId="4" applyFont="1" applyFill="1" applyBorder="1" applyAlignment="1">
      <alignment horizontal="centerContinuous" vertical="center"/>
    </xf>
    <xf numFmtId="0" fontId="28" fillId="11" borderId="8" xfId="4" applyFont="1" applyFill="1" applyBorder="1" applyAlignment="1">
      <alignment horizontal="center" vertical="center" wrapText="1"/>
    </xf>
    <xf numFmtId="0" fontId="23" fillId="12" borderId="8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vertical="center"/>
    </xf>
    <xf numFmtId="0" fontId="7" fillId="0" borderId="19" xfId="4" applyFont="1" applyFill="1" applyBorder="1" applyAlignment="1" applyProtection="1">
      <alignment horizontal="center"/>
      <protection locked="0"/>
    </xf>
    <xf numFmtId="0" fontId="7" fillId="0" borderId="10" xfId="4" applyFont="1" applyFill="1" applyBorder="1" applyAlignment="1" applyProtection="1">
      <alignment horizontal="center"/>
      <protection locked="0"/>
    </xf>
    <xf numFmtId="0" fontId="7" fillId="0" borderId="10" xfId="4" applyFont="1" applyFill="1" applyBorder="1" applyProtection="1">
      <protection locked="0"/>
    </xf>
    <xf numFmtId="0" fontId="46" fillId="2" borderId="10" xfId="4" applyFont="1" applyFill="1" applyBorder="1" applyProtection="1">
      <protection locked="0"/>
    </xf>
    <xf numFmtId="0" fontId="7" fillId="0" borderId="10" xfId="4" applyFont="1" applyFill="1" applyBorder="1" applyAlignment="1">
      <alignment horizontal="center"/>
    </xf>
    <xf numFmtId="0" fontId="47" fillId="9" borderId="10" xfId="4" applyFont="1" applyFill="1" applyBorder="1" applyProtection="1">
      <protection locked="0"/>
    </xf>
    <xf numFmtId="0" fontId="47" fillId="3" borderId="20" xfId="4" applyFont="1" applyFill="1" applyBorder="1" applyAlignment="1" applyProtection="1">
      <alignment horizontal="center"/>
      <protection locked="0"/>
    </xf>
    <xf numFmtId="0" fontId="47" fillId="3" borderId="21" xfId="4" applyFont="1" applyFill="1" applyBorder="1" applyProtection="1">
      <protection locked="0"/>
    </xf>
    <xf numFmtId="0" fontId="48" fillId="10" borderId="20" xfId="4" applyFont="1" applyFill="1" applyBorder="1" applyAlignment="1" applyProtection="1">
      <alignment horizontal="center"/>
      <protection locked="0"/>
    </xf>
    <xf numFmtId="0" fontId="48" fillId="10" borderId="21" xfId="4" applyFont="1" applyFill="1" applyBorder="1" applyProtection="1">
      <protection locked="0"/>
    </xf>
    <xf numFmtId="0" fontId="35" fillId="11" borderId="10" xfId="4" applyFont="1" applyFill="1" applyBorder="1" applyProtection="1">
      <protection locked="0"/>
    </xf>
    <xf numFmtId="0" fontId="47" fillId="12" borderId="10" xfId="4" applyFont="1" applyFill="1" applyBorder="1" applyProtection="1">
      <protection locked="0"/>
    </xf>
    <xf numFmtId="173" fontId="37" fillId="0" borderId="10" xfId="4" applyNumberFormat="1" applyFont="1" applyFill="1" applyBorder="1" applyAlignment="1">
      <alignment horizontal="right"/>
    </xf>
    <xf numFmtId="0" fontId="7" fillId="0" borderId="22" xfId="4" applyFont="1" applyFill="1" applyBorder="1" applyAlignment="1" applyProtection="1">
      <alignment horizontal="center"/>
      <protection locked="0"/>
    </xf>
    <xf numFmtId="0" fontId="7" fillId="0" borderId="11" xfId="4" applyFont="1" applyFill="1" applyBorder="1" applyAlignment="1" applyProtection="1">
      <alignment horizontal="center"/>
      <protection locked="0"/>
    </xf>
    <xf numFmtId="0" fontId="7" fillId="0" borderId="11" xfId="4" applyFont="1" applyFill="1" applyBorder="1" applyProtection="1">
      <protection locked="0"/>
    </xf>
    <xf numFmtId="0" fontId="46" fillId="2" borderId="11" xfId="4" applyFont="1" applyFill="1" applyBorder="1" applyProtection="1">
      <protection locked="0"/>
    </xf>
    <xf numFmtId="0" fontId="7" fillId="0" borderId="11" xfId="4" applyFont="1" applyFill="1" applyBorder="1" applyAlignment="1">
      <alignment horizontal="center"/>
    </xf>
    <xf numFmtId="0" fontId="47" fillId="9" borderId="11" xfId="4" applyFont="1" applyFill="1" applyBorder="1" applyProtection="1">
      <protection locked="0"/>
    </xf>
    <xf numFmtId="0" fontId="47" fillId="3" borderId="23" xfId="4" applyFont="1" applyFill="1" applyBorder="1" applyAlignment="1" applyProtection="1">
      <alignment horizontal="center"/>
      <protection locked="0"/>
    </xf>
    <xf numFmtId="0" fontId="47" fillId="3" borderId="24" xfId="4" applyFont="1" applyFill="1" applyBorder="1" applyProtection="1">
      <protection locked="0"/>
    </xf>
    <xf numFmtId="0" fontId="48" fillId="10" borderId="23" xfId="4" applyFont="1" applyFill="1" applyBorder="1" applyAlignment="1" applyProtection="1">
      <alignment horizontal="center"/>
      <protection locked="0"/>
    </xf>
    <xf numFmtId="0" fontId="48" fillId="10" borderId="24" xfId="4" applyFont="1" applyFill="1" applyBorder="1" applyProtection="1">
      <protection locked="0"/>
    </xf>
    <xf numFmtId="0" fontId="35" fillId="11" borderId="11" xfId="4" applyFont="1" applyFill="1" applyBorder="1" applyProtection="1">
      <protection locked="0"/>
    </xf>
    <xf numFmtId="0" fontId="47" fillId="12" borderId="11" xfId="4" applyFont="1" applyFill="1" applyBorder="1" applyProtection="1">
      <protection locked="0"/>
    </xf>
    <xf numFmtId="0" fontId="37" fillId="0" borderId="24" xfId="4" applyFont="1" applyFill="1" applyBorder="1" applyAlignment="1">
      <alignment horizontal="right"/>
    </xf>
    <xf numFmtId="167" fontId="7" fillId="0" borderId="12" xfId="4" quotePrefix="1" applyNumberFormat="1" applyFont="1" applyBorder="1" applyAlignment="1" applyProtection="1">
      <alignment horizontal="center"/>
      <protection locked="0"/>
    </xf>
    <xf numFmtId="2" fontId="7" fillId="0" borderId="12" xfId="4" quotePrefix="1" applyNumberFormat="1" applyFont="1" applyBorder="1" applyAlignment="1" applyProtection="1">
      <alignment horizontal="center"/>
      <protection locked="0"/>
    </xf>
    <xf numFmtId="169" fontId="46" fillId="2" borderId="11" xfId="4" applyNumberFormat="1" applyFont="1" applyFill="1" applyBorder="1" applyAlignment="1" applyProtection="1">
      <alignment horizontal="center"/>
      <protection locked="0"/>
    </xf>
    <xf numFmtId="2" fontId="7" fillId="0" borderId="11" xfId="4" applyNumberFormat="1" applyFont="1" applyFill="1" applyBorder="1" applyAlignment="1" applyProtection="1">
      <alignment horizontal="center"/>
    </xf>
    <xf numFmtId="3" fontId="7" fillId="0" borderId="11" xfId="4" applyNumberFormat="1" applyFont="1" applyFill="1" applyBorder="1" applyAlignment="1" applyProtection="1">
      <alignment horizontal="center"/>
    </xf>
    <xf numFmtId="169" fontId="7" fillId="0" borderId="11" xfId="4" applyNumberFormat="1" applyFont="1" applyFill="1" applyBorder="1" applyAlignment="1" applyProtection="1">
      <alignment horizontal="center"/>
      <protection locked="0"/>
    </xf>
    <xf numFmtId="2" fontId="32" fillId="6" borderId="11" xfId="4" applyNumberFormat="1" applyFont="1" applyFill="1" applyBorder="1" applyAlignment="1" applyProtection="1">
      <alignment horizontal="center"/>
      <protection locked="0"/>
    </xf>
    <xf numFmtId="2" fontId="47" fillId="9" borderId="11" xfId="4" applyNumberFormat="1" applyFont="1" applyFill="1" applyBorder="1" applyAlignment="1" applyProtection="1">
      <alignment horizontal="center"/>
      <protection locked="0"/>
    </xf>
    <xf numFmtId="169" fontId="47" fillId="3" borderId="23" xfId="4" quotePrefix="1" applyNumberFormat="1" applyFont="1" applyFill="1" applyBorder="1" applyAlignment="1" applyProtection="1">
      <alignment horizontal="center"/>
      <protection locked="0"/>
    </xf>
    <xf numFmtId="169" fontId="47" fillId="3" borderId="25" xfId="4" quotePrefix="1" applyNumberFormat="1" applyFont="1" applyFill="1" applyBorder="1" applyAlignment="1" applyProtection="1">
      <alignment horizontal="center"/>
      <protection locked="0"/>
    </xf>
    <xf numFmtId="169" fontId="48" fillId="10" borderId="23" xfId="4" quotePrefix="1" applyNumberFormat="1" applyFont="1" applyFill="1" applyBorder="1" applyAlignment="1" applyProtection="1">
      <alignment horizontal="center"/>
      <protection locked="0"/>
    </xf>
    <xf numFmtId="169" fontId="48" fillId="10" borderId="25" xfId="4" quotePrefix="1" applyNumberFormat="1" applyFont="1" applyFill="1" applyBorder="1" applyAlignment="1" applyProtection="1">
      <alignment horizontal="center"/>
      <protection locked="0"/>
    </xf>
    <xf numFmtId="169" fontId="35" fillId="11" borderId="11" xfId="4" quotePrefix="1" applyNumberFormat="1" applyFont="1" applyFill="1" applyBorder="1" applyAlignment="1" applyProtection="1">
      <alignment horizontal="center"/>
      <protection locked="0"/>
    </xf>
    <xf numFmtId="169" fontId="47" fillId="12" borderId="12" xfId="4" quotePrefix="1" applyNumberFormat="1" applyFont="1" applyFill="1" applyBorder="1" applyAlignment="1" applyProtection="1">
      <alignment horizontal="center"/>
      <protection locked="0"/>
    </xf>
    <xf numFmtId="169" fontId="37" fillId="0" borderId="24" xfId="4" applyNumberFormat="1" applyFont="1" applyFill="1" applyBorder="1" applyAlignment="1">
      <alignment horizontal="right"/>
    </xf>
    <xf numFmtId="2" fontId="7" fillId="0" borderId="2" xfId="4" applyNumberFormat="1" applyFont="1" applyFill="1" applyBorder="1"/>
    <xf numFmtId="0" fontId="7" fillId="0" borderId="13" xfId="4" applyFont="1" applyFill="1" applyBorder="1"/>
    <xf numFmtId="0" fontId="46" fillId="2" borderId="13" xfId="4" applyFont="1" applyFill="1" applyBorder="1"/>
    <xf numFmtId="0" fontId="37" fillId="0" borderId="26" xfId="4" applyFont="1" applyFill="1" applyBorder="1" applyAlignment="1">
      <alignment horizontal="right"/>
    </xf>
    <xf numFmtId="164" fontId="49" fillId="6" borderId="8" xfId="4" applyNumberFormat="1" applyFont="1" applyFill="1" applyBorder="1" applyAlignment="1">
      <alignment horizontal="center"/>
    </xf>
    <xf numFmtId="164" fontId="6" fillId="9" borderId="8" xfId="4" applyNumberFormat="1" applyFont="1" applyFill="1" applyBorder="1" applyAlignment="1">
      <alignment horizontal="center"/>
    </xf>
    <xf numFmtId="164" fontId="6" fillId="3" borderId="8" xfId="4" applyNumberFormat="1" applyFont="1" applyFill="1" applyBorder="1" applyAlignment="1">
      <alignment horizontal="center"/>
    </xf>
    <xf numFmtId="164" fontId="6" fillId="3" borderId="27" xfId="4" applyNumberFormat="1" applyFont="1" applyFill="1" applyBorder="1" applyAlignment="1">
      <alignment horizontal="center"/>
    </xf>
    <xf numFmtId="164" fontId="50" fillId="10" borderId="8" xfId="4" applyNumberFormat="1" applyFont="1" applyFill="1" applyBorder="1" applyAlignment="1">
      <alignment horizontal="center"/>
    </xf>
    <xf numFmtId="164" fontId="51" fillId="11" borderId="8" xfId="4" applyNumberFormat="1" applyFont="1" applyFill="1" applyBorder="1" applyAlignment="1">
      <alignment horizontal="center"/>
    </xf>
    <xf numFmtId="164" fontId="6" fillId="12" borderId="8" xfId="4" applyNumberFormat="1" applyFont="1" applyFill="1" applyBorder="1" applyAlignment="1">
      <alignment horizontal="center"/>
    </xf>
    <xf numFmtId="0" fontId="7" fillId="0" borderId="28" xfId="4" applyFont="1" applyFill="1" applyBorder="1"/>
    <xf numFmtId="0" fontId="39" fillId="0" borderId="1" xfId="4" applyFont="1" applyFill="1" applyBorder="1"/>
    <xf numFmtId="0" fontId="39" fillId="0" borderId="0" xfId="4" applyFont="1" applyFill="1" applyBorder="1"/>
    <xf numFmtId="164" fontId="39" fillId="0" borderId="0" xfId="4" applyNumberFormat="1" applyFont="1" applyFill="1" applyBorder="1" applyAlignment="1">
      <alignment horizontal="center"/>
    </xf>
    <xf numFmtId="164" fontId="39" fillId="0" borderId="0" xfId="4" applyNumberFormat="1" applyFont="1" applyFill="1" applyBorder="1" applyAlignment="1" applyProtection="1">
      <alignment horizontal="right"/>
      <protection locked="0"/>
    </xf>
    <xf numFmtId="0" fontId="39" fillId="0" borderId="2" xfId="4" applyFont="1" applyFill="1" applyBorder="1"/>
    <xf numFmtId="0" fontId="7" fillId="0" borderId="16" xfId="4" applyFont="1" applyFill="1" applyBorder="1"/>
    <xf numFmtId="0" fontId="7" fillId="0" borderId="17" xfId="4" applyFont="1" applyFill="1" applyBorder="1"/>
    <xf numFmtId="0" fontId="7" fillId="0" borderId="18" xfId="4" applyFont="1" applyFill="1" applyBorder="1"/>
    <xf numFmtId="0" fontId="2" fillId="0" borderId="0" xfId="4" applyFill="1" applyBorder="1"/>
    <xf numFmtId="0" fontId="1" fillId="0" borderId="0" xfId="4" applyFont="1" applyFill="1" applyBorder="1"/>
    <xf numFmtId="0" fontId="9" fillId="0" borderId="0" xfId="4" applyFont="1" applyAlignment="1">
      <alignment horizontal="centerContinuous" vertical="center"/>
    </xf>
    <xf numFmtId="0" fontId="7" fillId="0" borderId="0" xfId="4" applyFont="1" applyAlignment="1">
      <alignment horizontal="centerContinuous" vertical="center"/>
    </xf>
    <xf numFmtId="0" fontId="11" fillId="0" borderId="0" xfId="4" applyFont="1" applyAlignment="1">
      <alignment horizontal="centerContinuous"/>
    </xf>
    <xf numFmtId="0" fontId="53" fillId="0" borderId="0" xfId="4" applyFont="1" applyBorder="1"/>
    <xf numFmtId="0" fontId="14" fillId="0" borderId="0" xfId="4" quotePrefix="1" applyFont="1" applyFill="1" applyBorder="1" applyAlignment="1" applyProtection="1">
      <alignment horizontal="centerContinuous"/>
      <protection locked="0"/>
    </xf>
    <xf numFmtId="0" fontId="19" fillId="0" borderId="6" xfId="4" applyFont="1" applyBorder="1" applyAlignment="1" applyProtection="1">
      <alignment horizontal="left"/>
    </xf>
    <xf numFmtId="170" fontId="19" fillId="0" borderId="27" xfId="4" applyNumberFormat="1" applyFont="1" applyBorder="1" applyAlignment="1" applyProtection="1">
      <alignment horizontal="center"/>
    </xf>
    <xf numFmtId="0" fontId="19" fillId="0" borderId="8" xfId="4" applyFont="1" applyBorder="1" applyAlignment="1">
      <alignment horizontal="center"/>
    </xf>
    <xf numFmtId="22" fontId="7" fillId="0" borderId="0" xfId="4" applyNumberFormat="1" applyFont="1" applyBorder="1"/>
    <xf numFmtId="0" fontId="19" fillId="0" borderId="6" xfId="4" applyFont="1" applyBorder="1"/>
    <xf numFmtId="170" fontId="54" fillId="0" borderId="27" xfId="4" applyNumberFormat="1" applyFont="1" applyBorder="1" applyAlignment="1">
      <alignment horizontal="center"/>
    </xf>
    <xf numFmtId="0" fontId="19" fillId="0" borderId="13" xfId="4" applyFont="1" applyBorder="1" applyAlignment="1">
      <alignment horizontal="center"/>
    </xf>
    <xf numFmtId="0" fontId="7" fillId="0" borderId="0" xfId="4" applyFont="1" applyBorder="1" applyAlignment="1">
      <alignment horizontal="left"/>
    </xf>
    <xf numFmtId="170" fontId="7" fillId="0" borderId="0" xfId="4" applyNumberFormat="1" applyFont="1" applyBorder="1"/>
    <xf numFmtId="0" fontId="7" fillId="0" borderId="0" xfId="4" quotePrefix="1" applyFont="1" applyBorder="1" applyAlignment="1">
      <alignment horizontal="center"/>
    </xf>
    <xf numFmtId="0" fontId="19" fillId="0" borderId="6" xfId="4" applyFont="1" applyBorder="1" applyAlignment="1">
      <alignment horizontal="left"/>
    </xf>
    <xf numFmtId="1" fontId="19" fillId="0" borderId="13" xfId="4" applyNumberFormat="1" applyFont="1" applyBorder="1" applyAlignment="1">
      <alignment horizontal="center"/>
    </xf>
    <xf numFmtId="0" fontId="20" fillId="0" borderId="0" xfId="4" applyFont="1"/>
    <xf numFmtId="0" fontId="20" fillId="0" borderId="1" xfId="4" applyFont="1" applyBorder="1"/>
    <xf numFmtId="0" fontId="23" fillId="12" borderId="8" xfId="4" applyFont="1" applyFill="1" applyBorder="1" applyAlignment="1" applyProtection="1">
      <alignment horizontal="center" vertical="center"/>
    </xf>
    <xf numFmtId="0" fontId="55" fillId="11" borderId="8" xfId="4" applyFont="1" applyFill="1" applyBorder="1" applyAlignment="1">
      <alignment horizontal="center" vertical="center" wrapText="1"/>
    </xf>
    <xf numFmtId="0" fontId="23" fillId="10" borderId="6" xfId="4" applyFont="1" applyFill="1" applyBorder="1" applyAlignment="1" applyProtection="1">
      <alignment horizontal="centerContinuous" vertical="center" wrapText="1"/>
    </xf>
    <xf numFmtId="0" fontId="23" fillId="10" borderId="7" xfId="4" applyFont="1" applyFill="1" applyBorder="1" applyAlignment="1">
      <alignment horizontal="centerContinuous" vertical="center"/>
    </xf>
    <xf numFmtId="0" fontId="24" fillId="13" borderId="8" xfId="4" applyFont="1" applyFill="1" applyBorder="1" applyAlignment="1">
      <alignment horizontal="center" vertical="center" wrapText="1"/>
    </xf>
    <xf numFmtId="0" fontId="20" fillId="0" borderId="2" xfId="4" applyFont="1" applyFill="1" applyBorder="1"/>
    <xf numFmtId="166" fontId="7" fillId="0" borderId="10" xfId="4" applyNumberFormat="1" applyFont="1" applyFill="1" applyBorder="1" applyAlignment="1" applyProtection="1">
      <alignment horizontal="center"/>
      <protection locked="0"/>
    </xf>
    <xf numFmtId="0" fontId="30" fillId="2" borderId="10" xfId="4" applyFont="1" applyFill="1" applyBorder="1" applyAlignment="1" applyProtection="1">
      <alignment horizontal="center"/>
      <protection locked="0"/>
    </xf>
    <xf numFmtId="0" fontId="31" fillId="12" borderId="10" xfId="4" applyFont="1" applyFill="1" applyBorder="1" applyAlignment="1" applyProtection="1">
      <alignment horizontal="center"/>
      <protection locked="0"/>
    </xf>
    <xf numFmtId="0" fontId="56" fillId="11" borderId="10" xfId="4" applyFont="1" applyFill="1" applyBorder="1" applyAlignment="1" applyProtection="1">
      <alignment horizontal="center"/>
      <protection locked="0"/>
    </xf>
    <xf numFmtId="169" fontId="6" fillId="10" borderId="20" xfId="4" quotePrefix="1" applyNumberFormat="1" applyFont="1" applyFill="1" applyBorder="1" applyAlignment="1" applyProtection="1">
      <alignment horizontal="center"/>
      <protection locked="0"/>
    </xf>
    <xf numFmtId="169" fontId="6" fillId="10" borderId="29" xfId="4" quotePrefix="1" applyNumberFormat="1" applyFont="1" applyFill="1" applyBorder="1" applyAlignment="1" applyProtection="1">
      <alignment horizontal="center"/>
      <protection locked="0"/>
    </xf>
    <xf numFmtId="169" fontId="49" fillId="13" borderId="10" xfId="4" quotePrefix="1" applyNumberFormat="1" applyFont="1" applyFill="1" applyBorder="1" applyAlignment="1" applyProtection="1">
      <alignment horizontal="center"/>
      <protection locked="0"/>
    </xf>
    <xf numFmtId="0" fontId="7" fillId="0" borderId="19" xfId="4" applyFont="1" applyFill="1" applyBorder="1" applyAlignment="1" applyProtection="1">
      <alignment horizontal="left"/>
      <protection locked="0"/>
    </xf>
    <xf numFmtId="0" fontId="57" fillId="0" borderId="22" xfId="4" applyFont="1" applyFill="1" applyBorder="1" applyAlignment="1" applyProtection="1">
      <alignment horizontal="center"/>
      <protection locked="0"/>
    </xf>
    <xf numFmtId="171" fontId="8" fillId="0" borderId="11" xfId="4" applyNumberFormat="1" applyFont="1" applyFill="1" applyBorder="1" applyAlignment="1" applyProtection="1">
      <alignment horizontal="center"/>
      <protection locked="0"/>
    </xf>
    <xf numFmtId="170" fontId="30" fillId="2" borderId="11" xfId="4" applyNumberFormat="1" applyFont="1" applyFill="1" applyBorder="1" applyAlignment="1" applyProtection="1">
      <alignment horizontal="center"/>
      <protection locked="0"/>
    </xf>
    <xf numFmtId="166" fontId="7" fillId="0" borderId="11" xfId="4" quotePrefix="1" applyNumberFormat="1" applyFont="1" applyFill="1" applyBorder="1" applyAlignment="1" applyProtection="1">
      <alignment horizontal="center"/>
    </xf>
    <xf numFmtId="166" fontId="31" fillId="12" borderId="11" xfId="4" applyNumberFormat="1" applyFont="1" applyFill="1" applyBorder="1" applyAlignment="1" applyProtection="1">
      <alignment horizontal="center"/>
      <protection locked="0"/>
    </xf>
    <xf numFmtId="2" fontId="56" fillId="11" borderId="11" xfId="4" applyNumberFormat="1" applyFont="1" applyFill="1" applyBorder="1" applyAlignment="1" applyProtection="1">
      <alignment horizontal="center"/>
      <protection locked="0"/>
    </xf>
    <xf numFmtId="169" fontId="6" fillId="10" borderId="23" xfId="4" quotePrefix="1" applyNumberFormat="1" applyFont="1" applyFill="1" applyBorder="1" applyAlignment="1" applyProtection="1">
      <alignment horizontal="center"/>
      <protection locked="0"/>
    </xf>
    <xf numFmtId="169" fontId="6" fillId="10" borderId="25" xfId="4" quotePrefix="1" applyNumberFormat="1" applyFont="1" applyFill="1" applyBorder="1" applyAlignment="1" applyProtection="1">
      <alignment horizontal="center"/>
      <protection locked="0"/>
    </xf>
    <xf numFmtId="169" fontId="49" fillId="13" borderId="11" xfId="4" quotePrefix="1" applyNumberFormat="1" applyFont="1" applyFill="1" applyBorder="1" applyAlignment="1" applyProtection="1">
      <alignment horizontal="center"/>
      <protection locked="0"/>
    </xf>
    <xf numFmtId="169" fontId="7" fillId="0" borderId="22" xfId="4" applyNumberFormat="1" applyFont="1" applyFill="1" applyBorder="1" applyAlignment="1" applyProtection="1">
      <alignment horizontal="center"/>
      <protection locked="0"/>
    </xf>
    <xf numFmtId="169" fontId="37" fillId="0" borderId="11" xfId="4" applyNumberFormat="1" applyFont="1" applyFill="1" applyBorder="1" applyAlignment="1">
      <alignment horizontal="center"/>
    </xf>
    <xf numFmtId="171" fontId="8" fillId="0" borderId="11" xfId="4" quotePrefix="1" applyNumberFormat="1" applyFont="1" applyFill="1" applyBorder="1" applyAlignment="1" applyProtection="1">
      <alignment horizontal="center"/>
      <protection locked="0"/>
    </xf>
    <xf numFmtId="169" fontId="37" fillId="0" borderId="11" xfId="4" applyNumberFormat="1" applyFont="1" applyFill="1" applyBorder="1" applyAlignment="1">
      <alignment horizontal="right"/>
    </xf>
    <xf numFmtId="0" fontId="30" fillId="2" borderId="13" xfId="4" applyFont="1" applyFill="1" applyBorder="1"/>
    <xf numFmtId="0" fontId="37" fillId="0" borderId="26" xfId="4" applyFont="1" applyFill="1" applyBorder="1"/>
    <xf numFmtId="2" fontId="58" fillId="11" borderId="8" xfId="4" applyNumberFormat="1" applyFont="1" applyFill="1" applyBorder="1" applyAlignment="1">
      <alignment horizontal="center"/>
    </xf>
    <xf numFmtId="2" fontId="47" fillId="10" borderId="8" xfId="4" applyNumberFormat="1" applyFont="1" applyFill="1" applyBorder="1" applyAlignment="1">
      <alignment horizontal="center"/>
    </xf>
    <xf numFmtId="2" fontId="32" fillId="13" borderId="8" xfId="4" applyNumberFormat="1" applyFont="1" applyFill="1" applyBorder="1" applyAlignment="1">
      <alignment horizontal="center"/>
    </xf>
    <xf numFmtId="164" fontId="7" fillId="0" borderId="0" xfId="4" applyNumberFormat="1" applyFont="1" applyFill="1" applyBorder="1" applyAlignment="1">
      <alignment horizontal="center"/>
    </xf>
    <xf numFmtId="164" fontId="43" fillId="0" borderId="0" xfId="4" applyNumberFormat="1" applyFont="1" applyFill="1" applyBorder="1" applyAlignment="1" applyProtection="1">
      <alignment horizontal="center"/>
      <protection locked="0"/>
    </xf>
    <xf numFmtId="0" fontId="2" fillId="0" borderId="0" xfId="4" applyFont="1"/>
    <xf numFmtId="0" fontId="59" fillId="0" borderId="0" xfId="4" applyFont="1" applyAlignment="1">
      <alignment horizontal="right" vertical="top"/>
    </xf>
    <xf numFmtId="0" fontId="59" fillId="0" borderId="0" xfId="4" applyFont="1" applyFill="1" applyAlignment="1">
      <alignment horizontal="right" vertical="top"/>
    </xf>
    <xf numFmtId="172" fontId="19" fillId="0" borderId="8" xfId="4" applyNumberFormat="1" applyFont="1" applyFill="1" applyBorder="1" applyAlignment="1">
      <alignment horizontal="center"/>
    </xf>
    <xf numFmtId="170" fontId="19" fillId="0" borderId="27" xfId="4" applyNumberFormat="1" applyFont="1" applyFill="1" applyBorder="1" applyAlignment="1" applyProtection="1">
      <alignment horizontal="center"/>
    </xf>
    <xf numFmtId="0" fontId="7" fillId="0" borderId="13" xfId="4" applyFont="1" applyFill="1" applyBorder="1" applyProtection="1">
      <protection locked="0"/>
    </xf>
    <xf numFmtId="0" fontId="36" fillId="8" borderId="13" xfId="4" applyFont="1" applyFill="1" applyBorder="1" applyProtection="1">
      <protection locked="0"/>
    </xf>
    <xf numFmtId="0" fontId="32" fillId="6" borderId="13" xfId="4" applyFont="1" applyFill="1" applyBorder="1" applyProtection="1">
      <protection locked="0"/>
    </xf>
    <xf numFmtId="0" fontId="47" fillId="9" borderId="13" xfId="4" applyFont="1" applyFill="1" applyBorder="1" applyProtection="1">
      <protection locked="0"/>
    </xf>
    <xf numFmtId="0" fontId="47" fillId="3" borderId="30" xfId="4" applyFont="1" applyFill="1" applyBorder="1" applyProtection="1">
      <protection locked="0"/>
    </xf>
    <xf numFmtId="0" fontId="47" fillId="3" borderId="31" xfId="4" applyFont="1" applyFill="1" applyBorder="1" applyProtection="1">
      <protection locked="0"/>
    </xf>
    <xf numFmtId="0" fontId="48" fillId="10" borderId="30" xfId="4" applyFont="1" applyFill="1" applyBorder="1" applyProtection="1">
      <protection locked="0"/>
    </xf>
    <xf numFmtId="0" fontId="48" fillId="10" borderId="31" xfId="4" applyFont="1" applyFill="1" applyBorder="1" applyProtection="1">
      <protection locked="0"/>
    </xf>
    <xf numFmtId="0" fontId="35" fillId="11" borderId="13" xfId="4" applyFont="1" applyFill="1" applyBorder="1" applyProtection="1">
      <protection locked="0"/>
    </xf>
    <xf numFmtId="0" fontId="47" fillId="12" borderId="13" xfId="4" applyFont="1" applyFill="1" applyBorder="1" applyProtection="1">
      <protection locked="0"/>
    </xf>
    <xf numFmtId="0" fontId="31" fillId="12" borderId="13" xfId="4" applyFont="1" applyFill="1" applyBorder="1" applyProtection="1">
      <protection locked="0"/>
    </xf>
    <xf numFmtId="0" fontId="56" fillId="11" borderId="13" xfId="4" applyFont="1" applyFill="1" applyBorder="1" applyProtection="1">
      <protection locked="0"/>
    </xf>
    <xf numFmtId="0" fontId="6" fillId="10" borderId="30" xfId="4" applyFont="1" applyFill="1" applyBorder="1" applyProtection="1">
      <protection locked="0"/>
    </xf>
    <xf numFmtId="0" fontId="6" fillId="10" borderId="31" xfId="4" applyFont="1" applyFill="1" applyBorder="1" applyProtection="1">
      <protection locked="0"/>
    </xf>
    <xf numFmtId="0" fontId="49" fillId="13" borderId="13" xfId="4" applyFont="1" applyFill="1" applyBorder="1" applyProtection="1">
      <protection locked="0"/>
    </xf>
    <xf numFmtId="0" fontId="7" fillId="0" borderId="32" xfId="4" applyFont="1" applyBorder="1" applyAlignment="1" applyProtection="1">
      <alignment horizontal="center"/>
      <protection locked="0"/>
    </xf>
    <xf numFmtId="2" fontId="7" fillId="0" borderId="32" xfId="4" applyNumberFormat="1" applyFont="1" applyBorder="1" applyAlignment="1" applyProtection="1">
      <alignment horizontal="center"/>
      <protection locked="0"/>
    </xf>
    <xf numFmtId="169" fontId="7" fillId="0" borderId="13" xfId="4" applyNumberFormat="1" applyFont="1" applyBorder="1" applyAlignment="1" applyProtection="1">
      <alignment horizontal="center"/>
      <protection locked="0"/>
    </xf>
    <xf numFmtId="22" fontId="7" fillId="0" borderId="13" xfId="4" applyNumberFormat="1" applyFont="1" applyBorder="1" applyAlignment="1" applyProtection="1">
      <alignment horizontal="center"/>
      <protection locked="0"/>
    </xf>
    <xf numFmtId="22" fontId="31" fillId="3" borderId="13" xfId="4" applyNumberFormat="1" applyFont="1" applyFill="1" applyBorder="1" applyAlignment="1" applyProtection="1">
      <alignment horizontal="center"/>
      <protection locked="0"/>
    </xf>
    <xf numFmtId="169" fontId="32" fillId="4" borderId="13" xfId="4" quotePrefix="1" applyNumberFormat="1" applyFont="1" applyFill="1" applyBorder="1" applyAlignment="1" applyProtection="1">
      <alignment horizontal="center"/>
      <protection locked="0"/>
    </xf>
    <xf numFmtId="169" fontId="33" fillId="5" borderId="13" xfId="4" quotePrefix="1" applyNumberFormat="1" applyFont="1" applyFill="1" applyBorder="1" applyAlignment="1" applyProtection="1">
      <alignment horizontal="center"/>
      <protection locked="0"/>
    </xf>
    <xf numFmtId="169" fontId="34" fillId="2" borderId="13" xfId="4" quotePrefix="1" applyNumberFormat="1" applyFont="1" applyFill="1" applyBorder="1" applyAlignment="1" applyProtection="1">
      <alignment horizontal="center"/>
      <protection locked="0"/>
    </xf>
    <xf numFmtId="4" fontId="34" fillId="2" borderId="13" xfId="4" applyNumberFormat="1" applyFont="1" applyFill="1" applyBorder="1" applyAlignment="1" applyProtection="1">
      <alignment horizontal="center"/>
      <protection locked="0"/>
    </xf>
    <xf numFmtId="4" fontId="32" fillId="6" borderId="13" xfId="4" applyNumberFormat="1" applyFont="1" applyFill="1" applyBorder="1" applyAlignment="1" applyProtection="1">
      <alignment horizontal="center"/>
      <protection locked="0"/>
    </xf>
    <xf numFmtId="4" fontId="35" fillId="7" borderId="13" xfId="4" applyNumberFormat="1" applyFont="1" applyFill="1" applyBorder="1" applyAlignment="1" applyProtection="1">
      <alignment horizontal="center"/>
      <protection locked="0"/>
    </xf>
    <xf numFmtId="4" fontId="36" fillId="8" borderId="13" xfId="4" applyNumberFormat="1" applyFont="1" applyFill="1" applyBorder="1" applyAlignment="1" applyProtection="1">
      <alignment horizontal="center"/>
      <protection locked="0"/>
    </xf>
    <xf numFmtId="4" fontId="7" fillId="0" borderId="13" xfId="4" applyNumberFormat="1" applyFont="1" applyBorder="1" applyAlignment="1" applyProtection="1">
      <alignment horizontal="center"/>
      <protection locked="0"/>
    </xf>
    <xf numFmtId="0" fontId="9" fillId="0" borderId="0" xfId="3" applyFont="1"/>
    <xf numFmtId="0" fontId="10" fillId="0" borderId="0" xfId="3" applyFont="1" applyAlignment="1">
      <alignment horizontal="centerContinuous"/>
    </xf>
    <xf numFmtId="0" fontId="59" fillId="0" borderId="0" xfId="3" applyFont="1" applyAlignment="1">
      <alignment horizontal="right" vertical="top"/>
    </xf>
    <xf numFmtId="0" fontId="60" fillId="0" borderId="0" xfId="3" applyFont="1" applyAlignment="1">
      <alignment horizontal="centerContinuous"/>
    </xf>
    <xf numFmtId="0" fontId="9" fillId="0" borderId="0" xfId="3" applyFont="1" applyAlignment="1">
      <alignment horizontal="centerContinuous"/>
    </xf>
    <xf numFmtId="0" fontId="7" fillId="0" borderId="0" xfId="3" applyFont="1"/>
    <xf numFmtId="0" fontId="2" fillId="0" borderId="0" xfId="3"/>
    <xf numFmtId="0" fontId="7" fillId="0" borderId="0" xfId="3" applyFont="1" applyAlignment="1">
      <alignment horizontal="centerContinuous"/>
    </xf>
    <xf numFmtId="0" fontId="5" fillId="0" borderId="0" xfId="3" applyFont="1" applyFill="1" applyBorder="1" applyAlignment="1" applyProtection="1">
      <alignment horizontal="centerContinuous"/>
    </xf>
    <xf numFmtId="0" fontId="11" fillId="0" borderId="0" xfId="3" applyNumberFormat="1" applyFont="1" applyAlignment="1">
      <alignment horizontal="left"/>
    </xf>
    <xf numFmtId="0" fontId="11" fillId="0" borderId="0" xfId="3" applyFont="1"/>
    <xf numFmtId="0" fontId="11" fillId="0" borderId="0" xfId="3" applyFont="1" applyBorder="1"/>
    <xf numFmtId="0" fontId="61" fillId="0" borderId="0" xfId="3" applyFont="1" applyFill="1" applyBorder="1" applyAlignment="1" applyProtection="1">
      <alignment horizontal="left"/>
    </xf>
    <xf numFmtId="0" fontId="9" fillId="0" borderId="0" xfId="3" applyFont="1" applyBorder="1"/>
    <xf numFmtId="0" fontId="17" fillId="0" borderId="0" xfId="3" applyFont="1"/>
    <xf numFmtId="0" fontId="62" fillId="0" borderId="0" xfId="3" applyFont="1" applyBorder="1" applyAlignment="1">
      <alignment horizontal="centerContinuous"/>
    </xf>
    <xf numFmtId="0" fontId="63" fillId="0" borderId="0" xfId="3" applyFont="1" applyAlignment="1">
      <alignment horizontal="centerContinuous"/>
    </xf>
    <xf numFmtId="0" fontId="17" fillId="0" borderId="0" xfId="3" applyFont="1" applyAlignment="1">
      <alignment horizontal="centerContinuous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/>
    <xf numFmtId="0" fontId="7" fillId="0" borderId="0" xfId="3" applyFont="1" applyBorder="1"/>
    <xf numFmtId="0" fontId="13" fillId="0" borderId="0" xfId="3" applyFont="1"/>
    <xf numFmtId="0" fontId="18" fillId="0" borderId="0" xfId="3" applyFont="1" applyAlignment="1">
      <alignment horizontal="centerContinuous"/>
    </xf>
    <xf numFmtId="0" fontId="64" fillId="0" borderId="0" xfId="3" applyFont="1"/>
    <xf numFmtId="0" fontId="65" fillId="0" borderId="0" xfId="3" applyFont="1" applyBorder="1"/>
    <xf numFmtId="0" fontId="64" fillId="0" borderId="0" xfId="3" applyFont="1" applyBorder="1"/>
    <xf numFmtId="0" fontId="66" fillId="0" borderId="3" xfId="3" applyFont="1" applyBorder="1"/>
    <xf numFmtId="0" fontId="66" fillId="0" borderId="4" xfId="2" applyFont="1" applyBorder="1"/>
    <xf numFmtId="0" fontId="64" fillId="0" borderId="4" xfId="3" applyFont="1" applyBorder="1"/>
    <xf numFmtId="0" fontId="64" fillId="0" borderId="5" xfId="3" applyFont="1" applyBorder="1"/>
    <xf numFmtId="0" fontId="12" fillId="0" borderId="0" xfId="3" applyFont="1"/>
    <xf numFmtId="0" fontId="14" fillId="0" borderId="1" xfId="3" applyFont="1" applyBorder="1" applyAlignment="1">
      <alignment horizontal="centerContinuous"/>
    </xf>
    <xf numFmtId="0" fontId="2" fillId="0" borderId="0" xfId="3" applyNumberFormat="1" applyAlignment="1">
      <alignment horizontal="centerContinuous"/>
    </xf>
    <xf numFmtId="0" fontId="12" fillId="0" borderId="0" xfId="3" applyNumberFormat="1" applyFont="1" applyAlignment="1">
      <alignment horizontal="centerContinuous"/>
    </xf>
    <xf numFmtId="0" fontId="14" fillId="0" borderId="0" xfId="3" applyFont="1" applyBorder="1" applyAlignment="1">
      <alignment horizontal="centerContinuous"/>
    </xf>
    <xf numFmtId="0" fontId="12" fillId="0" borderId="0" xfId="3" applyFont="1" applyBorder="1" applyAlignment="1">
      <alignment horizontal="centerContinuous"/>
    </xf>
    <xf numFmtId="0" fontId="12" fillId="0" borderId="2" xfId="3" applyFont="1" applyBorder="1" applyAlignment="1">
      <alignment horizontal="centerContinuous"/>
    </xf>
    <xf numFmtId="0" fontId="12" fillId="0" borderId="0" xfId="3" applyFont="1" applyBorder="1"/>
    <xf numFmtId="0" fontId="12" fillId="0" borderId="1" xfId="3" applyFont="1" applyBorder="1"/>
    <xf numFmtId="0" fontId="67" fillId="0" borderId="0" xfId="3" applyNumberFormat="1" applyFont="1" applyBorder="1" applyAlignment="1">
      <alignment horizontal="right"/>
    </xf>
    <xf numFmtId="0" fontId="14" fillId="0" borderId="0" xfId="3" applyFont="1" applyBorder="1"/>
    <xf numFmtId="0" fontId="12" fillId="0" borderId="2" xfId="3" applyFont="1" applyBorder="1"/>
    <xf numFmtId="0" fontId="67" fillId="0" borderId="0" xfId="3" applyNumberFormat="1" applyFont="1" applyBorder="1" applyAlignment="1">
      <alignment horizontal="centerContinuous"/>
    </xf>
    <xf numFmtId="0" fontId="2" fillId="0" borderId="0" xfId="3" applyAlignment="1">
      <alignment horizontal="centerContinuous"/>
    </xf>
    <xf numFmtId="0" fontId="68" fillId="0" borderId="0" xfId="3" applyNumberFormat="1" applyFont="1" applyBorder="1" applyAlignment="1">
      <alignment horizontal="right"/>
    </xf>
    <xf numFmtId="0" fontId="68" fillId="0" borderId="0" xfId="3" applyNumberFormat="1" applyFont="1" applyBorder="1" applyAlignment="1"/>
    <xf numFmtId="0" fontId="7" fillId="0" borderId="1" xfId="3" applyFont="1" applyBorder="1"/>
    <xf numFmtId="0" fontId="4" fillId="0" borderId="0" xfId="3" applyNumberFormat="1" applyFont="1" applyBorder="1" applyAlignment="1">
      <alignment horizontal="right"/>
    </xf>
    <xf numFmtId="0" fontId="4" fillId="0" borderId="0" xfId="3" applyNumberFormat="1" applyFont="1" applyBorder="1" applyAlignment="1"/>
    <xf numFmtId="0" fontId="15" fillId="0" borderId="0" xfId="3" applyFont="1" applyBorder="1"/>
    <xf numFmtId="0" fontId="7" fillId="0" borderId="2" xfId="3" applyFont="1" applyBorder="1"/>
    <xf numFmtId="0" fontId="67" fillId="0" borderId="0" xfId="3" applyFont="1" applyBorder="1"/>
    <xf numFmtId="0" fontId="67" fillId="0" borderId="6" xfId="3" applyFont="1" applyBorder="1" applyAlignment="1">
      <alignment horizontal="center"/>
    </xf>
    <xf numFmtId="164" fontId="67" fillId="0" borderId="7" xfId="3" applyNumberFormat="1" applyFont="1" applyBorder="1" applyAlignment="1">
      <alignment horizontal="center"/>
    </xf>
    <xf numFmtId="0" fontId="67" fillId="0" borderId="0" xfId="3" applyFont="1" applyBorder="1" applyAlignment="1">
      <alignment horizontal="center"/>
    </xf>
    <xf numFmtId="164" fontId="67" fillId="0" borderId="0" xfId="3" applyNumberFormat="1" applyFont="1" applyBorder="1" applyAlignment="1">
      <alignment horizontal="center"/>
    </xf>
    <xf numFmtId="0" fontId="69" fillId="0" borderId="0" xfId="3" applyNumberFormat="1" applyFont="1" applyBorder="1" applyAlignment="1">
      <alignment horizontal="left"/>
    </xf>
    <xf numFmtId="0" fontId="64" fillId="0" borderId="16" xfId="3" applyFont="1" applyBorder="1"/>
    <xf numFmtId="0" fontId="64" fillId="0" borderId="17" xfId="3" applyFont="1" applyBorder="1"/>
    <xf numFmtId="0" fontId="64" fillId="0" borderId="18" xfId="3" applyFont="1" applyBorder="1"/>
    <xf numFmtId="49" fontId="7" fillId="0" borderId="10" xfId="4" applyNumberFormat="1" applyFont="1" applyFill="1" applyBorder="1" applyAlignment="1" applyProtection="1">
      <alignment horizontal="center"/>
      <protection locked="0"/>
    </xf>
    <xf numFmtId="49" fontId="7" fillId="0" borderId="10" xfId="4" applyNumberFormat="1" applyFont="1" applyFill="1" applyBorder="1" applyProtection="1">
      <protection locked="0"/>
    </xf>
    <xf numFmtId="49" fontId="7" fillId="0" borderId="13" xfId="4" applyNumberFormat="1" applyFont="1" applyFill="1" applyBorder="1" applyProtection="1">
      <protection locked="0"/>
    </xf>
    <xf numFmtId="49" fontId="7" fillId="0" borderId="21" xfId="4" applyNumberFormat="1" applyFont="1" applyFill="1" applyBorder="1" applyAlignment="1" applyProtection="1">
      <alignment horizontal="center"/>
      <protection locked="0"/>
    </xf>
    <xf numFmtId="164" fontId="67" fillId="0" borderId="0" xfId="3" applyNumberFormat="1" applyFont="1" applyBorder="1"/>
    <xf numFmtId="0" fontId="19" fillId="0" borderId="0" xfId="0" applyFont="1" applyFill="1"/>
    <xf numFmtId="165" fontId="3" fillId="0" borderId="8" xfId="4" applyNumberFormat="1" applyFont="1" applyBorder="1" applyAlignment="1" applyProtection="1">
      <alignment horizontal="right"/>
    </xf>
    <xf numFmtId="164" fontId="52" fillId="0" borderId="8" xfId="4" applyNumberFormat="1" applyFont="1" applyFill="1" applyBorder="1" applyAlignment="1" applyProtection="1">
      <alignment horizontal="right"/>
    </xf>
    <xf numFmtId="164" fontId="3" fillId="0" borderId="8" xfId="4" applyNumberFormat="1" applyFont="1" applyFill="1" applyBorder="1" applyAlignment="1" applyProtection="1">
      <alignment horizontal="right"/>
    </xf>
    <xf numFmtId="0" fontId="7" fillId="0" borderId="19" xfId="4" applyFont="1" applyFill="1" applyBorder="1" applyProtection="1">
      <protection locked="0"/>
    </xf>
    <xf numFmtId="0" fontId="20" fillId="0" borderId="8" xfId="0" applyFont="1" applyBorder="1" applyAlignment="1">
      <alignment horizontal="center" vertical="center"/>
    </xf>
    <xf numFmtId="0" fontId="19" fillId="2" borderId="33" xfId="0" applyFont="1" applyFill="1" applyBorder="1"/>
    <xf numFmtId="0" fontId="19" fillId="0" borderId="0" xfId="0" applyFont="1"/>
    <xf numFmtId="0" fontId="19" fillId="0" borderId="33" xfId="0" applyFont="1" applyBorder="1"/>
    <xf numFmtId="0" fontId="19" fillId="0" borderId="33" xfId="0" quotePrefix="1" applyFont="1" applyBorder="1"/>
    <xf numFmtId="0" fontId="70" fillId="2" borderId="33" xfId="0" applyFont="1" applyFill="1" applyBorder="1" applyAlignment="1">
      <alignment horizontal="center"/>
    </xf>
    <xf numFmtId="0" fontId="19" fillId="14" borderId="0" xfId="0" applyFont="1" applyFill="1"/>
    <xf numFmtId="0" fontId="19" fillId="14" borderId="0" xfId="0" applyNumberFormat="1" applyFont="1" applyFill="1"/>
    <xf numFmtId="0" fontId="70" fillId="0" borderId="33" xfId="0" applyFont="1" applyFill="1" applyBorder="1" applyAlignment="1">
      <alignment horizontal="center"/>
    </xf>
    <xf numFmtId="0" fontId="19" fillId="14" borderId="0" xfId="1" applyFont="1" applyFill="1" applyAlignment="1"/>
    <xf numFmtId="0" fontId="27" fillId="0" borderId="33" xfId="0" applyFont="1" applyBorder="1"/>
    <xf numFmtId="0" fontId="27" fillId="0" borderId="33" xfId="0" applyFont="1" applyFill="1" applyBorder="1"/>
    <xf numFmtId="0" fontId="27" fillId="0" borderId="34" xfId="0" applyFont="1" applyBorder="1"/>
    <xf numFmtId="0" fontId="71" fillId="0" borderId="33" xfId="0" applyFont="1" applyFill="1" applyBorder="1"/>
    <xf numFmtId="0" fontId="71" fillId="0" borderId="34" xfId="0" applyFont="1" applyFill="1" applyBorder="1"/>
    <xf numFmtId="0" fontId="31" fillId="0" borderId="0" xfId="4" applyFont="1" applyBorder="1"/>
    <xf numFmtId="0" fontId="31" fillId="0" borderId="0" xfId="4" applyFont="1" applyFill="1" applyBorder="1"/>
    <xf numFmtId="169" fontId="7" fillId="0" borderId="11" xfId="0" applyNumberFormat="1" applyFont="1" applyFill="1" applyBorder="1" applyAlignment="1" applyProtection="1">
      <alignment horizontal="center"/>
    </xf>
    <xf numFmtId="169" fontId="7" fillId="0" borderId="11" xfId="0" quotePrefix="1" applyNumberFormat="1" applyFont="1" applyFill="1" applyBorder="1" applyAlignment="1" applyProtection="1">
      <alignment horizontal="center"/>
    </xf>
    <xf numFmtId="169" fontId="7" fillId="0" borderId="11" xfId="0" quotePrefix="1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center"/>
    </xf>
    <xf numFmtId="169" fontId="7" fillId="0" borderId="12" xfId="0" quotePrefix="1" applyNumberFormat="1" applyFont="1" applyFill="1" applyBorder="1" applyAlignment="1" applyProtection="1">
      <alignment horizontal="center"/>
    </xf>
    <xf numFmtId="169" fontId="7" fillId="0" borderId="12" xfId="0" applyNumberFormat="1" applyFont="1" applyFill="1" applyBorder="1" applyAlignment="1" applyProtection="1">
      <alignment horizontal="center"/>
    </xf>
    <xf numFmtId="22" fontId="7" fillId="0" borderId="11" xfId="4" applyNumberFormat="1" applyFont="1" applyFill="1" applyBorder="1" applyAlignment="1" applyProtection="1">
      <alignment horizontal="center"/>
      <protection locked="0"/>
    </xf>
    <xf numFmtId="22" fontId="7" fillId="0" borderId="11" xfId="4" applyNumberFormat="1" applyFont="1" applyFill="1" applyBorder="1" applyProtection="1">
      <protection locked="0"/>
    </xf>
    <xf numFmtId="22" fontId="7" fillId="0" borderId="12" xfId="4" applyNumberFormat="1" applyFont="1" applyFill="1" applyBorder="1" applyAlignment="1" applyProtection="1">
      <alignment horizontal="center"/>
      <protection locked="0"/>
    </xf>
    <xf numFmtId="22" fontId="7" fillId="0" borderId="25" xfId="4" applyNumberFormat="1" applyFont="1" applyFill="1" applyBorder="1" applyAlignment="1" applyProtection="1">
      <alignment horizontal="center"/>
      <protection locked="0"/>
    </xf>
    <xf numFmtId="0" fontId="7" fillId="0" borderId="12" xfId="4" quotePrefix="1" applyNumberFormat="1" applyFont="1" applyBorder="1" applyAlignment="1" applyProtection="1">
      <alignment horizontal="center"/>
      <protection locked="0"/>
    </xf>
    <xf numFmtId="0" fontId="73" fillId="0" borderId="0" xfId="4" applyFont="1" applyBorder="1" applyAlignment="1">
      <alignment horizontal="left"/>
    </xf>
    <xf numFmtId="2" fontId="7" fillId="0" borderId="13" xfId="4" applyNumberFormat="1" applyFont="1" applyBorder="1" applyAlignment="1" applyProtection="1">
      <alignment horizontal="center"/>
      <protection locked="0"/>
    </xf>
    <xf numFmtId="164" fontId="37" fillId="0" borderId="26" xfId="4" applyNumberFormat="1" applyFont="1" applyBorder="1" applyAlignment="1">
      <alignment horizontal="center"/>
    </xf>
    <xf numFmtId="169" fontId="30" fillId="2" borderId="12" xfId="4" applyNumberFormat="1" applyFont="1" applyFill="1" applyBorder="1" applyAlignment="1" applyProtection="1">
      <alignment horizontal="center"/>
      <protection locked="0"/>
    </xf>
    <xf numFmtId="2" fontId="7" fillId="0" borderId="12" xfId="4" applyNumberFormat="1" applyFont="1" applyBorder="1" applyAlignment="1" applyProtection="1">
      <alignment horizontal="center"/>
    </xf>
    <xf numFmtId="1" fontId="7" fillId="0" borderId="12" xfId="4" applyNumberFormat="1" applyFont="1" applyBorder="1" applyAlignment="1" applyProtection="1">
      <alignment horizontal="center"/>
    </xf>
    <xf numFmtId="22" fontId="7" fillId="0" borderId="12" xfId="4" applyNumberFormat="1" applyFont="1" applyBorder="1" applyAlignment="1" applyProtection="1">
      <alignment horizontal="center"/>
      <protection locked="0"/>
    </xf>
    <xf numFmtId="169" fontId="7" fillId="0" borderId="12" xfId="0" quotePrefix="1" applyNumberFormat="1" applyFont="1" applyBorder="1" applyAlignment="1" applyProtection="1">
      <alignment horizontal="center"/>
    </xf>
    <xf numFmtId="169" fontId="31" fillId="3" borderId="12" xfId="4" quotePrefix="1" applyNumberFormat="1" applyFont="1" applyFill="1" applyBorder="1" applyAlignment="1" applyProtection="1">
      <alignment horizontal="center"/>
      <protection locked="0"/>
    </xf>
    <xf numFmtId="2" fontId="32" fillId="4" borderId="12" xfId="4" applyNumberFormat="1" applyFont="1" applyFill="1" applyBorder="1" applyAlignment="1" applyProtection="1">
      <alignment horizontal="center"/>
      <protection locked="0"/>
    </xf>
    <xf numFmtId="2" fontId="33" fillId="5" borderId="12" xfId="4" applyNumberFormat="1" applyFont="1" applyFill="1" applyBorder="1" applyAlignment="1" applyProtection="1">
      <alignment horizontal="center"/>
      <protection locked="0"/>
    </xf>
    <xf numFmtId="169" fontId="34" fillId="2" borderId="12" xfId="4" quotePrefix="1" applyNumberFormat="1" applyFont="1" applyFill="1" applyBorder="1" applyAlignment="1" applyProtection="1">
      <alignment horizontal="center"/>
      <protection locked="0"/>
    </xf>
    <xf numFmtId="4" fontId="34" fillId="2" borderId="12" xfId="4" applyNumberFormat="1" applyFont="1" applyFill="1" applyBorder="1" applyAlignment="1" applyProtection="1">
      <alignment horizontal="center"/>
      <protection locked="0"/>
    </xf>
    <xf numFmtId="169" fontId="32" fillId="6" borderId="12" xfId="4" quotePrefix="1" applyNumberFormat="1" applyFont="1" applyFill="1" applyBorder="1" applyAlignment="1" applyProtection="1">
      <alignment horizontal="center"/>
      <protection locked="0"/>
    </xf>
    <xf numFmtId="4" fontId="32" fillId="6" borderId="12" xfId="4" applyNumberFormat="1" applyFont="1" applyFill="1" applyBorder="1" applyAlignment="1" applyProtection="1">
      <alignment horizontal="center"/>
      <protection locked="0"/>
    </xf>
    <xf numFmtId="4" fontId="35" fillId="7" borderId="12" xfId="4" applyNumberFormat="1" applyFont="1" applyFill="1" applyBorder="1" applyAlignment="1" applyProtection="1">
      <alignment horizontal="center"/>
      <protection locked="0"/>
    </xf>
    <xf numFmtId="4" fontId="36" fillId="8" borderId="12" xfId="4" applyNumberFormat="1" applyFont="1" applyFill="1" applyBorder="1" applyAlignment="1" applyProtection="1">
      <alignment horizontal="center"/>
      <protection locked="0"/>
    </xf>
    <xf numFmtId="4" fontId="7" fillId="0" borderId="35" xfId="0" applyNumberFormat="1" applyFont="1" applyBorder="1" applyAlignment="1" applyProtection="1">
      <alignment horizontal="center"/>
    </xf>
    <xf numFmtId="4" fontId="37" fillId="0" borderId="12" xfId="4" applyNumberFormat="1" applyFont="1" applyBorder="1" applyAlignment="1">
      <alignment horizontal="right"/>
    </xf>
    <xf numFmtId="0" fontId="4" fillId="0" borderId="0" xfId="4" applyFont="1" applyFill="1" applyBorder="1"/>
    <xf numFmtId="0" fontId="18" fillId="0" borderId="0" xfId="5" applyFont="1" applyBorder="1"/>
    <xf numFmtId="0" fontId="2" fillId="0" borderId="6" xfId="4" quotePrefix="1" applyFont="1" applyFill="1" applyBorder="1" applyAlignment="1" applyProtection="1">
      <alignment horizontal="left"/>
    </xf>
    <xf numFmtId="0" fontId="2" fillId="0" borderId="9" xfId="4" applyFont="1" applyFill="1" applyBorder="1" applyAlignment="1" applyProtection="1">
      <alignment horizontal="center"/>
    </xf>
    <xf numFmtId="166" fontId="2" fillId="0" borderId="8" xfId="4" applyNumberFormat="1" applyFont="1" applyFill="1" applyBorder="1" applyAlignment="1" applyProtection="1">
      <alignment horizontal="center"/>
    </xf>
    <xf numFmtId="0" fontId="20" fillId="0" borderId="8" xfId="6" applyFont="1" applyBorder="1" applyAlignment="1">
      <alignment horizontal="center" vertical="center"/>
    </xf>
    <xf numFmtId="174" fontId="7" fillId="0" borderId="10" xfId="4" applyNumberFormat="1" applyFont="1" applyFill="1" applyBorder="1" applyProtection="1">
      <protection locked="0"/>
    </xf>
    <xf numFmtId="0" fontId="6" fillId="9" borderId="10" xfId="4" applyFont="1" applyFill="1" applyBorder="1" applyProtection="1">
      <protection locked="0"/>
    </xf>
    <xf numFmtId="0" fontId="6" fillId="3" borderId="20" xfId="4" applyFont="1" applyFill="1" applyBorder="1" applyAlignment="1" applyProtection="1">
      <alignment horizontal="center"/>
      <protection locked="0"/>
    </xf>
    <xf numFmtId="0" fontId="6" fillId="3" borderId="21" xfId="4" applyFont="1" applyFill="1" applyBorder="1" applyProtection="1">
      <protection locked="0"/>
    </xf>
    <xf numFmtId="0" fontId="6" fillId="12" borderId="10" xfId="4" applyFont="1" applyFill="1" applyBorder="1" applyProtection="1">
      <protection locked="0"/>
    </xf>
    <xf numFmtId="174" fontId="7" fillId="0" borderId="12" xfId="4" quotePrefix="1" applyNumberFormat="1" applyFont="1" applyBorder="1" applyAlignment="1" applyProtection="1">
      <alignment horizontal="center"/>
      <protection locked="0"/>
    </xf>
    <xf numFmtId="169" fontId="7" fillId="0" borderId="11" xfId="4" quotePrefix="1" applyNumberFormat="1" applyFont="1" applyFill="1" applyBorder="1" applyAlignment="1" applyProtection="1">
      <alignment horizontal="center"/>
      <protection locked="0"/>
    </xf>
    <xf numFmtId="2" fontId="6" fillId="9" borderId="11" xfId="4" applyNumberFormat="1" applyFont="1" applyFill="1" applyBorder="1" applyAlignment="1" applyProtection="1">
      <alignment horizontal="center"/>
      <protection locked="0"/>
    </xf>
    <xf numFmtId="169" fontId="6" fillId="3" borderId="23" xfId="4" quotePrefix="1" applyNumberFormat="1" applyFont="1" applyFill="1" applyBorder="1" applyAlignment="1" applyProtection="1">
      <alignment horizontal="center"/>
      <protection locked="0"/>
    </xf>
    <xf numFmtId="169" fontId="6" fillId="3" borderId="25" xfId="4" quotePrefix="1" applyNumberFormat="1" applyFont="1" applyFill="1" applyBorder="1" applyAlignment="1" applyProtection="1">
      <alignment horizontal="center"/>
      <protection locked="0"/>
    </xf>
    <xf numFmtId="169" fontId="6" fillId="12" borderId="12" xfId="4" quotePrefix="1" applyNumberFormat="1" applyFont="1" applyFill="1" applyBorder="1" applyAlignment="1" applyProtection="1">
      <alignment horizontal="center"/>
      <protection locked="0"/>
    </xf>
    <xf numFmtId="169" fontId="7" fillId="0" borderId="11" xfId="6" applyNumberFormat="1" applyFont="1" applyBorder="1" applyAlignment="1" applyProtection="1">
      <alignment horizontal="center"/>
    </xf>
    <xf numFmtId="175" fontId="7" fillId="0" borderId="24" xfId="6" quotePrefix="1" applyNumberFormat="1" applyFont="1" applyBorder="1" applyAlignment="1" applyProtection="1">
      <alignment horizontal="center"/>
    </xf>
    <xf numFmtId="169" fontId="7" fillId="0" borderId="11" xfId="6" applyNumberFormat="1" applyFont="1" applyFill="1" applyBorder="1" applyAlignment="1" applyProtection="1">
      <alignment horizontal="center"/>
    </xf>
    <xf numFmtId="0" fontId="7" fillId="0" borderId="36" xfId="4" applyFont="1" applyFill="1" applyBorder="1" applyAlignment="1" applyProtection="1">
      <alignment horizontal="center"/>
      <protection locked="0"/>
    </xf>
    <xf numFmtId="0" fontId="6" fillId="9" borderId="13" xfId="4" applyFont="1" applyFill="1" applyBorder="1" applyProtection="1">
      <protection locked="0"/>
    </xf>
    <xf numFmtId="0" fontId="6" fillId="3" borderId="30" xfId="4" applyFont="1" applyFill="1" applyBorder="1" applyProtection="1">
      <protection locked="0"/>
    </xf>
    <xf numFmtId="0" fontId="6" fillId="3" borderId="31" xfId="4" applyFont="1" applyFill="1" applyBorder="1" applyProtection="1">
      <protection locked="0"/>
    </xf>
    <xf numFmtId="0" fontId="6" fillId="12" borderId="13" xfId="4" applyFont="1" applyFill="1" applyBorder="1" applyProtection="1">
      <protection locked="0"/>
    </xf>
    <xf numFmtId="164" fontId="32" fillId="6" borderId="8" xfId="4" applyNumberFormat="1" applyFont="1" applyFill="1" applyBorder="1" applyAlignment="1">
      <alignment horizontal="center"/>
    </xf>
    <xf numFmtId="164" fontId="48" fillId="10" borderId="8" xfId="4" applyNumberFormat="1" applyFont="1" applyFill="1" applyBorder="1" applyAlignment="1">
      <alignment horizontal="center"/>
    </xf>
    <xf numFmtId="164" fontId="35" fillId="11" borderId="8" xfId="4" applyNumberFormat="1" applyFont="1" applyFill="1" applyBorder="1" applyAlignment="1">
      <alignment horizontal="center"/>
    </xf>
    <xf numFmtId="164" fontId="3" fillId="0" borderId="37" xfId="4" applyNumberFormat="1" applyFont="1" applyFill="1" applyBorder="1" applyAlignment="1" applyProtection="1">
      <alignment horizontal="right"/>
      <protection locked="0"/>
    </xf>
    <xf numFmtId="0" fontId="67" fillId="0" borderId="0" xfId="3" applyNumberFormat="1" applyFont="1" applyBorder="1" applyAlignment="1"/>
  </cellXfs>
  <cellStyles count="7">
    <cellStyle name="Normal" xfId="0" builtinId="0"/>
    <cellStyle name="Normal 2" xfId="6"/>
    <cellStyle name="Normal_Comahue" xfId="1"/>
    <cellStyle name="Normal_EDN-EDS-ELP-SGE" xfId="2"/>
    <cellStyle name="Normal_F0407NER" xfId="5"/>
    <cellStyle name="Normal_PAFTT Anexo 28" xfId="3"/>
    <cellStyle name="Normal_TRANSBA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2662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447674</xdr:colOff>
      <xdr:row>0</xdr:row>
      <xdr:rowOff>0</xdr:rowOff>
    </xdr:from>
    <xdr:to>
      <xdr:col>0</xdr:col>
      <xdr:colOff>944335</xdr:colOff>
      <xdr:row>2</xdr:row>
      <xdr:rowOff>153761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0"/>
          <a:ext cx="496661" cy="86133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40</xdr:row>
          <xdr:rowOff>190500</xdr:rowOff>
        </xdr:from>
        <xdr:to>
          <xdr:col>2</xdr:col>
          <xdr:colOff>0</xdr:colOff>
          <xdr:row>42</xdr:row>
          <xdr:rowOff>0</xdr:rowOff>
        </xdr:to>
        <xdr:sp macro="" textlink="">
          <xdr:nvSpPr>
            <xdr:cNvPr id="97281" name="Button 1" hidden="1">
              <a:extLst>
                <a:ext uri="{63B3BB69-23CF-44E3-9099-C40C66FF867C}">
                  <a14:compatExt spid="_x0000_s97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0</xdr:rowOff>
    </xdr:from>
    <xdr:to>
      <xdr:col>0</xdr:col>
      <xdr:colOff>944337</xdr:colOff>
      <xdr:row>2</xdr:row>
      <xdr:rowOff>153761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6" y="0"/>
          <a:ext cx="496661" cy="86133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40</xdr:row>
          <xdr:rowOff>190500</xdr:rowOff>
        </xdr:from>
        <xdr:to>
          <xdr:col>2</xdr:col>
          <xdr:colOff>0</xdr:colOff>
          <xdr:row>42</xdr:row>
          <xdr:rowOff>0</xdr:rowOff>
        </xdr:to>
        <xdr:sp macro="" textlink="">
          <xdr:nvSpPr>
            <xdr:cNvPr id="98305" name="Button 1" hidden="1">
              <a:extLst>
                <a:ext uri="{63B3BB69-23CF-44E3-9099-C40C66FF867C}">
                  <a14:compatExt spid="_x0000_s98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468086</xdr:colOff>
      <xdr:row>0</xdr:row>
      <xdr:rowOff>0</xdr:rowOff>
    </xdr:from>
    <xdr:to>
      <xdr:col>0</xdr:col>
      <xdr:colOff>945697</xdr:colOff>
      <xdr:row>2</xdr:row>
      <xdr:rowOff>95250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086" y="0"/>
          <a:ext cx="477611" cy="84364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44</xdr:row>
          <xdr:rowOff>28575</xdr:rowOff>
        </xdr:from>
        <xdr:to>
          <xdr:col>2</xdr:col>
          <xdr:colOff>0</xdr:colOff>
          <xdr:row>45</xdr:row>
          <xdr:rowOff>57150</xdr:rowOff>
        </xdr:to>
        <xdr:sp macro="" textlink="">
          <xdr:nvSpPr>
            <xdr:cNvPr id="100353" name="Button 1" hidden="1">
              <a:extLst>
                <a:ext uri="{63B3BB69-23CF-44E3-9099-C40C66FF867C}">
                  <a14:compatExt spid="_x0000_s100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454478</xdr:colOff>
      <xdr:row>0</xdr:row>
      <xdr:rowOff>32657</xdr:rowOff>
    </xdr:from>
    <xdr:to>
      <xdr:col>0</xdr:col>
      <xdr:colOff>932089</xdr:colOff>
      <xdr:row>2</xdr:row>
      <xdr:rowOff>127907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478" y="32657"/>
          <a:ext cx="477611" cy="84364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43</xdr:row>
          <xdr:rowOff>28575</xdr:rowOff>
        </xdr:from>
        <xdr:to>
          <xdr:col>2</xdr:col>
          <xdr:colOff>0</xdr:colOff>
          <xdr:row>44</xdr:row>
          <xdr:rowOff>57150</xdr:rowOff>
        </xdr:to>
        <xdr:sp macro="" textlink="">
          <xdr:nvSpPr>
            <xdr:cNvPr id="101377" name="Button 1" hidden="1">
              <a:extLst>
                <a:ext uri="{63B3BB69-23CF-44E3-9099-C40C66FF867C}">
                  <a14:compatExt spid="_x0000_s10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459922</xdr:colOff>
      <xdr:row>0</xdr:row>
      <xdr:rowOff>0</xdr:rowOff>
    </xdr:from>
    <xdr:to>
      <xdr:col>0</xdr:col>
      <xdr:colOff>947058</xdr:colOff>
      <xdr:row>2</xdr:row>
      <xdr:rowOff>114300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922" y="0"/>
          <a:ext cx="487136" cy="84908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41</xdr:row>
          <xdr:rowOff>28575</xdr:rowOff>
        </xdr:from>
        <xdr:to>
          <xdr:col>2</xdr:col>
          <xdr:colOff>0</xdr:colOff>
          <xdr:row>42</xdr:row>
          <xdr:rowOff>9525</xdr:rowOff>
        </xdr:to>
        <xdr:sp macro="" textlink="">
          <xdr:nvSpPr>
            <xdr:cNvPr id="102401" name="Button 1" hidden="1">
              <a:extLst>
                <a:ext uri="{63B3BB69-23CF-44E3-9099-C40C66FF867C}">
                  <a14:compatExt spid="_x0000_s10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446314</xdr:colOff>
      <xdr:row>0</xdr:row>
      <xdr:rowOff>0</xdr:rowOff>
    </xdr:from>
    <xdr:to>
      <xdr:col>0</xdr:col>
      <xdr:colOff>933450</xdr:colOff>
      <xdr:row>2</xdr:row>
      <xdr:rowOff>114300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314" y="0"/>
          <a:ext cx="487136" cy="84908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42</xdr:row>
          <xdr:rowOff>28575</xdr:rowOff>
        </xdr:from>
        <xdr:to>
          <xdr:col>2</xdr:col>
          <xdr:colOff>0</xdr:colOff>
          <xdr:row>43</xdr:row>
          <xdr:rowOff>9525</xdr:rowOff>
        </xdr:to>
        <xdr:sp macro="" textlink="">
          <xdr:nvSpPr>
            <xdr:cNvPr id="103425" name="Button 1" hidden="1">
              <a:extLst>
                <a:ext uri="{63B3BB69-23CF-44E3-9099-C40C66FF867C}">
                  <a14:compatExt spid="_x0000_s103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0</xdr:rowOff>
    </xdr:from>
    <xdr:to>
      <xdr:col>0</xdr:col>
      <xdr:colOff>990600</xdr:colOff>
      <xdr:row>2</xdr:row>
      <xdr:rowOff>114300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0"/>
          <a:ext cx="542925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42</xdr:row>
          <xdr:rowOff>200025</xdr:rowOff>
        </xdr:from>
        <xdr:to>
          <xdr:col>2</xdr:col>
          <xdr:colOff>0</xdr:colOff>
          <xdr:row>44</xdr:row>
          <xdr:rowOff>28575</xdr:rowOff>
        </xdr:to>
        <xdr:sp macro="" textlink="">
          <xdr:nvSpPr>
            <xdr:cNvPr id="109569" name="Button 1" hidden="1">
              <a:extLst>
                <a:ext uri="{63B3BB69-23CF-44E3-9099-C40C66FF867C}">
                  <a14:compatExt spid="_x0000_s109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../../../AA%20PROCESO%20AUT/EXCEL/DISTROCUYO/FABI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K33"/>
  <sheetViews>
    <sheetView tabSelected="1" zoomScale="80" zoomScaleNormal="80" workbookViewId="0">
      <selection activeCell="F2" sqref="F2"/>
    </sheetView>
  </sheetViews>
  <sheetFormatPr baseColWidth="10" defaultRowHeight="12.75" x14ac:dyDescent="0.2"/>
  <cols>
    <col min="1" max="1" width="25.7109375" style="350" customWidth="1"/>
    <col min="2" max="2" width="7.7109375" style="350" customWidth="1"/>
    <col min="3" max="3" width="10.85546875" style="350" customWidth="1"/>
    <col min="4" max="4" width="6.7109375" style="350" customWidth="1"/>
    <col min="5" max="5" width="17.85546875" style="350" customWidth="1"/>
    <col min="6" max="7" width="16.7109375" style="350" customWidth="1"/>
    <col min="8" max="8" width="6.28515625" style="350" customWidth="1"/>
    <col min="9" max="9" width="19.85546875" style="350" customWidth="1"/>
    <col min="10" max="10" width="14.28515625" style="350" customWidth="1"/>
    <col min="11" max="11" width="15.7109375" style="350" customWidth="1"/>
    <col min="12" max="16384" width="11.42578125" style="350"/>
  </cols>
  <sheetData>
    <row r="1" spans="1:11" s="345" customFormat="1" ht="26.25" x14ac:dyDescent="0.4">
      <c r="B1" s="346"/>
      <c r="K1" s="347"/>
    </row>
    <row r="2" spans="1:11" s="345" customFormat="1" ht="26.25" x14ac:dyDescent="0.4">
      <c r="B2" s="346" t="s">
        <v>253</v>
      </c>
      <c r="C2" s="348"/>
      <c r="D2" s="349"/>
      <c r="E2" s="349"/>
      <c r="F2" s="349"/>
      <c r="G2" s="349"/>
      <c r="H2" s="349"/>
      <c r="I2" s="349"/>
      <c r="J2" s="349"/>
    </row>
    <row r="3" spans="1:11" x14ac:dyDescent="0.2">
      <c r="C3" s="351"/>
      <c r="D3" s="352"/>
      <c r="E3" s="352"/>
      <c r="F3" s="352"/>
      <c r="G3" s="352"/>
      <c r="H3" s="352"/>
      <c r="I3" s="352"/>
      <c r="J3" s="352"/>
    </row>
    <row r="4" spans="1:11" s="355" customFormat="1" ht="11.25" x14ac:dyDescent="0.2">
      <c r="A4" s="353" t="s">
        <v>3</v>
      </c>
      <c r="B4" s="354"/>
      <c r="D4" s="356"/>
      <c r="E4" s="356"/>
      <c r="F4" s="356"/>
      <c r="G4" s="356"/>
      <c r="H4" s="356"/>
      <c r="I4" s="356"/>
      <c r="J4" s="356"/>
      <c r="K4" s="356"/>
    </row>
    <row r="5" spans="1:11" s="355" customFormat="1" ht="11.25" x14ac:dyDescent="0.2">
      <c r="A5" s="353" t="s">
        <v>4</v>
      </c>
      <c r="B5" s="354"/>
      <c r="D5" s="356"/>
      <c r="E5" s="356"/>
      <c r="F5" s="356"/>
      <c r="G5" s="356"/>
      <c r="H5" s="356"/>
      <c r="I5" s="356"/>
      <c r="J5" s="356"/>
      <c r="K5" s="356"/>
    </row>
    <row r="6" spans="1:11" s="345" customFormat="1" ht="11.25" customHeight="1" x14ac:dyDescent="0.4">
      <c r="B6" s="357"/>
      <c r="D6" s="358"/>
      <c r="E6" s="358"/>
      <c r="F6" s="358"/>
      <c r="G6" s="358"/>
      <c r="H6" s="358"/>
      <c r="I6" s="358"/>
      <c r="J6" s="358"/>
      <c r="K6" s="358"/>
    </row>
    <row r="7" spans="1:11" s="359" customFormat="1" ht="20.25" x14ac:dyDescent="0.3">
      <c r="B7" s="360" t="s">
        <v>68</v>
      </c>
      <c r="C7" s="361"/>
      <c r="D7" s="362"/>
      <c r="E7" s="362"/>
      <c r="F7" s="362"/>
      <c r="G7" s="363"/>
      <c r="H7" s="363"/>
      <c r="I7" s="363"/>
      <c r="J7" s="363"/>
      <c r="K7" s="364"/>
    </row>
    <row r="8" spans="1:11" x14ac:dyDescent="0.2">
      <c r="I8" s="365"/>
      <c r="J8" s="365"/>
      <c r="K8" s="365"/>
    </row>
    <row r="9" spans="1:11" s="359" customFormat="1" ht="20.25" x14ac:dyDescent="0.3">
      <c r="B9" s="360" t="s">
        <v>0</v>
      </c>
      <c r="C9" s="361"/>
      <c r="D9" s="362"/>
      <c r="E9" s="362"/>
      <c r="F9" s="362"/>
      <c r="G9" s="362"/>
      <c r="H9" s="362"/>
      <c r="I9" s="363"/>
      <c r="J9" s="363"/>
      <c r="K9" s="364"/>
    </row>
    <row r="10" spans="1:11" x14ac:dyDescent="0.2">
      <c r="D10" s="366"/>
      <c r="E10" s="366"/>
      <c r="F10" s="366"/>
      <c r="I10" s="365"/>
      <c r="J10" s="365"/>
      <c r="K10" s="365"/>
    </row>
    <row r="11" spans="1:11" s="359" customFormat="1" ht="20.25" x14ac:dyDescent="0.3">
      <c r="B11" s="360" t="s">
        <v>245</v>
      </c>
      <c r="C11" s="367"/>
      <c r="D11" s="367"/>
      <c r="E11" s="367"/>
      <c r="F11" s="367"/>
      <c r="G11" s="362"/>
      <c r="H11" s="362"/>
      <c r="I11" s="363"/>
      <c r="J11" s="363"/>
      <c r="K11" s="364"/>
    </row>
    <row r="12" spans="1:11" s="368" customFormat="1" ht="16.5" thickBot="1" x14ac:dyDescent="0.3">
      <c r="D12" s="369"/>
      <c r="E12" s="369"/>
      <c r="F12" s="369"/>
      <c r="I12" s="370"/>
      <c r="J12" s="370"/>
      <c r="K12" s="370"/>
    </row>
    <row r="13" spans="1:11" s="368" customFormat="1" ht="16.5" thickTop="1" x14ac:dyDescent="0.25">
      <c r="B13" s="371">
        <v>1</v>
      </c>
      <c r="C13" s="372" t="b">
        <v>0</v>
      </c>
      <c r="D13" s="373"/>
      <c r="E13" s="373"/>
      <c r="F13" s="373"/>
      <c r="G13" s="373"/>
      <c r="H13" s="373"/>
      <c r="I13" s="373"/>
      <c r="J13" s="374"/>
      <c r="K13" s="370"/>
    </row>
    <row r="14" spans="1:11" s="375" customFormat="1" ht="19.5" x14ac:dyDescent="0.35">
      <c r="B14" s="376" t="s">
        <v>162</v>
      </c>
      <c r="C14" s="377"/>
      <c r="D14" s="378"/>
      <c r="E14" s="379"/>
      <c r="F14" s="379"/>
      <c r="G14" s="379"/>
      <c r="H14" s="379"/>
      <c r="I14" s="380"/>
      <c r="J14" s="381"/>
      <c r="K14" s="382"/>
    </row>
    <row r="15" spans="1:11" s="375" customFormat="1" ht="19.5" hidden="1" x14ac:dyDescent="0.35">
      <c r="B15" s="383"/>
      <c r="C15" s="384"/>
      <c r="D15" s="384"/>
      <c r="E15" s="382"/>
      <c r="F15" s="382"/>
      <c r="G15" s="385"/>
      <c r="H15" s="385"/>
      <c r="I15" s="382"/>
      <c r="J15" s="386"/>
      <c r="K15" s="382"/>
    </row>
    <row r="16" spans="1:11" s="375" customFormat="1" ht="19.5" hidden="1" x14ac:dyDescent="0.35">
      <c r="B16" s="376" t="s">
        <v>69</v>
      </c>
      <c r="C16" s="387"/>
      <c r="D16" s="387"/>
      <c r="E16" s="380"/>
      <c r="F16" s="379"/>
      <c r="G16" s="379"/>
      <c r="H16" s="380"/>
      <c r="I16" s="388"/>
      <c r="J16" s="381"/>
      <c r="K16" s="382"/>
    </row>
    <row r="17" spans="2:11" s="375" customFormat="1" ht="19.5" x14ac:dyDescent="0.35">
      <c r="B17" s="383"/>
      <c r="C17" s="384"/>
      <c r="D17" s="384"/>
      <c r="E17" s="382"/>
      <c r="F17" s="385"/>
      <c r="G17" s="385"/>
      <c r="H17" s="382"/>
      <c r="I17" s="351"/>
      <c r="J17" s="386"/>
      <c r="K17" s="382"/>
    </row>
    <row r="18" spans="2:11" s="375" customFormat="1" ht="19.5" x14ac:dyDescent="0.35">
      <c r="B18" s="383"/>
      <c r="C18" s="389" t="s">
        <v>70</v>
      </c>
      <c r="D18" s="390" t="s">
        <v>1</v>
      </c>
      <c r="E18" s="382"/>
      <c r="F18" s="382"/>
      <c r="G18" s="385"/>
      <c r="I18" s="409">
        <f>'LI-02 (2)'!AC42</f>
        <v>154108.6</v>
      </c>
      <c r="J18" s="386"/>
      <c r="K18" s="382"/>
    </row>
    <row r="19" spans="2:11" ht="18.75" x14ac:dyDescent="0.3">
      <c r="B19" s="391"/>
      <c r="C19" s="392"/>
      <c r="D19" s="393"/>
      <c r="E19" s="365"/>
      <c r="F19" s="365"/>
      <c r="G19" s="394"/>
      <c r="H19" s="394"/>
      <c r="I19" s="409"/>
      <c r="J19" s="395"/>
      <c r="K19" s="365"/>
    </row>
    <row r="20" spans="2:11" s="375" customFormat="1" ht="19.5" x14ac:dyDescent="0.35">
      <c r="B20" s="383"/>
      <c r="C20" s="389" t="s">
        <v>71</v>
      </c>
      <c r="D20" s="390" t="s">
        <v>72</v>
      </c>
      <c r="E20" s="382"/>
      <c r="F20" s="382"/>
      <c r="G20" s="385"/>
      <c r="H20" s="385"/>
      <c r="I20" s="409"/>
      <c r="J20" s="386"/>
      <c r="K20" s="382"/>
    </row>
    <row r="21" spans="2:11" ht="18.75" x14ac:dyDescent="0.3">
      <c r="B21" s="391"/>
      <c r="C21" s="392"/>
      <c r="D21" s="392"/>
      <c r="E21" s="365"/>
      <c r="F21" s="365"/>
      <c r="G21" s="394"/>
      <c r="H21" s="394"/>
      <c r="I21" s="409"/>
      <c r="J21" s="395"/>
      <c r="K21" s="365"/>
    </row>
    <row r="22" spans="2:11" s="375" customFormat="1" ht="19.5" x14ac:dyDescent="0.35">
      <c r="B22" s="383"/>
      <c r="C22" s="389"/>
      <c r="D22" s="389" t="s">
        <v>73</v>
      </c>
      <c r="E22" s="396" t="s">
        <v>74</v>
      </c>
      <c r="F22" s="396"/>
      <c r="G22" s="385"/>
      <c r="I22" s="409">
        <f>'T-02 (2)'!AC44</f>
        <v>45584</v>
      </c>
      <c r="J22" s="386"/>
      <c r="K22" s="382"/>
    </row>
    <row r="23" spans="2:11" ht="18.75" x14ac:dyDescent="0.3">
      <c r="B23" s="391"/>
      <c r="C23" s="392"/>
      <c r="D23" s="392"/>
      <c r="E23" s="365"/>
      <c r="F23" s="365"/>
      <c r="G23" s="394"/>
      <c r="H23" s="394"/>
      <c r="I23" s="409"/>
      <c r="J23" s="395"/>
      <c r="K23" s="365"/>
    </row>
    <row r="24" spans="2:11" s="375" customFormat="1" ht="19.5" x14ac:dyDescent="0.35">
      <c r="B24" s="383"/>
      <c r="C24" s="389"/>
      <c r="D24" s="389" t="s">
        <v>75</v>
      </c>
      <c r="E24" s="396" t="s">
        <v>76</v>
      </c>
      <c r="F24" s="396"/>
      <c r="G24" s="385"/>
      <c r="H24" s="385"/>
      <c r="I24" s="409">
        <f>'SA-02 (2)'!V43</f>
        <v>8448.35</v>
      </c>
      <c r="J24" s="386"/>
      <c r="K24" s="382"/>
    </row>
    <row r="25" spans="2:11" s="375" customFormat="1" ht="19.5" x14ac:dyDescent="0.35">
      <c r="B25" s="383"/>
      <c r="C25" s="389"/>
      <c r="D25" s="389"/>
      <c r="E25" s="396"/>
      <c r="F25" s="396"/>
      <c r="G25" s="385"/>
      <c r="H25" s="385"/>
      <c r="I25" s="409"/>
      <c r="J25" s="386"/>
      <c r="K25" s="382"/>
    </row>
    <row r="26" spans="2:11" s="375" customFormat="1" ht="19.5" x14ac:dyDescent="0.35">
      <c r="B26" s="383"/>
      <c r="C26" s="384" t="s">
        <v>241</v>
      </c>
      <c r="D26" s="491" t="s">
        <v>242</v>
      </c>
      <c r="E26" s="396"/>
      <c r="F26" s="396"/>
      <c r="G26" s="385"/>
      <c r="H26" s="385"/>
      <c r="I26" s="409">
        <f>'RE-02 (1)'!AD44</f>
        <v>3470.75</v>
      </c>
      <c r="J26" s="386"/>
      <c r="K26" s="382"/>
    </row>
    <row r="27" spans="2:11" s="375" customFormat="1" ht="19.5" x14ac:dyDescent="0.35">
      <c r="B27" s="383"/>
      <c r="C27" s="384"/>
      <c r="D27" s="384"/>
      <c r="E27" s="396"/>
      <c r="F27" s="396"/>
      <c r="G27" s="385"/>
      <c r="H27" s="385"/>
      <c r="I27" s="409"/>
      <c r="J27" s="386"/>
      <c r="K27" s="382"/>
    </row>
    <row r="28" spans="2:11" s="375" customFormat="1" ht="20.25" thickBot="1" x14ac:dyDescent="0.4">
      <c r="B28" s="383"/>
      <c r="C28" s="384"/>
      <c r="D28" s="384"/>
      <c r="E28" s="382"/>
      <c r="F28" s="382"/>
      <c r="G28" s="385"/>
      <c r="H28" s="385"/>
      <c r="I28" s="382"/>
      <c r="J28" s="386"/>
      <c r="K28" s="382"/>
    </row>
    <row r="29" spans="2:11" s="375" customFormat="1" ht="20.25" thickTop="1" thickBot="1" x14ac:dyDescent="0.35">
      <c r="B29" s="383"/>
      <c r="C29" s="389"/>
      <c r="D29" s="389"/>
      <c r="E29" s="351"/>
      <c r="F29" s="397" t="s">
        <v>77</v>
      </c>
      <c r="G29" s="398">
        <f>ROUND(SUM(I18:I27),2)</f>
        <v>211611.7</v>
      </c>
      <c r="H29" s="351"/>
      <c r="J29" s="386"/>
      <c r="K29" s="382"/>
    </row>
    <row r="30" spans="2:11" s="375" customFormat="1" ht="9" customHeight="1" thickTop="1" x14ac:dyDescent="0.3">
      <c r="B30" s="383"/>
      <c r="C30" s="389"/>
      <c r="D30" s="389"/>
      <c r="E30" s="351"/>
      <c r="F30" s="399"/>
      <c r="G30" s="400"/>
      <c r="H30" s="351"/>
      <c r="J30" s="386"/>
      <c r="K30" s="382"/>
    </row>
    <row r="31" spans="2:11" s="375" customFormat="1" ht="18.75" x14ac:dyDescent="0.3">
      <c r="B31" s="383"/>
      <c r="C31" s="401" t="s">
        <v>244</v>
      </c>
      <c r="D31" s="389"/>
      <c r="E31" s="351"/>
      <c r="F31" s="399"/>
      <c r="G31" s="400"/>
      <c r="H31" s="351"/>
      <c r="J31" s="386"/>
      <c r="K31" s="382"/>
    </row>
    <row r="32" spans="2:11" s="368" customFormat="1" ht="9" customHeight="1" thickBot="1" x14ac:dyDescent="0.3">
      <c r="B32" s="402"/>
      <c r="C32" s="403"/>
      <c r="D32" s="403"/>
      <c r="E32" s="403"/>
      <c r="F32" s="403"/>
      <c r="G32" s="403"/>
      <c r="H32" s="403"/>
      <c r="I32" s="403"/>
      <c r="J32" s="404"/>
      <c r="K32" s="370"/>
    </row>
    <row r="33" ht="13.5" thickTop="1" x14ac:dyDescent="0.2"/>
  </sheetData>
  <phoneticPr fontId="2" type="noConversion"/>
  <pageMargins left="0.39370078740157483" right="0.19685039370078741" top="0.78740157480314965" bottom="0.78740157480314965" header="0.51181102362204722" footer="0.51181102362204722"/>
  <pageSetup paperSize="9" scale="94" orientation="landscape" r:id="rId1"/>
  <headerFooter alignWithMargins="0">
    <oddFooter>&amp;L&amp;"Times New Roman,Normal"&amp;8&amp;Z&amp;F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pageSetUpPr fitToPage="1"/>
  </sheetPr>
  <dimension ref="A1:AE90"/>
  <sheetViews>
    <sheetView topLeftCell="B7" zoomScale="80" zoomScaleNormal="80" workbookViewId="0">
      <selection activeCell="A39" sqref="A39"/>
    </sheetView>
  </sheetViews>
  <sheetFormatPr baseColWidth="10" defaultRowHeight="12.75" x14ac:dyDescent="0.2"/>
  <cols>
    <col min="1" max="1" width="17.85546875" style="5" customWidth="1"/>
    <col min="2" max="2" width="4.140625" style="5" customWidth="1"/>
    <col min="3" max="3" width="5.4257812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28515625" style="5" customWidth="1"/>
    <col min="10" max="10" width="5.7109375" style="5" hidden="1" customWidth="1"/>
    <col min="11" max="12" width="16.28515625" style="5" customWidth="1"/>
    <col min="13" max="15" width="9.7109375" style="5" customWidth="1"/>
    <col min="16" max="16" width="8.7109375" style="5" customWidth="1"/>
    <col min="17" max="17" width="8.85546875" style="5" hidden="1" customWidth="1"/>
    <col min="18" max="19" width="12.140625" style="5" hidden="1" customWidth="1"/>
    <col min="20" max="25" width="6.8554687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578125" style="5" hidden="1" customWidth="1"/>
    <col min="32" max="34" width="11.42578125" style="5"/>
    <col min="35" max="37" width="11.28515625" style="5" customWidth="1"/>
    <col min="38" max="16384" width="11.42578125" style="5"/>
  </cols>
  <sheetData>
    <row r="1" spans="1:30" s="3" customFormat="1" ht="29.25" customHeight="1" x14ac:dyDescent="0.4">
      <c r="AD1" s="313"/>
    </row>
    <row r="2" spans="1:30" s="3" customFormat="1" ht="26.25" x14ac:dyDescent="0.4">
      <c r="B2" s="16" t="str">
        <f>'TOT-0216'!B2</f>
        <v>ANEXO III al Memorándum D.T.E.E. N°   243 / 2017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1" customFormat="1" x14ac:dyDescent="0.2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9" customFormat="1" ht="11.25" x14ac:dyDescent="0.2">
      <c r="A4" s="18" t="s">
        <v>3</v>
      </c>
      <c r="B4" s="18"/>
    </row>
    <row r="5" spans="1:30" s="9" customFormat="1" ht="11.25" x14ac:dyDescent="0.2">
      <c r="A5" s="18" t="s">
        <v>4</v>
      </c>
      <c r="B5" s="18"/>
    </row>
    <row r="6" spans="1:30" s="1" customFormat="1" ht="17.100000000000001" customHeight="1" thickBot="1" x14ac:dyDescent="0.25"/>
    <row r="7" spans="1:30" s="1" customFormat="1" ht="17.100000000000001" customHeight="1" thickTop="1" x14ac:dyDescent="0.2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1:30" s="22" customFormat="1" ht="20.25" x14ac:dyDescent="0.3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1:30" s="1" customFormat="1" ht="17.100000000000001" customHeight="1" x14ac:dyDescent="0.2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1:30" s="22" customFormat="1" ht="20.25" x14ac:dyDescent="0.3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1:30" s="1" customFormat="1" ht="17.100000000000001" customHeight="1" x14ac:dyDescent="0.2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1:30" s="10" customFormat="1" ht="19.5" x14ac:dyDescent="0.35">
      <c r="B12" s="11" t="str">
        <f>+'TOT-0216'!B14</f>
        <v>Desde el 01 al 29 de Febrero de 2016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1:30" s="1" customFormat="1" ht="17.100000000000001" customHeight="1" thickBot="1" x14ac:dyDescent="0.25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1:30" s="1" customFormat="1" ht="17.100000000000001" customHeight="1" thickTop="1" thickBot="1" x14ac:dyDescent="0.25">
      <c r="B14" s="13"/>
      <c r="C14" s="7"/>
      <c r="D14" s="7"/>
      <c r="E14" s="7"/>
      <c r="F14" s="35" t="s">
        <v>7</v>
      </c>
      <c r="G14" s="36">
        <v>392.94</v>
      </c>
      <c r="H14" s="37"/>
      <c r="I14" s="38"/>
      <c r="J14" s="34"/>
      <c r="K14" s="34"/>
      <c r="L14" s="39" t="s">
        <v>8</v>
      </c>
      <c r="M14" s="40">
        <f>150*'TOT-0216'!B13</f>
        <v>150</v>
      </c>
      <c r="N14" s="41" t="str">
        <f>IF(M14=150," ",IF(M14=300,"Coeficiente duplicado por tasa de falla &gt;4 Sal. x año/100 km.","REVISAR COEFICIENTE"))</f>
        <v xml:space="preserve"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1:30" s="1" customFormat="1" ht="17.100000000000001" customHeight="1" thickTop="1" thickBot="1" x14ac:dyDescent="0.25">
      <c r="B15" s="13"/>
      <c r="C15" s="7"/>
      <c r="D15" s="7"/>
      <c r="E15" s="7"/>
      <c r="F15" s="35" t="s">
        <v>9</v>
      </c>
      <c r="G15" s="36">
        <v>375.48</v>
      </c>
      <c r="H15" s="42"/>
      <c r="I15" s="43"/>
      <c r="J15" s="7"/>
      <c r="K15" s="44"/>
      <c r="L15" s="39" t="s">
        <v>10</v>
      </c>
      <c r="M15" s="40">
        <f>50*'TOT-0216'!B13</f>
        <v>50</v>
      </c>
      <c r="N15" s="41" t="str">
        <f>IF(M15=50," ",IF(M15=100,"Coeficiente duplicado por tasa de falla &gt;4 Sal. x año/100 km.","REVISAR COEFICIENTE"))</f>
        <v xml:space="preserve"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1:30" s="1" customFormat="1" ht="17.100000000000001" customHeight="1" thickTop="1" thickBot="1" x14ac:dyDescent="0.25">
      <c r="B16" s="13"/>
      <c r="C16" s="7"/>
      <c r="D16" s="7"/>
      <c r="E16" s="7"/>
      <c r="F16" s="35" t="s">
        <v>11</v>
      </c>
      <c r="G16" s="36">
        <v>375.48</v>
      </c>
      <c r="H16" s="42"/>
      <c r="I16" s="43"/>
      <c r="J16" s="7"/>
      <c r="K16" s="7"/>
      <c r="L16" s="39" t="s">
        <v>12</v>
      </c>
      <c r="M16" s="40">
        <f>10*'TOT-0216'!B13</f>
        <v>10</v>
      </c>
      <c r="N16" s="41" t="str">
        <f>IF(M16=10," ",IF(M16=20,"Coeficiente duplicado por tasa de falla &gt;4 Sal. x año/100 km.","REVISAR COEFICIENTE"))</f>
        <v xml:space="preserve"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7.100000000000001" customHeight="1" thickTop="1" thickBot="1" x14ac:dyDescent="0.25">
      <c r="B17" s="13"/>
      <c r="C17" s="430">
        <v>3</v>
      </c>
      <c r="D17" s="430">
        <v>4</v>
      </c>
      <c r="E17" s="430">
        <v>5</v>
      </c>
      <c r="F17" s="430">
        <v>6</v>
      </c>
      <c r="G17" s="430">
        <v>7</v>
      </c>
      <c r="H17" s="430">
        <v>8</v>
      </c>
      <c r="I17" s="430">
        <v>9</v>
      </c>
      <c r="J17" s="430">
        <v>10</v>
      </c>
      <c r="K17" s="430">
        <v>11</v>
      </c>
      <c r="L17" s="430">
        <v>12</v>
      </c>
      <c r="M17" s="430">
        <v>13</v>
      </c>
      <c r="N17" s="430">
        <v>14</v>
      </c>
      <c r="O17" s="430">
        <v>15</v>
      </c>
      <c r="P17" s="430">
        <v>16</v>
      </c>
      <c r="Q17" s="430">
        <v>17</v>
      </c>
      <c r="R17" s="430">
        <v>18</v>
      </c>
      <c r="S17" s="430">
        <v>19</v>
      </c>
      <c r="T17" s="430">
        <v>20</v>
      </c>
      <c r="U17" s="430">
        <v>21</v>
      </c>
      <c r="V17" s="430">
        <v>22</v>
      </c>
      <c r="W17" s="430">
        <v>23</v>
      </c>
      <c r="X17" s="430">
        <v>24</v>
      </c>
      <c r="Y17" s="430">
        <v>25</v>
      </c>
      <c r="Z17" s="430">
        <v>26</v>
      </c>
      <c r="AA17" s="430">
        <v>27</v>
      </c>
      <c r="AB17" s="430">
        <v>28</v>
      </c>
      <c r="AC17" s="430">
        <v>29</v>
      </c>
      <c r="AD17" s="14"/>
    </row>
    <row r="18" spans="2:30" s="45" customFormat="1" ht="35.1" customHeight="1" thickTop="1" thickBot="1" x14ac:dyDescent="0.25">
      <c r="B18" s="46"/>
      <c r="C18" s="415" t="s">
        <v>13</v>
      </c>
      <c r="D18" s="415" t="s">
        <v>78</v>
      </c>
      <c r="E18" s="415" t="s">
        <v>79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66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7.100000000000001" customHeight="1" thickTop="1" x14ac:dyDescent="0.25">
      <c r="B19" s="13"/>
      <c r="C19" s="63"/>
      <c r="D19" s="63"/>
      <c r="E19" s="63"/>
      <c r="F19" s="64"/>
      <c r="G19" s="63"/>
      <c r="H19" s="63"/>
      <c r="I19" s="63"/>
      <c r="J19" s="65"/>
      <c r="K19" s="405"/>
      <c r="L19" s="406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/>
      <c r="AD19" s="14"/>
    </row>
    <row r="20" spans="2:30" s="1" customFormat="1" ht="16.5" customHeight="1" x14ac:dyDescent="0.25">
      <c r="B20" s="13"/>
      <c r="C20" s="76"/>
      <c r="D20" s="76"/>
      <c r="E20" s="76"/>
      <c r="F20" s="77"/>
      <c r="G20" s="77"/>
      <c r="H20" s="76"/>
      <c r="I20" s="76"/>
      <c r="J20" s="78"/>
      <c r="K20" s="438"/>
      <c r="L20" s="439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7.100000000000001" customHeight="1" x14ac:dyDescent="0.25">
      <c r="B21" s="13"/>
      <c r="C21" s="79">
        <v>1</v>
      </c>
      <c r="D21" s="79">
        <v>298618</v>
      </c>
      <c r="E21" s="79">
        <v>1524</v>
      </c>
      <c r="F21" s="77" t="s">
        <v>163</v>
      </c>
      <c r="G21" s="77">
        <v>132</v>
      </c>
      <c r="H21" s="90">
        <v>77.3</v>
      </c>
      <c r="I21" s="91" t="s">
        <v>141</v>
      </c>
      <c r="J21" s="92">
        <f t="shared" ref="J21:J39" si="0">IF(G21=220,$G$14,IF(G21=132,$G$15,$G$16))*IF(H21&gt;25,H21,25)/100</f>
        <v>290.24603999999999</v>
      </c>
      <c r="K21" s="438">
        <v>42401.431250000001</v>
      </c>
      <c r="L21" s="438">
        <v>42403.703472222223</v>
      </c>
      <c r="M21" s="94">
        <f t="shared" ref="M21:M39" si="1">IF(F21="","",(L21-K21)*24)</f>
        <v>54.533333333325572</v>
      </c>
      <c r="N21" s="95">
        <f t="shared" ref="N21:N39" si="2">IF(F21="","",ROUND((L21-K21)*24*60,0))</f>
        <v>3272</v>
      </c>
      <c r="O21" s="96" t="s">
        <v>142</v>
      </c>
      <c r="P21" s="434" t="s">
        <v>140</v>
      </c>
      <c r="Q21" s="97">
        <f t="shared" ref="Q21:Q39" si="3">IF(I21="A",$M$14,IF(I21="B",$M$15,$M$16))</f>
        <v>10</v>
      </c>
      <c r="R21" s="98">
        <f t="shared" ref="R21:R39" si="4">IF(O21="P",ROUND(N21/60,2)*J21*Q21*0.01,"--")</f>
        <v>1582.71165612</v>
      </c>
      <c r="S21" s="99" t="str">
        <f t="shared" ref="S21:S39" si="5">IF(O21="RP",ROUND(N21/60,2)*J21*Q21*0.01*P21/100,"--")</f>
        <v>--</v>
      </c>
      <c r="T21" s="100" t="str">
        <f t="shared" ref="T21:T39" si="6">IF(O21="F",J21*Q21,"--")</f>
        <v>--</v>
      </c>
      <c r="U21" s="100" t="str">
        <f t="shared" ref="U21:U39" si="7">IF(AND(N21&gt;10,O21="F"),J21*Q21*IF(N21&gt;180,3,ROUND((N21)/60,2)),"--")</f>
        <v>--</v>
      </c>
      <c r="V21" s="101" t="str">
        <f t="shared" ref="V21:V39" si="8">IF(AND(O21="F",N21&gt;180),(ROUND(N21/60,2)-3)*J21*Q21*0.1,"--")</f>
        <v>--</v>
      </c>
      <c r="W21" s="102" t="str">
        <f t="shared" ref="W21:W39" si="9">IF(O21="R",J21*Q21*P21/100,"--")</f>
        <v>--</v>
      </c>
      <c r="X21" s="102" t="str">
        <f t="shared" ref="X21:X39" si="10">IF(AND(N21&gt;10,O21="R"),Q21*J21*P21/100*IF(N21&gt;180,3,ROUND((N21)/60,2)),"--")</f>
        <v>--</v>
      </c>
      <c r="Y21" s="103" t="str">
        <f t="shared" ref="Y21:Y39" si="11">IF(AND(O21="R",N21&gt;180),(ROUND(N21/60,2)-3)*J21*Q21*0.1*P21/100,"--")</f>
        <v>--</v>
      </c>
      <c r="Z21" s="104" t="str">
        <f t="shared" ref="Z21:Z39" si="12">IF(O21="RF",ROUND(N21/60,2)*J21*Q21*0.1,"--")</f>
        <v>--</v>
      </c>
      <c r="AA21" s="105" t="str">
        <f t="shared" ref="AA21:AA39" si="13">IF(O21="RR",ROUND(N21/60,2)*J21*Q21*0.1*P21/100,"--")</f>
        <v>--</v>
      </c>
      <c r="AB21" s="435" t="s">
        <v>139</v>
      </c>
      <c r="AC21" s="106">
        <f t="shared" ref="AC21:AC39" si="14">IF(F21="","",SUM(R21:AA21)*IF(AB21="SI",1,2))</f>
        <v>1582.71165612</v>
      </c>
      <c r="AD21" s="107"/>
    </row>
    <row r="22" spans="2:30" s="1" customFormat="1" ht="16.5" customHeight="1" x14ac:dyDescent="0.25">
      <c r="B22" s="13"/>
      <c r="C22" s="79">
        <v>2</v>
      </c>
      <c r="D22" s="79">
        <v>298624</v>
      </c>
      <c r="E22" s="79">
        <v>1440</v>
      </c>
      <c r="F22" s="77" t="s">
        <v>164</v>
      </c>
      <c r="G22" s="77">
        <v>132</v>
      </c>
      <c r="H22" s="90">
        <v>55</v>
      </c>
      <c r="I22" s="91" t="s">
        <v>141</v>
      </c>
      <c r="J22" s="92">
        <f t="shared" si="0"/>
        <v>206.51400000000001</v>
      </c>
      <c r="K22" s="438">
        <v>42403.359722222223</v>
      </c>
      <c r="L22" s="438">
        <v>42405.718055555553</v>
      </c>
      <c r="M22" s="94">
        <f t="shared" si="1"/>
        <v>56.599999999918509</v>
      </c>
      <c r="N22" s="95">
        <f t="shared" si="2"/>
        <v>3396</v>
      </c>
      <c r="O22" s="96" t="s">
        <v>142</v>
      </c>
      <c r="P22" s="434" t="s">
        <v>140</v>
      </c>
      <c r="Q22" s="97">
        <f t="shared" si="3"/>
        <v>10</v>
      </c>
      <c r="R22" s="98">
        <f t="shared" si="4"/>
        <v>1168.8692400000002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35" t="s">
        <v>139</v>
      </c>
      <c r="AC22" s="106">
        <f t="shared" si="14"/>
        <v>1168.8692400000002</v>
      </c>
      <c r="AD22" s="107"/>
    </row>
    <row r="23" spans="2:30" s="1" customFormat="1" ht="17.100000000000001" customHeight="1" x14ac:dyDescent="0.25">
      <c r="B23" s="13"/>
      <c r="C23" s="79">
        <v>3</v>
      </c>
      <c r="D23" s="79">
        <v>298634</v>
      </c>
      <c r="E23" s="79">
        <v>3797</v>
      </c>
      <c r="F23" s="77" t="s">
        <v>144</v>
      </c>
      <c r="G23" s="77">
        <v>66</v>
      </c>
      <c r="H23" s="90">
        <v>49.799999237060547</v>
      </c>
      <c r="I23" s="91" t="s">
        <v>141</v>
      </c>
      <c r="J23" s="92">
        <f t="shared" si="0"/>
        <v>186.98903713531493</v>
      </c>
      <c r="K23" s="438">
        <v>42405.338888888888</v>
      </c>
      <c r="L23" s="438">
        <v>42405.588888888888</v>
      </c>
      <c r="M23" s="94">
        <f t="shared" si="1"/>
        <v>6</v>
      </c>
      <c r="N23" s="95">
        <f t="shared" si="2"/>
        <v>360</v>
      </c>
      <c r="O23" s="96" t="s">
        <v>142</v>
      </c>
      <c r="P23" s="434" t="s">
        <v>140</v>
      </c>
      <c r="Q23" s="97">
        <f t="shared" si="3"/>
        <v>10</v>
      </c>
      <c r="R23" s="98">
        <f t="shared" si="4"/>
        <v>112.19342228118896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35" t="s">
        <v>139</v>
      </c>
      <c r="AC23" s="106">
        <f t="shared" si="14"/>
        <v>112.19342228118896</v>
      </c>
      <c r="AD23" s="107"/>
    </row>
    <row r="24" spans="2:30" s="1" customFormat="1" ht="17.100000000000001" customHeight="1" x14ac:dyDescent="0.25">
      <c r="B24" s="13"/>
      <c r="C24" s="79">
        <v>4</v>
      </c>
      <c r="D24" s="79">
        <v>298635</v>
      </c>
      <c r="E24" s="79">
        <v>1525</v>
      </c>
      <c r="F24" s="77" t="s">
        <v>165</v>
      </c>
      <c r="G24" s="77">
        <v>132</v>
      </c>
      <c r="H24" s="90">
        <v>39.290000915527344</v>
      </c>
      <c r="I24" s="91" t="s">
        <v>141</v>
      </c>
      <c r="J24" s="92">
        <f t="shared" si="0"/>
        <v>147.52609543762208</v>
      </c>
      <c r="K24" s="438">
        <v>42405.859722222223</v>
      </c>
      <c r="L24" s="438">
        <v>42406.038888888892</v>
      </c>
      <c r="M24" s="94">
        <f t="shared" si="1"/>
        <v>4.3000000000465661</v>
      </c>
      <c r="N24" s="95">
        <f t="shared" si="2"/>
        <v>258</v>
      </c>
      <c r="O24" s="96" t="s">
        <v>138</v>
      </c>
      <c r="P24" s="434" t="s">
        <v>140</v>
      </c>
      <c r="Q24" s="97">
        <f t="shared" si="3"/>
        <v>10</v>
      </c>
      <c r="R24" s="98" t="str">
        <f t="shared" si="4"/>
        <v>--</v>
      </c>
      <c r="S24" s="99" t="str">
        <f t="shared" si="5"/>
        <v>--</v>
      </c>
      <c r="T24" s="100">
        <f t="shared" si="6"/>
        <v>1475.2609543762208</v>
      </c>
      <c r="U24" s="100">
        <f t="shared" si="7"/>
        <v>4425.782863128662</v>
      </c>
      <c r="V24" s="101">
        <f t="shared" si="8"/>
        <v>191.78392406890868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35" t="s">
        <v>139</v>
      </c>
      <c r="AC24" s="106">
        <f t="shared" si="14"/>
        <v>6092.8277415737921</v>
      </c>
      <c r="AD24" s="107"/>
    </row>
    <row r="25" spans="2:30" s="1" customFormat="1" ht="17.100000000000001" customHeight="1" x14ac:dyDescent="0.25">
      <c r="B25" s="13"/>
      <c r="C25" s="79">
        <v>5</v>
      </c>
      <c r="D25" s="79">
        <v>298636</v>
      </c>
      <c r="E25" s="79">
        <v>1410</v>
      </c>
      <c r="F25" s="77" t="s">
        <v>171</v>
      </c>
      <c r="G25" s="77">
        <v>132</v>
      </c>
      <c r="H25" s="90">
        <v>41.299999237060547</v>
      </c>
      <c r="I25" s="91" t="s">
        <v>172</v>
      </c>
      <c r="J25" s="92">
        <f t="shared" si="0"/>
        <v>155.07323713531497</v>
      </c>
      <c r="K25" s="438">
        <v>42406.272222222222</v>
      </c>
      <c r="L25" s="438">
        <v>42406.368055555555</v>
      </c>
      <c r="M25" s="94">
        <f t="shared" si="1"/>
        <v>2.2999999999883585</v>
      </c>
      <c r="N25" s="95">
        <f t="shared" si="2"/>
        <v>138</v>
      </c>
      <c r="O25" s="96" t="s">
        <v>142</v>
      </c>
      <c r="P25" s="434" t="s">
        <v>140</v>
      </c>
      <c r="Q25" s="97">
        <f t="shared" si="3"/>
        <v>50</v>
      </c>
      <c r="R25" s="98">
        <f t="shared" si="4"/>
        <v>178.33422270561221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35" t="s">
        <v>139</v>
      </c>
      <c r="AC25" s="106">
        <f t="shared" si="14"/>
        <v>178.33422270561221</v>
      </c>
      <c r="AD25" s="107"/>
    </row>
    <row r="26" spans="2:30" s="1" customFormat="1" ht="17.100000000000001" customHeight="1" x14ac:dyDescent="0.25">
      <c r="B26" s="13"/>
      <c r="C26" s="79">
        <v>6</v>
      </c>
      <c r="D26" s="79">
        <v>298645</v>
      </c>
      <c r="E26" s="79">
        <v>1515</v>
      </c>
      <c r="F26" s="77" t="s">
        <v>180</v>
      </c>
      <c r="G26" s="77">
        <v>132</v>
      </c>
      <c r="H26" s="90">
        <v>40.220001220703125</v>
      </c>
      <c r="I26" s="91" t="s">
        <v>141</v>
      </c>
      <c r="J26" s="92">
        <f t="shared" si="0"/>
        <v>151.01806058349609</v>
      </c>
      <c r="K26" s="438">
        <v>42407.128472222219</v>
      </c>
      <c r="L26" s="438">
        <v>42407.177083333336</v>
      </c>
      <c r="M26" s="94">
        <f t="shared" si="1"/>
        <v>1.1666666668024845</v>
      </c>
      <c r="N26" s="95">
        <f t="shared" si="2"/>
        <v>70</v>
      </c>
      <c r="O26" s="93" t="s">
        <v>138</v>
      </c>
      <c r="P26" s="434" t="s">
        <v>140</v>
      </c>
      <c r="Q26" s="97">
        <f t="shared" si="3"/>
        <v>10</v>
      </c>
      <c r="R26" s="98" t="str">
        <f t="shared" si="4"/>
        <v>--</v>
      </c>
      <c r="S26" s="99" t="str">
        <f t="shared" si="5"/>
        <v>--</v>
      </c>
      <c r="T26" s="100">
        <f t="shared" si="6"/>
        <v>1510.1806058349609</v>
      </c>
      <c r="U26" s="100">
        <f t="shared" si="7"/>
        <v>1766.9113088269041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35" t="s">
        <v>139</v>
      </c>
      <c r="AC26" s="106">
        <f t="shared" si="14"/>
        <v>3277.0919146618653</v>
      </c>
      <c r="AD26" s="107"/>
    </row>
    <row r="27" spans="2:30" s="1" customFormat="1" ht="17.100000000000001" customHeight="1" x14ac:dyDescent="0.25">
      <c r="B27" s="13"/>
      <c r="C27" s="79">
        <v>7</v>
      </c>
      <c r="D27" s="79">
        <v>298648</v>
      </c>
      <c r="E27" s="79">
        <v>1434</v>
      </c>
      <c r="F27" s="77" t="s">
        <v>143</v>
      </c>
      <c r="G27" s="77">
        <v>66</v>
      </c>
      <c r="H27" s="90">
        <v>60.939998626708984</v>
      </c>
      <c r="I27" s="91" t="s">
        <v>141</v>
      </c>
      <c r="J27" s="92">
        <f t="shared" si="0"/>
        <v>228.81750684356692</v>
      </c>
      <c r="K27" s="438">
        <v>42407.586805555555</v>
      </c>
      <c r="L27" s="438">
        <v>42407.793055555558</v>
      </c>
      <c r="M27" s="94">
        <f t="shared" si="1"/>
        <v>4.9500000000698492</v>
      </c>
      <c r="N27" s="95">
        <f t="shared" si="2"/>
        <v>297</v>
      </c>
      <c r="O27" s="93" t="s">
        <v>138</v>
      </c>
      <c r="P27" s="434" t="s">
        <v>140</v>
      </c>
      <c r="Q27" s="97">
        <f t="shared" si="3"/>
        <v>10</v>
      </c>
      <c r="R27" s="98" t="str">
        <f t="shared" si="4"/>
        <v>--</v>
      </c>
      <c r="S27" s="99" t="str">
        <f t="shared" si="5"/>
        <v>--</v>
      </c>
      <c r="T27" s="100">
        <f t="shared" si="6"/>
        <v>2288.1750684356693</v>
      </c>
      <c r="U27" s="100">
        <f t="shared" si="7"/>
        <v>6864.525205307008</v>
      </c>
      <c r="V27" s="101">
        <f t="shared" si="8"/>
        <v>446.19413834495555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35" t="s">
        <v>139</v>
      </c>
      <c r="AC27" s="106">
        <f t="shared" si="14"/>
        <v>9598.8944120876331</v>
      </c>
      <c r="AD27" s="107"/>
    </row>
    <row r="28" spans="2:30" s="1" customFormat="1" ht="17.100000000000001" customHeight="1" x14ac:dyDescent="0.25">
      <c r="B28" s="13"/>
      <c r="C28" s="79">
        <v>8</v>
      </c>
      <c r="D28" s="79">
        <v>298835</v>
      </c>
      <c r="E28" s="79">
        <v>1401</v>
      </c>
      <c r="F28" s="77" t="s">
        <v>173</v>
      </c>
      <c r="G28" s="77">
        <v>132</v>
      </c>
      <c r="H28" s="90">
        <v>126.90000152587891</v>
      </c>
      <c r="I28" s="91" t="s">
        <v>141</v>
      </c>
      <c r="J28" s="92">
        <f t="shared" si="0"/>
        <v>476.48412572937013</v>
      </c>
      <c r="K28" s="438">
        <v>42410.379166666666</v>
      </c>
      <c r="L28" s="438">
        <v>42410.591666666667</v>
      </c>
      <c r="M28" s="94">
        <f t="shared" si="1"/>
        <v>5.1000000000349246</v>
      </c>
      <c r="N28" s="95">
        <f t="shared" si="2"/>
        <v>306</v>
      </c>
      <c r="O28" s="93" t="s">
        <v>142</v>
      </c>
      <c r="P28" s="434" t="s">
        <v>140</v>
      </c>
      <c r="Q28" s="97">
        <f t="shared" si="3"/>
        <v>10</v>
      </c>
      <c r="R28" s="98">
        <f t="shared" si="4"/>
        <v>243.00690412197875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35" t="s">
        <v>139</v>
      </c>
      <c r="AC28" s="106">
        <f t="shared" si="14"/>
        <v>243.00690412197875</v>
      </c>
      <c r="AD28" s="107"/>
    </row>
    <row r="29" spans="2:30" s="1" customFormat="1" ht="17.100000000000001" customHeight="1" x14ac:dyDescent="0.25">
      <c r="B29" s="13"/>
      <c r="C29" s="79">
        <v>9</v>
      </c>
      <c r="D29" s="79">
        <v>298836</v>
      </c>
      <c r="E29" s="79">
        <v>1532</v>
      </c>
      <c r="F29" s="77" t="s">
        <v>177</v>
      </c>
      <c r="G29" s="77">
        <v>132</v>
      </c>
      <c r="H29" s="90">
        <v>141</v>
      </c>
      <c r="I29" s="91" t="s">
        <v>172</v>
      </c>
      <c r="J29" s="92">
        <f t="shared" si="0"/>
        <v>529.42679999999996</v>
      </c>
      <c r="K29" s="438">
        <v>42410.416666666664</v>
      </c>
      <c r="L29" s="438">
        <v>42410.536805555559</v>
      </c>
      <c r="M29" s="94">
        <f t="shared" si="1"/>
        <v>2.8833333334769122</v>
      </c>
      <c r="N29" s="95">
        <f t="shared" si="2"/>
        <v>173</v>
      </c>
      <c r="O29" s="93" t="s">
        <v>142</v>
      </c>
      <c r="P29" s="434" t="s">
        <v>140</v>
      </c>
      <c r="Q29" s="97">
        <f t="shared" si="3"/>
        <v>50</v>
      </c>
      <c r="R29" s="98">
        <f t="shared" si="4"/>
        <v>762.37459199999989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35" t="s">
        <v>139</v>
      </c>
      <c r="AC29" s="106">
        <f t="shared" si="14"/>
        <v>762.37459199999989</v>
      </c>
      <c r="AD29" s="107"/>
    </row>
    <row r="30" spans="2:30" s="1" customFormat="1" ht="17.100000000000001" customHeight="1" x14ac:dyDescent="0.25">
      <c r="B30" s="13"/>
      <c r="C30" s="79"/>
      <c r="D30" s="79"/>
      <c r="E30" s="79"/>
      <c r="F30" s="77"/>
      <c r="G30" s="77"/>
      <c r="H30" s="90"/>
      <c r="I30" s="91"/>
      <c r="J30" s="92"/>
      <c r="K30" s="438"/>
      <c r="L30" s="438"/>
      <c r="M30" s="94"/>
      <c r="N30" s="95"/>
      <c r="O30" s="93"/>
      <c r="P30" s="434"/>
      <c r="Q30" s="97"/>
      <c r="R30" s="98"/>
      <c r="S30" s="99"/>
      <c r="T30" s="100"/>
      <c r="U30" s="100"/>
      <c r="V30" s="101"/>
      <c r="W30" s="102"/>
      <c r="X30" s="102"/>
      <c r="Y30" s="103"/>
      <c r="Z30" s="104"/>
      <c r="AA30" s="105"/>
      <c r="AB30" s="435"/>
      <c r="AC30" s="106"/>
      <c r="AD30" s="107"/>
    </row>
    <row r="31" spans="2:30" s="1" customFormat="1" ht="17.100000000000001" customHeight="1" x14ac:dyDescent="0.25">
      <c r="B31" s="13"/>
      <c r="C31" s="79"/>
      <c r="D31" s="79"/>
      <c r="E31" s="79"/>
      <c r="F31" s="77"/>
      <c r="G31" s="77"/>
      <c r="H31" s="90"/>
      <c r="I31" s="91"/>
      <c r="J31" s="92"/>
      <c r="K31" s="438"/>
      <c r="L31" s="438"/>
      <c r="M31" s="94"/>
      <c r="N31" s="95"/>
      <c r="O31" s="93"/>
      <c r="P31" s="434"/>
      <c r="Q31" s="97"/>
      <c r="R31" s="98"/>
      <c r="S31" s="99"/>
      <c r="T31" s="100"/>
      <c r="U31" s="100"/>
      <c r="V31" s="101"/>
      <c r="W31" s="102"/>
      <c r="X31" s="102"/>
      <c r="Y31" s="103"/>
      <c r="Z31" s="104"/>
      <c r="AA31" s="105"/>
      <c r="AB31" s="435"/>
      <c r="AC31" s="106"/>
      <c r="AD31" s="107"/>
    </row>
    <row r="32" spans="2:30" s="1" customFormat="1" ht="17.100000000000001" customHeight="1" x14ac:dyDescent="0.25">
      <c r="B32" s="13"/>
      <c r="C32" s="79">
        <v>12</v>
      </c>
      <c r="D32" s="79">
        <v>298855</v>
      </c>
      <c r="E32" s="79">
        <v>2621</v>
      </c>
      <c r="F32" s="77" t="s">
        <v>136</v>
      </c>
      <c r="G32" s="77">
        <v>132</v>
      </c>
      <c r="H32" s="90">
        <v>38.29</v>
      </c>
      <c r="I32" s="91" t="s">
        <v>137</v>
      </c>
      <c r="J32" s="92">
        <f t="shared" si="0"/>
        <v>143.77129200000002</v>
      </c>
      <c r="K32" s="438">
        <v>42412.5</v>
      </c>
      <c r="L32" s="438">
        <v>42412.694444444445</v>
      </c>
      <c r="M32" s="94">
        <f t="shared" si="1"/>
        <v>4.6666666666860692</v>
      </c>
      <c r="N32" s="95">
        <f t="shared" si="2"/>
        <v>280</v>
      </c>
      <c r="O32" s="93" t="s">
        <v>138</v>
      </c>
      <c r="P32" s="434" t="s">
        <v>140</v>
      </c>
      <c r="Q32" s="97">
        <f t="shared" si="3"/>
        <v>150</v>
      </c>
      <c r="R32" s="98" t="str">
        <f t="shared" si="4"/>
        <v>--</v>
      </c>
      <c r="S32" s="99" t="str">
        <f t="shared" si="5"/>
        <v>--</v>
      </c>
      <c r="T32" s="100">
        <f t="shared" si="6"/>
        <v>21565.693800000001</v>
      </c>
      <c r="U32" s="100">
        <f t="shared" si="7"/>
        <v>64697.081400000003</v>
      </c>
      <c r="V32" s="101">
        <f t="shared" si="8"/>
        <v>3601.4708645999999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35" t="s">
        <v>139</v>
      </c>
      <c r="AC32" s="106">
        <f t="shared" si="14"/>
        <v>89864.246064600011</v>
      </c>
      <c r="AD32" s="107"/>
    </row>
    <row r="33" spans="2:30" s="1" customFormat="1" ht="17.100000000000001" customHeight="1" x14ac:dyDescent="0.25">
      <c r="B33" s="13"/>
      <c r="C33" s="79">
        <v>13</v>
      </c>
      <c r="D33" s="79">
        <v>299397</v>
      </c>
      <c r="E33" s="79">
        <v>1446</v>
      </c>
      <c r="F33" s="77" t="s">
        <v>179</v>
      </c>
      <c r="G33" s="77">
        <v>132</v>
      </c>
      <c r="H33" s="90">
        <v>139.89999389648437</v>
      </c>
      <c r="I33" s="91" t="s">
        <v>141</v>
      </c>
      <c r="J33" s="92">
        <f t="shared" si="0"/>
        <v>525.29649708251952</v>
      </c>
      <c r="K33" s="438">
        <v>42415.39166666667</v>
      </c>
      <c r="L33" s="438">
        <v>42415.579861111109</v>
      </c>
      <c r="M33" s="94">
        <f t="shared" si="1"/>
        <v>4.5166666665463708</v>
      </c>
      <c r="N33" s="95">
        <f t="shared" si="2"/>
        <v>271</v>
      </c>
      <c r="O33" s="93" t="s">
        <v>142</v>
      </c>
      <c r="P33" s="434" t="s">
        <v>140</v>
      </c>
      <c r="Q33" s="97">
        <f t="shared" si="3"/>
        <v>10</v>
      </c>
      <c r="R33" s="98">
        <f t="shared" si="4"/>
        <v>237.43401668129883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35" t="s">
        <v>139</v>
      </c>
      <c r="AC33" s="106">
        <f t="shared" si="14"/>
        <v>237.43401668129883</v>
      </c>
      <c r="AD33" s="107"/>
    </row>
    <row r="34" spans="2:30" s="1" customFormat="1" ht="17.100000000000001" customHeight="1" x14ac:dyDescent="0.25">
      <c r="B34" s="108"/>
      <c r="C34" s="79">
        <v>14</v>
      </c>
      <c r="D34" s="79">
        <v>299398</v>
      </c>
      <c r="E34" s="79">
        <v>1547</v>
      </c>
      <c r="F34" s="77" t="s">
        <v>175</v>
      </c>
      <c r="G34" s="77">
        <v>132</v>
      </c>
      <c r="H34" s="90">
        <v>1.8999999761581421</v>
      </c>
      <c r="I34" s="91" t="s">
        <v>141</v>
      </c>
      <c r="J34" s="92">
        <f t="shared" si="0"/>
        <v>93.87</v>
      </c>
      <c r="K34" s="438">
        <v>42416.327777777777</v>
      </c>
      <c r="L34" s="438">
        <v>42416.606249999997</v>
      </c>
      <c r="M34" s="94">
        <f t="shared" si="1"/>
        <v>6.6833333332906477</v>
      </c>
      <c r="N34" s="95">
        <f t="shared" si="2"/>
        <v>401</v>
      </c>
      <c r="O34" s="93" t="s">
        <v>142</v>
      </c>
      <c r="P34" s="434" t="s">
        <v>140</v>
      </c>
      <c r="Q34" s="97">
        <f t="shared" si="3"/>
        <v>10</v>
      </c>
      <c r="R34" s="98">
        <f t="shared" si="4"/>
        <v>62.705159999999999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35" t="s">
        <v>139</v>
      </c>
      <c r="AC34" s="106">
        <f t="shared" si="14"/>
        <v>62.705159999999999</v>
      </c>
      <c r="AD34" s="107"/>
    </row>
    <row r="35" spans="2:30" s="1" customFormat="1" ht="17.100000000000001" customHeight="1" x14ac:dyDescent="0.25">
      <c r="B35" s="108"/>
      <c r="C35" s="79">
        <v>15</v>
      </c>
      <c r="D35" s="79">
        <v>299402</v>
      </c>
      <c r="E35" s="79">
        <v>1450</v>
      </c>
      <c r="F35" s="77" t="s">
        <v>145</v>
      </c>
      <c r="G35" s="77">
        <v>132</v>
      </c>
      <c r="H35" s="90">
        <v>51.400001525878906</v>
      </c>
      <c r="I35" s="91" t="s">
        <v>141</v>
      </c>
      <c r="J35" s="92">
        <f t="shared" si="0"/>
        <v>192.99672572937013</v>
      </c>
      <c r="K35" s="438">
        <v>42416.915277777778</v>
      </c>
      <c r="L35" s="438">
        <v>42417.040277777778</v>
      </c>
      <c r="M35" s="94">
        <f t="shared" si="1"/>
        <v>3</v>
      </c>
      <c r="N35" s="95">
        <f t="shared" si="2"/>
        <v>180</v>
      </c>
      <c r="O35" s="93" t="s">
        <v>138</v>
      </c>
      <c r="P35" s="434" t="s">
        <v>140</v>
      </c>
      <c r="Q35" s="97">
        <f t="shared" si="3"/>
        <v>10</v>
      </c>
      <c r="R35" s="98" t="str">
        <f t="shared" si="4"/>
        <v>--</v>
      </c>
      <c r="S35" s="99" t="str">
        <f t="shared" si="5"/>
        <v>--</v>
      </c>
      <c r="T35" s="100">
        <f t="shared" si="6"/>
        <v>1929.9672572937013</v>
      </c>
      <c r="U35" s="100">
        <f t="shared" si="7"/>
        <v>5789.9017718811037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35" t="s">
        <v>139</v>
      </c>
      <c r="AC35" s="106">
        <f t="shared" si="14"/>
        <v>7719.8690291748053</v>
      </c>
      <c r="AD35" s="107"/>
    </row>
    <row r="36" spans="2:30" s="1" customFormat="1" ht="17.100000000000001" customHeight="1" x14ac:dyDescent="0.25">
      <c r="B36" s="108"/>
      <c r="C36" s="79">
        <v>16</v>
      </c>
      <c r="D36" s="79">
        <v>299403</v>
      </c>
      <c r="E36" s="79">
        <v>1515</v>
      </c>
      <c r="F36" s="77" t="s">
        <v>180</v>
      </c>
      <c r="G36" s="77">
        <v>132</v>
      </c>
      <c r="H36" s="90">
        <v>40.220001220703125</v>
      </c>
      <c r="I36" s="91" t="s">
        <v>141</v>
      </c>
      <c r="J36" s="92">
        <f t="shared" si="0"/>
        <v>151.01806058349609</v>
      </c>
      <c r="K36" s="438">
        <v>42417.255555555559</v>
      </c>
      <c r="L36" s="438">
        <v>42417.469444444447</v>
      </c>
      <c r="M36" s="94">
        <f t="shared" si="1"/>
        <v>5.1333333333022892</v>
      </c>
      <c r="N36" s="95">
        <f t="shared" si="2"/>
        <v>308</v>
      </c>
      <c r="O36" s="93" t="s">
        <v>142</v>
      </c>
      <c r="P36" s="434" t="s">
        <v>140</v>
      </c>
      <c r="Q36" s="97">
        <f t="shared" si="3"/>
        <v>10</v>
      </c>
      <c r="R36" s="98">
        <f t="shared" si="4"/>
        <v>77.472265079333496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35" t="s">
        <v>139</v>
      </c>
      <c r="AC36" s="106">
        <f t="shared" si="14"/>
        <v>77.472265079333496</v>
      </c>
      <c r="AD36" s="107"/>
    </row>
    <row r="37" spans="2:30" s="1" customFormat="1" ht="17.100000000000001" customHeight="1" x14ac:dyDescent="0.25">
      <c r="B37" s="108"/>
      <c r="C37" s="79">
        <v>17</v>
      </c>
      <c r="D37" s="79">
        <v>299404</v>
      </c>
      <c r="E37" s="79">
        <v>1547</v>
      </c>
      <c r="F37" s="77" t="s">
        <v>175</v>
      </c>
      <c r="G37" s="77">
        <v>132</v>
      </c>
      <c r="H37" s="90">
        <v>1.8999999761581421</v>
      </c>
      <c r="I37" s="91" t="s">
        <v>141</v>
      </c>
      <c r="J37" s="92">
        <f t="shared" si="0"/>
        <v>93.87</v>
      </c>
      <c r="K37" s="438">
        <v>42417.331944444442</v>
      </c>
      <c r="L37" s="438">
        <v>42417.593055555553</v>
      </c>
      <c r="M37" s="94">
        <f t="shared" si="1"/>
        <v>6.2666666666627862</v>
      </c>
      <c r="N37" s="95">
        <f t="shared" si="2"/>
        <v>376</v>
      </c>
      <c r="O37" s="93" t="s">
        <v>142</v>
      </c>
      <c r="P37" s="434" t="s">
        <v>140</v>
      </c>
      <c r="Q37" s="97">
        <f t="shared" si="3"/>
        <v>10</v>
      </c>
      <c r="R37" s="98">
        <f t="shared" si="4"/>
        <v>58.856489999999994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35" t="s">
        <v>139</v>
      </c>
      <c r="AC37" s="106">
        <f t="shared" si="14"/>
        <v>58.856489999999994</v>
      </c>
      <c r="AD37" s="107"/>
    </row>
    <row r="38" spans="2:30" s="1" customFormat="1" ht="17.100000000000001" customHeight="1" x14ac:dyDescent="0.25">
      <c r="B38" s="108"/>
      <c r="C38" s="79">
        <v>18</v>
      </c>
      <c r="D38" s="79">
        <v>299405</v>
      </c>
      <c r="E38" s="79">
        <v>4888</v>
      </c>
      <c r="F38" s="77" t="s">
        <v>181</v>
      </c>
      <c r="G38" s="77">
        <v>132</v>
      </c>
      <c r="H38" s="90">
        <v>16.8</v>
      </c>
      <c r="I38" s="91" t="s">
        <v>141</v>
      </c>
      <c r="J38" s="92">
        <f t="shared" si="0"/>
        <v>93.87</v>
      </c>
      <c r="K38" s="438">
        <v>42417.411111111112</v>
      </c>
      <c r="L38" s="438">
        <v>42417.433333333334</v>
      </c>
      <c r="M38" s="94">
        <f t="shared" si="1"/>
        <v>0.53333333332557231</v>
      </c>
      <c r="N38" s="95">
        <f t="shared" si="2"/>
        <v>32</v>
      </c>
      <c r="O38" s="93" t="s">
        <v>142</v>
      </c>
      <c r="P38" s="434" t="s">
        <v>140</v>
      </c>
      <c r="Q38" s="97">
        <f t="shared" si="3"/>
        <v>10</v>
      </c>
      <c r="R38" s="98">
        <f t="shared" si="4"/>
        <v>4.9751100000000008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35" t="s">
        <v>139</v>
      </c>
      <c r="AC38" s="106">
        <f t="shared" si="14"/>
        <v>4.9751100000000008</v>
      </c>
      <c r="AD38" s="107"/>
    </row>
    <row r="39" spans="2:30" s="1" customFormat="1" ht="17.100000000000001" customHeight="1" x14ac:dyDescent="0.25">
      <c r="B39" s="108"/>
      <c r="C39" s="79">
        <v>19</v>
      </c>
      <c r="D39" s="79">
        <v>299411</v>
      </c>
      <c r="E39" s="79">
        <v>1546</v>
      </c>
      <c r="F39" s="77" t="s">
        <v>176</v>
      </c>
      <c r="G39" s="77">
        <v>132</v>
      </c>
      <c r="H39" s="90">
        <v>3.2000000476837158</v>
      </c>
      <c r="I39" s="91" t="s">
        <v>141</v>
      </c>
      <c r="J39" s="92">
        <f t="shared" si="0"/>
        <v>93.87</v>
      </c>
      <c r="K39" s="438">
        <v>42418.345833333333</v>
      </c>
      <c r="L39" s="438">
        <v>42418.570138888892</v>
      </c>
      <c r="M39" s="94">
        <f t="shared" si="1"/>
        <v>5.3833333334187046</v>
      </c>
      <c r="N39" s="95">
        <f t="shared" si="2"/>
        <v>323</v>
      </c>
      <c r="O39" s="93" t="s">
        <v>142</v>
      </c>
      <c r="P39" s="434" t="s">
        <v>140</v>
      </c>
      <c r="Q39" s="97">
        <f t="shared" si="3"/>
        <v>10</v>
      </c>
      <c r="R39" s="98">
        <f t="shared" si="4"/>
        <v>50.50206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35" t="s">
        <v>139</v>
      </c>
      <c r="AC39" s="106">
        <f t="shared" si="14"/>
        <v>50.50206</v>
      </c>
      <c r="AD39" s="107"/>
    </row>
    <row r="40" spans="2:30" s="1" customFormat="1" ht="17.100000000000001" customHeight="1" x14ac:dyDescent="0.25">
      <c r="B40" s="108"/>
      <c r="C40" s="77"/>
      <c r="D40" s="77"/>
      <c r="E40" s="77"/>
      <c r="F40" s="77"/>
      <c r="G40" s="77"/>
      <c r="H40" s="90"/>
      <c r="I40" s="90"/>
      <c r="J40" s="446"/>
      <c r="K40" s="440"/>
      <c r="L40" s="440"/>
      <c r="M40" s="447"/>
      <c r="N40" s="448"/>
      <c r="O40" s="449"/>
      <c r="P40" s="450"/>
      <c r="Q40" s="451"/>
      <c r="R40" s="452"/>
      <c r="S40" s="453"/>
      <c r="T40" s="454"/>
      <c r="U40" s="454"/>
      <c r="V40" s="455"/>
      <c r="W40" s="456"/>
      <c r="X40" s="456"/>
      <c r="Y40" s="457"/>
      <c r="Z40" s="458"/>
      <c r="AA40" s="459"/>
      <c r="AB40" s="460"/>
      <c r="AC40" s="461"/>
      <c r="AD40" s="107"/>
    </row>
    <row r="41" spans="2:30" s="1" customFormat="1" ht="17.100000000000001" customHeight="1" thickBot="1" x14ac:dyDescent="0.3">
      <c r="B41" s="13"/>
      <c r="C41" s="109"/>
      <c r="D41" s="109"/>
      <c r="E41" s="109"/>
      <c r="F41" s="109"/>
      <c r="G41" s="444"/>
      <c r="H41" s="334"/>
      <c r="I41" s="334"/>
      <c r="J41" s="111"/>
      <c r="K41" s="407"/>
      <c r="L41" s="407"/>
      <c r="M41" s="110"/>
      <c r="N41" s="110"/>
      <c r="O41" s="334"/>
      <c r="P41" s="335"/>
      <c r="Q41" s="336"/>
      <c r="R41" s="337"/>
      <c r="S41" s="338"/>
      <c r="T41" s="339"/>
      <c r="U41" s="340"/>
      <c r="V41" s="340"/>
      <c r="W41" s="341"/>
      <c r="X41" s="341"/>
      <c r="Y41" s="341"/>
      <c r="Z41" s="342"/>
      <c r="AA41" s="343"/>
      <c r="AB41" s="344"/>
      <c r="AC41" s="445"/>
      <c r="AD41" s="107"/>
    </row>
    <row r="42" spans="2:30" s="1" customFormat="1" ht="17.100000000000001" customHeight="1" thickTop="1" thickBot="1" x14ac:dyDescent="0.3">
      <c r="B42" s="13"/>
      <c r="C42" s="113" t="s">
        <v>67</v>
      </c>
      <c r="D42" s="443" t="s">
        <v>161</v>
      </c>
      <c r="E42" s="129"/>
      <c r="F42" s="114"/>
      <c r="G42" s="115"/>
      <c r="H42" s="116"/>
      <c r="I42" s="116"/>
      <c r="J42" s="117"/>
      <c r="K42" s="117"/>
      <c r="L42" s="117"/>
      <c r="M42" s="117"/>
      <c r="N42" s="117"/>
      <c r="O42" s="117"/>
      <c r="P42" s="118"/>
      <c r="Q42" s="118"/>
      <c r="R42" s="119">
        <f t="shared" ref="R42:AA42" si="15">SUM(R19:R41)</f>
        <v>4539.4351389894127</v>
      </c>
      <c r="S42" s="120">
        <f t="shared" si="15"/>
        <v>0</v>
      </c>
      <c r="T42" s="121">
        <f t="shared" si="15"/>
        <v>28769.277685940553</v>
      </c>
      <c r="U42" s="121">
        <f t="shared" si="15"/>
        <v>83544.20254914368</v>
      </c>
      <c r="V42" s="121">
        <f t="shared" si="15"/>
        <v>4239.4489270138638</v>
      </c>
      <c r="W42" s="122">
        <f t="shared" si="15"/>
        <v>0</v>
      </c>
      <c r="X42" s="122">
        <f t="shared" si="15"/>
        <v>0</v>
      </c>
      <c r="Y42" s="122">
        <f t="shared" si="15"/>
        <v>0</v>
      </c>
      <c r="Z42" s="123">
        <f t="shared" si="15"/>
        <v>0</v>
      </c>
      <c r="AA42" s="124">
        <f t="shared" si="15"/>
        <v>0</v>
      </c>
      <c r="AB42" s="125"/>
      <c r="AC42" s="411">
        <f>ROUND(SUM(AC19:AC41),2)</f>
        <v>121092.36</v>
      </c>
      <c r="AD42" s="126"/>
    </row>
    <row r="43" spans="2:30" s="127" customFormat="1" ht="9.75" thickTop="1" x14ac:dyDescent="0.15">
      <c r="B43" s="128"/>
      <c r="C43" s="129"/>
      <c r="D43" s="129"/>
      <c r="E43" s="129"/>
      <c r="F43" s="130"/>
      <c r="G43" s="131"/>
      <c r="H43" s="132"/>
      <c r="I43" s="132"/>
      <c r="J43" s="133"/>
      <c r="K43" s="133"/>
      <c r="L43" s="133"/>
      <c r="M43" s="133"/>
      <c r="N43" s="133"/>
      <c r="O43" s="133"/>
      <c r="P43" s="134"/>
      <c r="Q43" s="134"/>
      <c r="R43" s="135"/>
      <c r="S43" s="135"/>
      <c r="T43" s="136"/>
      <c r="U43" s="136"/>
      <c r="V43" s="137"/>
      <c r="W43" s="137"/>
      <c r="X43" s="137"/>
      <c r="Y43" s="137"/>
      <c r="Z43" s="137"/>
      <c r="AA43" s="137"/>
      <c r="AB43" s="137"/>
      <c r="AC43" s="138"/>
      <c r="AD43" s="139"/>
    </row>
    <row r="44" spans="2:30" s="1" customFormat="1" ht="17.100000000000001" customHeight="1" thickBot="1" x14ac:dyDescent="0.25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</row>
    <row r="45" spans="2:30" ht="13.5" thickTop="1" x14ac:dyDescent="0.2">
      <c r="B45" s="143"/>
      <c r="AD45" s="143"/>
    </row>
    <row r="90" spans="2:2" x14ac:dyDescent="0.2">
      <c r="B90" s="143"/>
    </row>
  </sheetData>
  <pageMargins left="0.39370078740157483" right="0.19685039370078741" top="0.78740157480314965" bottom="0.78740157480314965" header="0.51181102362204722" footer="0.51181102362204722"/>
  <pageSetup paperSize="9" scale="62" orientation="landscape" horizontalDpi="4294967292" verticalDpi="4294967292" r:id="rId1"/>
  <headerFooter alignWithMargins="0">
    <oddFooter>&amp;L&amp;"Times New Roman,Normal"&amp;8&amp;Z&amp;F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7281" r:id="rId4" name="Button 1">
              <controlPr defaultSize="0" print="0" autoFill="0" autoPict="0" macro="[0]!Referencias_Lineas">
                <anchor moveWithCells="1" sizeWithCells="1">
                  <from>
                    <xdr:col>0</xdr:col>
                    <xdr:colOff>57150</xdr:colOff>
                    <xdr:row>40</xdr:row>
                    <xdr:rowOff>190500</xdr:rowOff>
                  </from>
                  <to>
                    <xdr:col>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pageSetUpPr fitToPage="1"/>
  </sheetPr>
  <dimension ref="A1:AE90"/>
  <sheetViews>
    <sheetView topLeftCell="A7" zoomScale="80" zoomScaleNormal="80" workbookViewId="0">
      <selection activeCell="A39" sqref="A39"/>
    </sheetView>
  </sheetViews>
  <sheetFormatPr baseColWidth="10" defaultRowHeight="12.75" x14ac:dyDescent="0.2"/>
  <cols>
    <col min="1" max="1" width="17.5703125" style="5" customWidth="1"/>
    <col min="2" max="2" width="4.140625" style="5" customWidth="1"/>
    <col min="3" max="3" width="5.4257812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28515625" style="5" customWidth="1"/>
    <col min="10" max="10" width="5.7109375" style="5" hidden="1" customWidth="1"/>
    <col min="11" max="12" width="16.140625" style="5" customWidth="1"/>
    <col min="13" max="15" width="9.7109375" style="5" customWidth="1"/>
    <col min="16" max="16" width="8.7109375" style="5" customWidth="1"/>
    <col min="17" max="17" width="8.85546875" style="5" hidden="1" customWidth="1"/>
    <col min="18" max="19" width="12.140625" style="5" hidden="1" customWidth="1"/>
    <col min="20" max="25" width="6.8554687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578125" style="5" hidden="1" customWidth="1"/>
    <col min="32" max="34" width="11.42578125" style="5"/>
    <col min="35" max="37" width="11.28515625" style="5" customWidth="1"/>
    <col min="38" max="16384" width="11.42578125" style="5"/>
  </cols>
  <sheetData>
    <row r="1" spans="1:30" s="3" customFormat="1" ht="29.25" customHeight="1" x14ac:dyDescent="0.4">
      <c r="AD1" s="313"/>
    </row>
    <row r="2" spans="1:30" s="3" customFormat="1" ht="26.25" x14ac:dyDescent="0.4">
      <c r="B2" s="16" t="str">
        <f>'TOT-0216'!B2</f>
        <v>ANEXO III al Memorándum D.T.E.E. N°   243 / 2017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1" customFormat="1" x14ac:dyDescent="0.2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9" customFormat="1" ht="11.25" x14ac:dyDescent="0.2">
      <c r="A4" s="18" t="s">
        <v>3</v>
      </c>
      <c r="B4" s="18"/>
    </row>
    <row r="5" spans="1:30" s="9" customFormat="1" ht="11.25" x14ac:dyDescent="0.2">
      <c r="A5" s="18" t="s">
        <v>4</v>
      </c>
      <c r="B5" s="18"/>
    </row>
    <row r="6" spans="1:30" s="1" customFormat="1" ht="17.100000000000001" customHeight="1" thickBot="1" x14ac:dyDescent="0.25"/>
    <row r="7" spans="1:30" s="1" customFormat="1" ht="17.100000000000001" customHeight="1" thickTop="1" x14ac:dyDescent="0.2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1:30" s="22" customFormat="1" ht="20.25" x14ac:dyDescent="0.3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1:30" s="1" customFormat="1" ht="17.100000000000001" customHeight="1" x14ac:dyDescent="0.2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1:30" s="22" customFormat="1" ht="20.25" x14ac:dyDescent="0.3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1:30" s="1" customFormat="1" ht="17.100000000000001" customHeight="1" x14ac:dyDescent="0.2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1:30" s="10" customFormat="1" ht="19.5" x14ac:dyDescent="0.35">
      <c r="B12" s="11" t="str">
        <f>+'TOT-0216'!B14</f>
        <v>Desde el 01 al 29 de Febrero de 2016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1:30" s="1" customFormat="1" ht="17.100000000000001" customHeight="1" thickBot="1" x14ac:dyDescent="0.25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1:30" s="1" customFormat="1" ht="17.100000000000001" customHeight="1" thickTop="1" thickBot="1" x14ac:dyDescent="0.25">
      <c r="B14" s="13"/>
      <c r="C14" s="7"/>
      <c r="D14" s="7"/>
      <c r="E14" s="7"/>
      <c r="F14" s="35" t="s">
        <v>7</v>
      </c>
      <c r="G14" s="36">
        <v>392.94</v>
      </c>
      <c r="H14" s="37"/>
      <c r="I14" s="38"/>
      <c r="J14" s="34"/>
      <c r="K14" s="34"/>
      <c r="L14" s="39" t="s">
        <v>8</v>
      </c>
      <c r="M14" s="40">
        <f>150*'TOT-0216'!B13</f>
        <v>150</v>
      </c>
      <c r="N14" s="41" t="str">
        <f>IF(M14=150," ",IF(M14=300,"Coeficiente duplicado por tasa de falla &gt;4 Sal. x año/100 km.","REVISAR COEFICIENTE"))</f>
        <v xml:space="preserve"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1:30" s="1" customFormat="1" ht="17.100000000000001" customHeight="1" thickTop="1" thickBot="1" x14ac:dyDescent="0.25">
      <c r="B15" s="13"/>
      <c r="C15" s="7"/>
      <c r="D15" s="7"/>
      <c r="E15" s="7"/>
      <c r="F15" s="35" t="s">
        <v>9</v>
      </c>
      <c r="G15" s="36">
        <v>375.48</v>
      </c>
      <c r="H15" s="42"/>
      <c r="I15" s="43"/>
      <c r="J15" s="7"/>
      <c r="K15" s="44"/>
      <c r="L15" s="39" t="s">
        <v>10</v>
      </c>
      <c r="M15" s="40">
        <f>50*'TOT-0216'!B13</f>
        <v>50</v>
      </c>
      <c r="N15" s="41" t="str">
        <f>IF(M15=50," ",IF(M15=100,"Coeficiente duplicado por tasa de falla &gt;4 Sal. x año/100 km.","REVISAR COEFICIENTE"))</f>
        <v xml:space="preserve"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1:30" s="1" customFormat="1" ht="17.100000000000001" customHeight="1" thickTop="1" thickBot="1" x14ac:dyDescent="0.25">
      <c r="B16" s="13"/>
      <c r="C16" s="7"/>
      <c r="D16" s="7"/>
      <c r="E16" s="7"/>
      <c r="F16" s="35" t="s">
        <v>11</v>
      </c>
      <c r="G16" s="36">
        <v>375.48</v>
      </c>
      <c r="H16" s="42"/>
      <c r="I16" s="43"/>
      <c r="J16" s="7"/>
      <c r="K16" s="7"/>
      <c r="L16" s="39" t="s">
        <v>12</v>
      </c>
      <c r="M16" s="40">
        <f>10*'TOT-0216'!B13</f>
        <v>10</v>
      </c>
      <c r="N16" s="41" t="str">
        <f>IF(M16=10," ",IF(M16=20,"Coeficiente duplicado por tasa de falla &gt;4 Sal. x año/100 km.","REVISAR COEFICIENTE"))</f>
        <v xml:space="preserve"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7.100000000000001" customHeight="1" thickTop="1" thickBot="1" x14ac:dyDescent="0.25">
      <c r="B17" s="13"/>
      <c r="C17" s="430">
        <v>3</v>
      </c>
      <c r="D17" s="430">
        <v>4</v>
      </c>
      <c r="E17" s="430">
        <v>5</v>
      </c>
      <c r="F17" s="430">
        <v>6</v>
      </c>
      <c r="G17" s="430">
        <v>7</v>
      </c>
      <c r="H17" s="430">
        <v>8</v>
      </c>
      <c r="I17" s="430">
        <v>9</v>
      </c>
      <c r="J17" s="430">
        <v>10</v>
      </c>
      <c r="K17" s="430">
        <v>11</v>
      </c>
      <c r="L17" s="430">
        <v>12</v>
      </c>
      <c r="M17" s="430">
        <v>13</v>
      </c>
      <c r="N17" s="430">
        <v>14</v>
      </c>
      <c r="O17" s="430">
        <v>15</v>
      </c>
      <c r="P17" s="430">
        <v>16</v>
      </c>
      <c r="Q17" s="430">
        <v>17</v>
      </c>
      <c r="R17" s="430">
        <v>18</v>
      </c>
      <c r="S17" s="430">
        <v>19</v>
      </c>
      <c r="T17" s="430">
        <v>20</v>
      </c>
      <c r="U17" s="430">
        <v>21</v>
      </c>
      <c r="V17" s="430">
        <v>22</v>
      </c>
      <c r="W17" s="430">
        <v>23</v>
      </c>
      <c r="X17" s="430">
        <v>24</v>
      </c>
      <c r="Y17" s="430">
        <v>25</v>
      </c>
      <c r="Z17" s="430">
        <v>26</v>
      </c>
      <c r="AA17" s="430">
        <v>27</v>
      </c>
      <c r="AB17" s="430">
        <v>28</v>
      </c>
      <c r="AC17" s="430">
        <v>29</v>
      </c>
      <c r="AD17" s="14"/>
    </row>
    <row r="18" spans="2:30" s="45" customFormat="1" ht="35.1" customHeight="1" thickTop="1" thickBot="1" x14ac:dyDescent="0.25">
      <c r="B18" s="46"/>
      <c r="C18" s="415" t="s">
        <v>13</v>
      </c>
      <c r="D18" s="415" t="s">
        <v>78</v>
      </c>
      <c r="E18" s="415" t="s">
        <v>79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66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7.100000000000001" customHeight="1" thickTop="1" x14ac:dyDescent="0.25">
      <c r="B19" s="13"/>
      <c r="C19" s="63"/>
      <c r="D19" s="63"/>
      <c r="E19" s="63"/>
      <c r="F19" s="64"/>
      <c r="G19" s="63"/>
      <c r="H19" s="63"/>
      <c r="I19" s="63"/>
      <c r="J19" s="65"/>
      <c r="K19" s="405"/>
      <c r="L19" s="406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'LI-02 (1)'!AC42</f>
        <v>121092.36</v>
      </c>
      <c r="AD19" s="14"/>
    </row>
    <row r="20" spans="2:30" s="1" customFormat="1" ht="17.100000000000001" customHeight="1" x14ac:dyDescent="0.25">
      <c r="B20" s="13"/>
      <c r="C20" s="76"/>
      <c r="D20" s="76"/>
      <c r="E20" s="76"/>
      <c r="F20" s="77"/>
      <c r="G20" s="77"/>
      <c r="H20" s="76"/>
      <c r="I20" s="76"/>
      <c r="J20" s="78"/>
      <c r="K20" s="438"/>
      <c r="L20" s="439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7.100000000000001" customHeight="1" x14ac:dyDescent="0.25">
      <c r="B21" s="13"/>
      <c r="C21" s="79">
        <v>20</v>
      </c>
      <c r="D21" s="79">
        <v>299414</v>
      </c>
      <c r="E21" s="79">
        <v>1401</v>
      </c>
      <c r="F21" s="77" t="s">
        <v>173</v>
      </c>
      <c r="G21" s="77">
        <v>132</v>
      </c>
      <c r="H21" s="90">
        <v>126.90000152587891</v>
      </c>
      <c r="I21" s="91" t="s">
        <v>141</v>
      </c>
      <c r="J21" s="92">
        <f t="shared" ref="J21:J40" si="0">IF(G21=220,$G$14,IF(G21=132,$G$15,$G$16))*IF(H21&gt;25,H21,25)/100</f>
        <v>476.48412572937013</v>
      </c>
      <c r="K21" s="438">
        <v>42418.383333333331</v>
      </c>
      <c r="L21" s="438">
        <v>42418.503472222219</v>
      </c>
      <c r="M21" s="94">
        <f t="shared" ref="M21:M40" si="1">IF(F21="","",(L21-K21)*24)</f>
        <v>2.8833333333022892</v>
      </c>
      <c r="N21" s="95">
        <f t="shared" ref="N21:N40" si="2">IF(F21="","",ROUND((L21-K21)*24*60,0))</f>
        <v>173</v>
      </c>
      <c r="O21" s="96" t="s">
        <v>142</v>
      </c>
      <c r="P21" s="434" t="s">
        <v>140</v>
      </c>
      <c r="Q21" s="97">
        <f t="shared" ref="Q21:Q40" si="3">IF(I21="A",$M$14,IF(I21="B",$M$15,$M$16))</f>
        <v>10</v>
      </c>
      <c r="R21" s="98">
        <f t="shared" ref="R21:R40" si="4">IF(O21="P",ROUND(N21/60,2)*J21*Q21*0.01,"--")</f>
        <v>137.2274282100586</v>
      </c>
      <c r="S21" s="99" t="str">
        <f t="shared" ref="S21:S40" si="5">IF(O21="RP",ROUND(N21/60,2)*J21*Q21*0.01*P21/100,"--")</f>
        <v>--</v>
      </c>
      <c r="T21" s="100" t="str">
        <f t="shared" ref="T21:T40" si="6">IF(O21="F",J21*Q21,"--")</f>
        <v>--</v>
      </c>
      <c r="U21" s="100" t="str">
        <f t="shared" ref="U21:U40" si="7">IF(AND(N21&gt;10,O21="F"),J21*Q21*IF(N21&gt;180,3,ROUND((N21)/60,2)),"--")</f>
        <v>--</v>
      </c>
      <c r="V21" s="101" t="str">
        <f t="shared" ref="V21:V40" si="8">IF(AND(O21="F",N21&gt;180),(ROUND(N21/60,2)-3)*J21*Q21*0.1,"--")</f>
        <v>--</v>
      </c>
      <c r="W21" s="102" t="str">
        <f t="shared" ref="W21:W40" si="9">IF(O21="R",J21*Q21*P21/100,"--")</f>
        <v>--</v>
      </c>
      <c r="X21" s="102" t="str">
        <f t="shared" ref="X21:X40" si="10">IF(AND(N21&gt;10,O21="R"),Q21*J21*P21/100*IF(N21&gt;180,3,ROUND((N21)/60,2)),"--")</f>
        <v>--</v>
      </c>
      <c r="Y21" s="103" t="str">
        <f t="shared" ref="Y21:Y40" si="11">IF(AND(O21="R",N21&gt;180),(ROUND(N21/60,2)-3)*J21*Q21*0.1*P21/100,"--")</f>
        <v>--</v>
      </c>
      <c r="Z21" s="104" t="str">
        <f t="shared" ref="Z21:Z40" si="12">IF(O21="RF",ROUND(N21/60,2)*J21*Q21*0.1,"--")</f>
        <v>--</v>
      </c>
      <c r="AA21" s="105" t="str">
        <f t="shared" ref="AA21:AA40" si="13">IF(O21="RR",ROUND(N21/60,2)*J21*Q21*0.1*P21/100,"--")</f>
        <v>--</v>
      </c>
      <c r="AB21" s="435" t="s">
        <v>139</v>
      </c>
      <c r="AC21" s="106">
        <f t="shared" ref="AC21:AC40" si="14">IF(F21="","",SUM(R21:AA21)*IF(AB21="SI",1,2))</f>
        <v>137.2274282100586</v>
      </c>
      <c r="AD21" s="107"/>
    </row>
    <row r="22" spans="2:30" s="1" customFormat="1" ht="17.100000000000001" customHeight="1" x14ac:dyDescent="0.25">
      <c r="B22" s="13"/>
      <c r="C22" s="79">
        <v>21</v>
      </c>
      <c r="D22" s="79">
        <v>299416</v>
      </c>
      <c r="E22" s="79">
        <v>1434</v>
      </c>
      <c r="F22" s="77" t="s">
        <v>143</v>
      </c>
      <c r="G22" s="77">
        <v>66</v>
      </c>
      <c r="H22" s="90">
        <v>60.939998626708984</v>
      </c>
      <c r="I22" s="91" t="s">
        <v>141</v>
      </c>
      <c r="J22" s="92">
        <f t="shared" si="0"/>
        <v>228.81750684356692</v>
      </c>
      <c r="K22" s="438">
        <v>42418.634027777778</v>
      </c>
      <c r="L22" s="438">
        <v>42418.806250000001</v>
      </c>
      <c r="M22" s="94">
        <f t="shared" si="1"/>
        <v>4.1333333333604969</v>
      </c>
      <c r="N22" s="95">
        <f t="shared" si="2"/>
        <v>248</v>
      </c>
      <c r="O22" s="96" t="s">
        <v>138</v>
      </c>
      <c r="P22" s="434" t="s">
        <v>140</v>
      </c>
      <c r="Q22" s="97">
        <f t="shared" si="3"/>
        <v>10</v>
      </c>
      <c r="R22" s="98" t="str">
        <f t="shared" si="4"/>
        <v>--</v>
      </c>
      <c r="S22" s="99" t="str">
        <f t="shared" si="5"/>
        <v>--</v>
      </c>
      <c r="T22" s="100">
        <f t="shared" si="6"/>
        <v>2288.1750684356693</v>
      </c>
      <c r="U22" s="100">
        <f t="shared" si="7"/>
        <v>6864.525205307008</v>
      </c>
      <c r="V22" s="101">
        <f t="shared" si="8"/>
        <v>258.56378273323065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35" t="s">
        <v>139</v>
      </c>
      <c r="AC22" s="106">
        <f t="shared" si="14"/>
        <v>9411.2640564759076</v>
      </c>
      <c r="AD22" s="107"/>
    </row>
    <row r="23" spans="2:30" s="1" customFormat="1" ht="17.100000000000001" customHeight="1" x14ac:dyDescent="0.25">
      <c r="B23" s="13"/>
      <c r="C23" s="79">
        <v>22</v>
      </c>
      <c r="D23" s="79">
        <v>299417</v>
      </c>
      <c r="E23" s="79">
        <v>1537</v>
      </c>
      <c r="F23" s="77" t="s">
        <v>166</v>
      </c>
      <c r="G23" s="77">
        <v>132</v>
      </c>
      <c r="H23" s="90">
        <v>47.599998474121094</v>
      </c>
      <c r="I23" s="91" t="s">
        <v>141</v>
      </c>
      <c r="J23" s="92">
        <f t="shared" si="0"/>
        <v>178.72847427062987</v>
      </c>
      <c r="K23" s="438">
        <v>42418.748611111114</v>
      </c>
      <c r="L23" s="438">
        <v>42419.128472222219</v>
      </c>
      <c r="M23" s="94">
        <f t="shared" si="1"/>
        <v>9.1166666665230878</v>
      </c>
      <c r="N23" s="95">
        <f t="shared" si="2"/>
        <v>547</v>
      </c>
      <c r="O23" s="96" t="s">
        <v>138</v>
      </c>
      <c r="P23" s="434" t="s">
        <v>140</v>
      </c>
      <c r="Q23" s="97">
        <f t="shared" si="3"/>
        <v>10</v>
      </c>
      <c r="R23" s="98" t="str">
        <f t="shared" si="4"/>
        <v>--</v>
      </c>
      <c r="S23" s="99" t="str">
        <f t="shared" si="5"/>
        <v>--</v>
      </c>
      <c r="T23" s="100">
        <f t="shared" si="6"/>
        <v>1787.2847427062989</v>
      </c>
      <c r="U23" s="100">
        <f t="shared" si="7"/>
        <v>5361.8542281188966</v>
      </c>
      <c r="V23" s="101">
        <f t="shared" si="8"/>
        <v>1093.8182625362549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35" t="s">
        <v>139</v>
      </c>
      <c r="AC23" s="106">
        <f t="shared" si="14"/>
        <v>8242.9572333614506</v>
      </c>
      <c r="AD23" s="107"/>
    </row>
    <row r="24" spans="2:30" s="1" customFormat="1" ht="17.100000000000001" customHeight="1" x14ac:dyDescent="0.25">
      <c r="B24" s="13"/>
      <c r="C24" s="79">
        <v>23</v>
      </c>
      <c r="D24" s="79">
        <v>299419</v>
      </c>
      <c r="E24" s="79">
        <v>3797</v>
      </c>
      <c r="F24" s="77" t="s">
        <v>144</v>
      </c>
      <c r="G24" s="77">
        <v>66</v>
      </c>
      <c r="H24" s="90">
        <v>49.799999237060547</v>
      </c>
      <c r="I24" s="91" t="s">
        <v>141</v>
      </c>
      <c r="J24" s="92">
        <f t="shared" si="0"/>
        <v>186.98903713531493</v>
      </c>
      <c r="K24" s="438">
        <v>42419.12222222222</v>
      </c>
      <c r="L24" s="438">
        <v>42419.717361111114</v>
      </c>
      <c r="M24" s="94">
        <f t="shared" si="1"/>
        <v>14.283333333441988</v>
      </c>
      <c r="N24" s="95">
        <f t="shared" si="2"/>
        <v>857</v>
      </c>
      <c r="O24" s="96" t="s">
        <v>138</v>
      </c>
      <c r="P24" s="434" t="s">
        <v>140</v>
      </c>
      <c r="Q24" s="97">
        <f t="shared" si="3"/>
        <v>10</v>
      </c>
      <c r="R24" s="98" t="str">
        <f t="shared" si="4"/>
        <v>--</v>
      </c>
      <c r="S24" s="99" t="str">
        <f t="shared" si="5"/>
        <v>--</v>
      </c>
      <c r="T24" s="100">
        <f t="shared" si="6"/>
        <v>1869.8903713531492</v>
      </c>
      <c r="U24" s="100">
        <f t="shared" si="7"/>
        <v>5609.671114059448</v>
      </c>
      <c r="V24" s="101">
        <f t="shared" si="8"/>
        <v>2109.2363388863523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35" t="s">
        <v>139</v>
      </c>
      <c r="AC24" s="106">
        <f t="shared" si="14"/>
        <v>9588.7978242989484</v>
      </c>
      <c r="AD24" s="107"/>
    </row>
    <row r="25" spans="2:30" s="1" customFormat="1" ht="17.100000000000001" customHeight="1" x14ac:dyDescent="0.25">
      <c r="B25" s="13"/>
      <c r="C25" s="79">
        <v>24</v>
      </c>
      <c r="D25" s="79">
        <v>299420</v>
      </c>
      <c r="E25" s="79">
        <v>1546</v>
      </c>
      <c r="F25" s="77" t="s">
        <v>176</v>
      </c>
      <c r="G25" s="77">
        <v>132</v>
      </c>
      <c r="H25" s="90">
        <v>3.2000000476837158</v>
      </c>
      <c r="I25" s="91" t="s">
        <v>141</v>
      </c>
      <c r="J25" s="92">
        <f t="shared" si="0"/>
        <v>93.87</v>
      </c>
      <c r="K25" s="438">
        <v>42419.348611111112</v>
      </c>
      <c r="L25" s="438">
        <v>42419.668749999997</v>
      </c>
      <c r="M25" s="94">
        <f t="shared" si="1"/>
        <v>7.6833333332324401</v>
      </c>
      <c r="N25" s="95">
        <f t="shared" si="2"/>
        <v>461</v>
      </c>
      <c r="O25" s="96" t="s">
        <v>142</v>
      </c>
      <c r="P25" s="434" t="s">
        <v>140</v>
      </c>
      <c r="Q25" s="97">
        <f t="shared" si="3"/>
        <v>10</v>
      </c>
      <c r="R25" s="98">
        <f t="shared" si="4"/>
        <v>72.092160000000007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35" t="s">
        <v>139</v>
      </c>
      <c r="AC25" s="106">
        <f t="shared" si="14"/>
        <v>72.092160000000007</v>
      </c>
      <c r="AD25" s="107"/>
    </row>
    <row r="26" spans="2:30" s="1" customFormat="1" ht="17.100000000000001" customHeight="1" x14ac:dyDescent="0.25">
      <c r="B26" s="13"/>
      <c r="C26" s="79">
        <v>25</v>
      </c>
      <c r="D26" s="79">
        <v>299427</v>
      </c>
      <c r="E26" s="79">
        <v>1442</v>
      </c>
      <c r="F26" s="77" t="s">
        <v>178</v>
      </c>
      <c r="G26" s="77">
        <v>132</v>
      </c>
      <c r="H26" s="90">
        <v>46.400001525878906</v>
      </c>
      <c r="I26" s="91" t="s">
        <v>141</v>
      </c>
      <c r="J26" s="92">
        <f t="shared" si="0"/>
        <v>174.22272572937015</v>
      </c>
      <c r="K26" s="438">
        <v>42420.326388888891</v>
      </c>
      <c r="L26" s="438">
        <v>42420.399305555555</v>
      </c>
      <c r="M26" s="94">
        <f t="shared" si="1"/>
        <v>1.7499999999417923</v>
      </c>
      <c r="N26" s="95">
        <f t="shared" si="2"/>
        <v>105</v>
      </c>
      <c r="O26" s="93" t="s">
        <v>142</v>
      </c>
      <c r="P26" s="434" t="s">
        <v>140</v>
      </c>
      <c r="Q26" s="97">
        <f t="shared" si="3"/>
        <v>10</v>
      </c>
      <c r="R26" s="98">
        <f t="shared" si="4"/>
        <v>30.488977002639778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35" t="s">
        <v>139</v>
      </c>
      <c r="AC26" s="106">
        <f t="shared" si="14"/>
        <v>30.488977002639778</v>
      </c>
      <c r="AD26" s="107"/>
    </row>
    <row r="27" spans="2:30" s="1" customFormat="1" ht="17.100000000000001" customHeight="1" x14ac:dyDescent="0.25">
      <c r="B27" s="13"/>
      <c r="C27" s="79">
        <v>26</v>
      </c>
      <c r="D27" s="79">
        <v>299429</v>
      </c>
      <c r="E27" s="79">
        <v>3556</v>
      </c>
      <c r="F27" s="77" t="s">
        <v>167</v>
      </c>
      <c r="G27" s="77">
        <v>132</v>
      </c>
      <c r="H27" s="90">
        <v>5</v>
      </c>
      <c r="I27" s="91" t="s">
        <v>141</v>
      </c>
      <c r="J27" s="92">
        <f t="shared" si="0"/>
        <v>93.87</v>
      </c>
      <c r="K27" s="438">
        <v>42421.338194444441</v>
      </c>
      <c r="L27" s="438">
        <v>42421.720833333333</v>
      </c>
      <c r="M27" s="94">
        <f t="shared" si="1"/>
        <v>9.183333333407063</v>
      </c>
      <c r="N27" s="95">
        <f t="shared" si="2"/>
        <v>551</v>
      </c>
      <c r="O27" s="93" t="s">
        <v>142</v>
      </c>
      <c r="P27" s="434" t="s">
        <v>140</v>
      </c>
      <c r="Q27" s="97">
        <f t="shared" si="3"/>
        <v>10</v>
      </c>
      <c r="R27" s="98">
        <f t="shared" si="4"/>
        <v>86.172659999999993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35" t="s">
        <v>139</v>
      </c>
      <c r="AC27" s="106">
        <f t="shared" si="14"/>
        <v>86.172659999999993</v>
      </c>
      <c r="AD27" s="107"/>
    </row>
    <row r="28" spans="2:30" s="1" customFormat="1" ht="17.100000000000001" customHeight="1" x14ac:dyDescent="0.25">
      <c r="B28" s="13"/>
      <c r="C28" s="79">
        <v>27</v>
      </c>
      <c r="D28" s="79">
        <v>299706</v>
      </c>
      <c r="E28" s="79">
        <v>1456</v>
      </c>
      <c r="F28" s="77" t="s">
        <v>168</v>
      </c>
      <c r="G28" s="77">
        <v>132</v>
      </c>
      <c r="H28" s="90">
        <v>71.5</v>
      </c>
      <c r="I28" s="91" t="s">
        <v>141</v>
      </c>
      <c r="J28" s="92">
        <f t="shared" si="0"/>
        <v>268.46820000000002</v>
      </c>
      <c r="K28" s="438">
        <v>42423.32916666667</v>
      </c>
      <c r="L28" s="438">
        <v>42423.67291666667</v>
      </c>
      <c r="M28" s="94">
        <f t="shared" si="1"/>
        <v>8.25</v>
      </c>
      <c r="N28" s="95">
        <f t="shared" si="2"/>
        <v>495</v>
      </c>
      <c r="O28" s="93" t="s">
        <v>142</v>
      </c>
      <c r="P28" s="434" t="s">
        <v>140</v>
      </c>
      <c r="Q28" s="97">
        <f t="shared" si="3"/>
        <v>10</v>
      </c>
      <c r="R28" s="98">
        <f t="shared" si="4"/>
        <v>221.486265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35" t="s">
        <v>139</v>
      </c>
      <c r="AC28" s="106">
        <f t="shared" si="14"/>
        <v>221.486265</v>
      </c>
      <c r="AD28" s="107"/>
    </row>
    <row r="29" spans="2:30" s="1" customFormat="1" ht="17.100000000000001" customHeight="1" x14ac:dyDescent="0.25">
      <c r="B29" s="13"/>
      <c r="C29" s="79">
        <v>28</v>
      </c>
      <c r="D29" s="79">
        <v>299707</v>
      </c>
      <c r="E29" s="79">
        <v>4889</v>
      </c>
      <c r="F29" s="77" t="s">
        <v>182</v>
      </c>
      <c r="G29" s="77">
        <v>132</v>
      </c>
      <c r="H29" s="90">
        <v>21</v>
      </c>
      <c r="I29" s="91" t="s">
        <v>141</v>
      </c>
      <c r="J29" s="92">
        <f t="shared" si="0"/>
        <v>93.87</v>
      </c>
      <c r="K29" s="438">
        <v>42423.352777777778</v>
      </c>
      <c r="L29" s="438">
        <v>42423.500694444447</v>
      </c>
      <c r="M29" s="94">
        <f t="shared" si="1"/>
        <v>3.5500000000465661</v>
      </c>
      <c r="N29" s="95">
        <f t="shared" si="2"/>
        <v>213</v>
      </c>
      <c r="O29" s="93" t="s">
        <v>142</v>
      </c>
      <c r="P29" s="434" t="s">
        <v>140</v>
      </c>
      <c r="Q29" s="97">
        <f t="shared" si="3"/>
        <v>10</v>
      </c>
      <c r="R29" s="98">
        <f t="shared" si="4"/>
        <v>33.32385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35" t="s">
        <v>139</v>
      </c>
      <c r="AC29" s="106">
        <f t="shared" si="14"/>
        <v>33.32385</v>
      </c>
      <c r="AD29" s="107"/>
    </row>
    <row r="30" spans="2:30" s="1" customFormat="1" ht="17.100000000000001" customHeight="1" x14ac:dyDescent="0.25">
      <c r="B30" s="13"/>
      <c r="C30" s="79">
        <v>29</v>
      </c>
      <c r="D30" s="79">
        <v>299712</v>
      </c>
      <c r="E30" s="79">
        <v>1456</v>
      </c>
      <c r="F30" s="77" t="s">
        <v>168</v>
      </c>
      <c r="G30" s="77">
        <v>132</v>
      </c>
      <c r="H30" s="90">
        <v>71.5</v>
      </c>
      <c r="I30" s="91" t="s">
        <v>141</v>
      </c>
      <c r="J30" s="92">
        <f t="shared" si="0"/>
        <v>268.46820000000002</v>
      </c>
      <c r="K30" s="438">
        <v>42424.320138888892</v>
      </c>
      <c r="L30" s="438">
        <v>42424.686805555553</v>
      </c>
      <c r="M30" s="94">
        <f t="shared" si="1"/>
        <v>8.7999999998719431</v>
      </c>
      <c r="N30" s="95">
        <f t="shared" si="2"/>
        <v>528</v>
      </c>
      <c r="O30" s="93" t="s">
        <v>142</v>
      </c>
      <c r="P30" s="434" t="s">
        <v>140</v>
      </c>
      <c r="Q30" s="97">
        <f t="shared" si="3"/>
        <v>10</v>
      </c>
      <c r="R30" s="98">
        <f t="shared" si="4"/>
        <v>236.25201600000005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35" t="s">
        <v>139</v>
      </c>
      <c r="AC30" s="106">
        <f t="shared" si="14"/>
        <v>236.25201600000005</v>
      </c>
      <c r="AD30" s="107"/>
    </row>
    <row r="31" spans="2:30" s="1" customFormat="1" ht="17.100000000000001" customHeight="1" x14ac:dyDescent="0.25">
      <c r="B31" s="13"/>
      <c r="C31" s="79">
        <v>30</v>
      </c>
      <c r="D31" s="79">
        <v>299719</v>
      </c>
      <c r="E31" s="79">
        <v>1456</v>
      </c>
      <c r="F31" s="77" t="s">
        <v>168</v>
      </c>
      <c r="G31" s="77">
        <v>132</v>
      </c>
      <c r="H31" s="90">
        <v>71.5</v>
      </c>
      <c r="I31" s="91" t="s">
        <v>141</v>
      </c>
      <c r="J31" s="92">
        <f t="shared" si="0"/>
        <v>268.46820000000002</v>
      </c>
      <c r="K31" s="438">
        <v>42425.329861111109</v>
      </c>
      <c r="L31" s="438">
        <v>42425.683333333334</v>
      </c>
      <c r="M31" s="94">
        <f t="shared" si="1"/>
        <v>8.4833333333954215</v>
      </c>
      <c r="N31" s="95">
        <f t="shared" si="2"/>
        <v>509</v>
      </c>
      <c r="O31" s="93" t="s">
        <v>142</v>
      </c>
      <c r="P31" s="434" t="s">
        <v>140</v>
      </c>
      <c r="Q31" s="97">
        <f t="shared" si="3"/>
        <v>10</v>
      </c>
      <c r="R31" s="98">
        <f t="shared" si="4"/>
        <v>227.66103360000002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35" t="s">
        <v>139</v>
      </c>
      <c r="AC31" s="106">
        <f t="shared" si="14"/>
        <v>227.66103360000002</v>
      </c>
      <c r="AD31" s="107"/>
    </row>
    <row r="32" spans="2:30" s="1" customFormat="1" ht="17.100000000000001" customHeight="1" x14ac:dyDescent="0.25">
      <c r="B32" s="13"/>
      <c r="C32" s="79">
        <v>31</v>
      </c>
      <c r="D32" s="79">
        <v>299721</v>
      </c>
      <c r="E32" s="79">
        <v>1444</v>
      </c>
      <c r="F32" s="77" t="s">
        <v>174</v>
      </c>
      <c r="G32" s="77">
        <v>132</v>
      </c>
      <c r="H32" s="90">
        <v>64.400001525878906</v>
      </c>
      <c r="I32" s="91" t="s">
        <v>141</v>
      </c>
      <c r="J32" s="92">
        <f t="shared" si="0"/>
        <v>241.80912572937012</v>
      </c>
      <c r="K32" s="438">
        <v>42426.31527777778</v>
      </c>
      <c r="L32" s="438">
        <v>42426.366666666669</v>
      </c>
      <c r="M32" s="94">
        <f t="shared" si="1"/>
        <v>1.2333333333372138</v>
      </c>
      <c r="N32" s="95">
        <f t="shared" si="2"/>
        <v>74</v>
      </c>
      <c r="O32" s="93" t="s">
        <v>142</v>
      </c>
      <c r="P32" s="434" t="s">
        <v>140</v>
      </c>
      <c r="Q32" s="97">
        <f t="shared" si="3"/>
        <v>10</v>
      </c>
      <c r="R32" s="98">
        <f t="shared" si="4"/>
        <v>29.742522464712522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35" t="s">
        <v>139</v>
      </c>
      <c r="AC32" s="106">
        <f t="shared" si="14"/>
        <v>29.742522464712522</v>
      </c>
      <c r="AD32" s="107"/>
    </row>
    <row r="33" spans="2:30" s="1" customFormat="1" ht="17.100000000000001" customHeight="1" x14ac:dyDescent="0.25">
      <c r="B33" s="13"/>
      <c r="C33" s="79">
        <v>32</v>
      </c>
      <c r="D33" s="79">
        <v>299722</v>
      </c>
      <c r="E33" s="79">
        <v>1456</v>
      </c>
      <c r="F33" s="77" t="s">
        <v>168</v>
      </c>
      <c r="G33" s="77">
        <v>132</v>
      </c>
      <c r="H33" s="90">
        <v>71.5</v>
      </c>
      <c r="I33" s="91" t="s">
        <v>141</v>
      </c>
      <c r="J33" s="92">
        <f t="shared" si="0"/>
        <v>268.46820000000002</v>
      </c>
      <c r="K33" s="438">
        <v>42426.32708333333</v>
      </c>
      <c r="L33" s="438">
        <v>42426.686805555553</v>
      </c>
      <c r="M33" s="94">
        <f t="shared" si="1"/>
        <v>8.6333333333604969</v>
      </c>
      <c r="N33" s="95">
        <f t="shared" si="2"/>
        <v>518</v>
      </c>
      <c r="O33" s="93" t="s">
        <v>142</v>
      </c>
      <c r="P33" s="434" t="s">
        <v>140</v>
      </c>
      <c r="Q33" s="97">
        <f t="shared" si="3"/>
        <v>10</v>
      </c>
      <c r="R33" s="98">
        <f t="shared" si="4"/>
        <v>231.68805660000001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35" t="s">
        <v>139</v>
      </c>
      <c r="AC33" s="106">
        <f t="shared" si="14"/>
        <v>231.68805660000001</v>
      </c>
      <c r="AD33" s="107"/>
    </row>
    <row r="34" spans="2:30" s="1" customFormat="1" ht="17.100000000000001" customHeight="1" x14ac:dyDescent="0.25">
      <c r="B34" s="108"/>
      <c r="C34" s="79">
        <v>33</v>
      </c>
      <c r="D34" s="79">
        <v>299726</v>
      </c>
      <c r="E34" s="79">
        <v>5684</v>
      </c>
      <c r="F34" s="77" t="s">
        <v>169</v>
      </c>
      <c r="G34" s="77">
        <v>132</v>
      </c>
      <c r="H34" s="90">
        <v>2.9</v>
      </c>
      <c r="I34" s="91" t="s">
        <v>141</v>
      </c>
      <c r="J34" s="92">
        <f t="shared" si="0"/>
        <v>93.87</v>
      </c>
      <c r="K34" s="438">
        <v>42428.326388888891</v>
      </c>
      <c r="L34" s="438">
        <v>42428.654861111114</v>
      </c>
      <c r="M34" s="94">
        <f t="shared" si="1"/>
        <v>7.8833333333604969</v>
      </c>
      <c r="N34" s="95">
        <f t="shared" si="2"/>
        <v>473</v>
      </c>
      <c r="O34" s="93" t="s">
        <v>142</v>
      </c>
      <c r="P34" s="434" t="s">
        <v>140</v>
      </c>
      <c r="Q34" s="97">
        <f t="shared" si="3"/>
        <v>10</v>
      </c>
      <c r="R34" s="98">
        <f t="shared" si="4"/>
        <v>73.969560000000001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35" t="s">
        <v>139</v>
      </c>
      <c r="AC34" s="106">
        <f t="shared" si="14"/>
        <v>73.969560000000001</v>
      </c>
      <c r="AD34" s="107"/>
    </row>
    <row r="35" spans="2:30" s="1" customFormat="1" ht="17.100000000000001" customHeight="1" x14ac:dyDescent="0.25">
      <c r="B35" s="108"/>
      <c r="C35" s="79">
        <v>34</v>
      </c>
      <c r="D35" s="79">
        <v>299728</v>
      </c>
      <c r="E35" s="79">
        <v>1999</v>
      </c>
      <c r="F35" s="77" t="s">
        <v>170</v>
      </c>
      <c r="G35" s="77">
        <v>132</v>
      </c>
      <c r="H35" s="90">
        <v>14.699999809265137</v>
      </c>
      <c r="I35" s="91" t="s">
        <v>141</v>
      </c>
      <c r="J35" s="92">
        <f t="shared" si="0"/>
        <v>93.87</v>
      </c>
      <c r="K35" s="438">
        <v>42429.305555555555</v>
      </c>
      <c r="L35" s="438">
        <v>42429.713888888888</v>
      </c>
      <c r="M35" s="94">
        <f t="shared" si="1"/>
        <v>9.7999999999883585</v>
      </c>
      <c r="N35" s="95">
        <f t="shared" si="2"/>
        <v>588</v>
      </c>
      <c r="O35" s="93" t="s">
        <v>138</v>
      </c>
      <c r="P35" s="434" t="s">
        <v>140</v>
      </c>
      <c r="Q35" s="97">
        <f t="shared" si="3"/>
        <v>10</v>
      </c>
      <c r="R35" s="98" t="str">
        <f t="shared" si="4"/>
        <v>--</v>
      </c>
      <c r="S35" s="99" t="str">
        <f t="shared" si="5"/>
        <v>--</v>
      </c>
      <c r="T35" s="100">
        <f t="shared" si="6"/>
        <v>938.7</v>
      </c>
      <c r="U35" s="100">
        <f t="shared" si="7"/>
        <v>2816.1000000000004</v>
      </c>
      <c r="V35" s="101">
        <f t="shared" si="8"/>
        <v>638.31600000000026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35" t="s">
        <v>139</v>
      </c>
      <c r="AC35" s="106">
        <f t="shared" si="14"/>
        <v>4393.116</v>
      </c>
      <c r="AD35" s="107"/>
    </row>
    <row r="36" spans="2:30" s="1" customFormat="1" ht="17.100000000000001" customHeight="1" x14ac:dyDescent="0.25">
      <c r="B36" s="108"/>
      <c r="C36" s="79"/>
      <c r="D36" s="79"/>
      <c r="E36" s="79"/>
      <c r="F36" s="77"/>
      <c r="G36" s="77"/>
      <c r="H36" s="90"/>
      <c r="I36" s="91"/>
      <c r="J36" s="92">
        <f t="shared" si="0"/>
        <v>93.87</v>
      </c>
      <c r="K36" s="438"/>
      <c r="L36" s="438"/>
      <c r="M36" s="94" t="str">
        <f t="shared" si="1"/>
        <v/>
      </c>
      <c r="N36" s="95" t="str">
        <f t="shared" si="2"/>
        <v/>
      </c>
      <c r="O36" s="93"/>
      <c r="P36" s="434" t="str">
        <f t="shared" ref="P36:P39" si="15">IF(F36="","","--")</f>
        <v/>
      </c>
      <c r="Q36" s="97">
        <f t="shared" ref="Q36:Q39" si="16">IF(I36="A",$M$14,IF(I36="B",$M$15,$M$16))</f>
        <v>10</v>
      </c>
      <c r="R36" s="98" t="str">
        <f t="shared" ref="R36:R39" si="17">IF(O36="P",ROUND(N36/60,2)*J36*Q36*0.01,"--")</f>
        <v>--</v>
      </c>
      <c r="S36" s="99" t="str">
        <f t="shared" ref="S36:S39" si="18">IF(O36="RP",ROUND(N36/60,2)*J36*Q36*0.01*P36/100,"--")</f>
        <v>--</v>
      </c>
      <c r="T36" s="100" t="str">
        <f t="shared" ref="T36:T39" si="19">IF(O36="F",J36*Q36,"--")</f>
        <v>--</v>
      </c>
      <c r="U36" s="100" t="str">
        <f t="shared" ref="U36:U39" si="20">IF(AND(N36&gt;10,O36="F"),J36*Q36*IF(N36&gt;180,3,ROUND((N36)/60,2)),"--")</f>
        <v>--</v>
      </c>
      <c r="V36" s="101" t="str">
        <f t="shared" ref="V36:V39" si="21">IF(AND(O36="F",N36&gt;180),(ROUND(N36/60,2)-3)*J36*Q36*0.1,"--")</f>
        <v>--</v>
      </c>
      <c r="W36" s="102" t="str">
        <f t="shared" ref="W36:W39" si="22">IF(O36="R",J36*Q36*P36/100,"--")</f>
        <v>--</v>
      </c>
      <c r="X36" s="102" t="str">
        <f t="shared" ref="X36:X39" si="23">IF(AND(N36&gt;10,O36="R"),Q36*J36*P36/100*IF(N36&gt;180,3,ROUND((N36)/60,2)),"--")</f>
        <v>--</v>
      </c>
      <c r="Y36" s="103" t="str">
        <f t="shared" ref="Y36:Y39" si="24">IF(AND(O36="R",N36&gt;180),(ROUND(N36/60,2)-3)*J36*Q36*0.1*P36/100,"--")</f>
        <v>--</v>
      </c>
      <c r="Z36" s="104" t="str">
        <f t="shared" ref="Z36:Z39" si="25">IF(O36="RF",ROUND(N36/60,2)*J36*Q36*0.1,"--")</f>
        <v>--</v>
      </c>
      <c r="AA36" s="105" t="str">
        <f t="shared" ref="AA36:AA39" si="26">IF(O36="RR",ROUND(N36/60,2)*J36*Q36*0.1*P36/100,"--")</f>
        <v>--</v>
      </c>
      <c r="AB36" s="435" t="str">
        <f t="shared" ref="AB36:AB39" si="27">IF(F36="","","SI")</f>
        <v/>
      </c>
      <c r="AC36" s="106" t="str">
        <f t="shared" si="14"/>
        <v/>
      </c>
      <c r="AD36" s="107"/>
    </row>
    <row r="37" spans="2:30" s="1" customFormat="1" ht="17.100000000000001" customHeight="1" x14ac:dyDescent="0.25">
      <c r="B37" s="108"/>
      <c r="C37" s="79"/>
      <c r="D37" s="79"/>
      <c r="E37" s="79"/>
      <c r="F37" s="77"/>
      <c r="G37" s="77"/>
      <c r="H37" s="90"/>
      <c r="I37" s="91"/>
      <c r="J37" s="92">
        <f t="shared" si="0"/>
        <v>93.87</v>
      </c>
      <c r="K37" s="438"/>
      <c r="L37" s="438"/>
      <c r="M37" s="94" t="str">
        <f t="shared" si="1"/>
        <v/>
      </c>
      <c r="N37" s="95" t="str">
        <f t="shared" si="2"/>
        <v/>
      </c>
      <c r="O37" s="93"/>
      <c r="P37" s="434" t="str">
        <f t="shared" si="15"/>
        <v/>
      </c>
      <c r="Q37" s="97">
        <f t="shared" si="16"/>
        <v>10</v>
      </c>
      <c r="R37" s="98" t="str">
        <f t="shared" si="17"/>
        <v>--</v>
      </c>
      <c r="S37" s="99" t="str">
        <f t="shared" si="18"/>
        <v>--</v>
      </c>
      <c r="T37" s="100" t="str">
        <f t="shared" si="19"/>
        <v>--</v>
      </c>
      <c r="U37" s="100" t="str">
        <f t="shared" si="20"/>
        <v>--</v>
      </c>
      <c r="V37" s="101" t="str">
        <f t="shared" si="21"/>
        <v>--</v>
      </c>
      <c r="W37" s="102" t="str">
        <f t="shared" si="22"/>
        <v>--</v>
      </c>
      <c r="X37" s="102" t="str">
        <f t="shared" si="23"/>
        <v>--</v>
      </c>
      <c r="Y37" s="103" t="str">
        <f t="shared" si="24"/>
        <v>--</v>
      </c>
      <c r="Z37" s="104" t="str">
        <f t="shared" si="25"/>
        <v>--</v>
      </c>
      <c r="AA37" s="105" t="str">
        <f t="shared" si="26"/>
        <v>--</v>
      </c>
      <c r="AB37" s="435" t="str">
        <f t="shared" si="27"/>
        <v/>
      </c>
      <c r="AC37" s="106" t="str">
        <f t="shared" si="14"/>
        <v/>
      </c>
      <c r="AD37" s="107"/>
    </row>
    <row r="38" spans="2:30" s="1" customFormat="1" ht="17.100000000000001" customHeight="1" x14ac:dyDescent="0.25">
      <c r="B38" s="108"/>
      <c r="C38" s="79"/>
      <c r="D38" s="79"/>
      <c r="E38" s="79"/>
      <c r="F38" s="77"/>
      <c r="G38" s="77"/>
      <c r="H38" s="90"/>
      <c r="I38" s="91"/>
      <c r="J38" s="92">
        <f t="shared" si="0"/>
        <v>93.87</v>
      </c>
      <c r="K38" s="438"/>
      <c r="L38" s="438"/>
      <c r="M38" s="94" t="str">
        <f t="shared" si="1"/>
        <v/>
      </c>
      <c r="N38" s="95" t="str">
        <f t="shared" si="2"/>
        <v/>
      </c>
      <c r="O38" s="93"/>
      <c r="P38" s="434" t="str">
        <f t="shared" si="15"/>
        <v/>
      </c>
      <c r="Q38" s="97">
        <f t="shared" si="16"/>
        <v>10</v>
      </c>
      <c r="R38" s="98" t="str">
        <f t="shared" si="17"/>
        <v>--</v>
      </c>
      <c r="S38" s="99" t="str">
        <f t="shared" si="18"/>
        <v>--</v>
      </c>
      <c r="T38" s="100" t="str">
        <f t="shared" si="19"/>
        <v>--</v>
      </c>
      <c r="U38" s="100" t="str">
        <f t="shared" si="20"/>
        <v>--</v>
      </c>
      <c r="V38" s="101" t="str">
        <f t="shared" si="21"/>
        <v>--</v>
      </c>
      <c r="W38" s="102" t="str">
        <f t="shared" si="22"/>
        <v>--</v>
      </c>
      <c r="X38" s="102" t="str">
        <f t="shared" si="23"/>
        <v>--</v>
      </c>
      <c r="Y38" s="103" t="str">
        <f t="shared" si="24"/>
        <v>--</v>
      </c>
      <c r="Z38" s="104" t="str">
        <f t="shared" si="25"/>
        <v>--</v>
      </c>
      <c r="AA38" s="105" t="str">
        <f t="shared" si="26"/>
        <v>--</v>
      </c>
      <c r="AB38" s="435" t="str">
        <f t="shared" si="27"/>
        <v/>
      </c>
      <c r="AC38" s="106" t="str">
        <f t="shared" si="14"/>
        <v/>
      </c>
      <c r="AD38" s="107"/>
    </row>
    <row r="39" spans="2:30" s="1" customFormat="1" ht="17.100000000000001" customHeight="1" x14ac:dyDescent="0.25">
      <c r="B39" s="108"/>
      <c r="C39" s="79"/>
      <c r="D39" s="79"/>
      <c r="E39" s="79"/>
      <c r="F39" s="77"/>
      <c r="G39" s="77"/>
      <c r="H39" s="90"/>
      <c r="I39" s="91"/>
      <c r="J39" s="92">
        <f t="shared" si="0"/>
        <v>93.87</v>
      </c>
      <c r="K39" s="438"/>
      <c r="L39" s="438"/>
      <c r="M39" s="94" t="str">
        <f t="shared" si="1"/>
        <v/>
      </c>
      <c r="N39" s="95" t="str">
        <f t="shared" si="2"/>
        <v/>
      </c>
      <c r="O39" s="93"/>
      <c r="P39" s="434" t="str">
        <f t="shared" si="15"/>
        <v/>
      </c>
      <c r="Q39" s="97">
        <f t="shared" si="16"/>
        <v>10</v>
      </c>
      <c r="R39" s="98" t="str">
        <f t="shared" si="17"/>
        <v>--</v>
      </c>
      <c r="S39" s="99" t="str">
        <f t="shared" si="18"/>
        <v>--</v>
      </c>
      <c r="T39" s="100" t="str">
        <f t="shared" si="19"/>
        <v>--</v>
      </c>
      <c r="U39" s="100" t="str">
        <f t="shared" si="20"/>
        <v>--</v>
      </c>
      <c r="V39" s="101" t="str">
        <f t="shared" si="21"/>
        <v>--</v>
      </c>
      <c r="W39" s="102" t="str">
        <f t="shared" si="22"/>
        <v>--</v>
      </c>
      <c r="X39" s="102" t="str">
        <f t="shared" si="23"/>
        <v>--</v>
      </c>
      <c r="Y39" s="103" t="str">
        <f t="shared" si="24"/>
        <v>--</v>
      </c>
      <c r="Z39" s="104" t="str">
        <f t="shared" si="25"/>
        <v>--</v>
      </c>
      <c r="AA39" s="105" t="str">
        <f t="shared" si="26"/>
        <v>--</v>
      </c>
      <c r="AB39" s="435" t="str">
        <f t="shared" si="27"/>
        <v/>
      </c>
      <c r="AC39" s="106" t="str">
        <f t="shared" si="14"/>
        <v/>
      </c>
      <c r="AD39" s="107"/>
    </row>
    <row r="40" spans="2:30" s="1" customFormat="1" ht="17.100000000000001" customHeight="1" x14ac:dyDescent="0.25">
      <c r="B40" s="108"/>
      <c r="C40" s="79"/>
      <c r="D40" s="79"/>
      <c r="E40" s="79"/>
      <c r="F40" s="77"/>
      <c r="G40" s="77"/>
      <c r="H40" s="90"/>
      <c r="I40" s="91"/>
      <c r="J40" s="92">
        <f t="shared" si="0"/>
        <v>93.87</v>
      </c>
      <c r="K40" s="438"/>
      <c r="L40" s="438"/>
      <c r="M40" s="94" t="str">
        <f t="shared" si="1"/>
        <v/>
      </c>
      <c r="N40" s="95" t="str">
        <f t="shared" si="2"/>
        <v/>
      </c>
      <c r="O40" s="93"/>
      <c r="P40" s="434" t="str">
        <f t="shared" ref="P40" si="28">IF(F40="","","--")</f>
        <v/>
      </c>
      <c r="Q40" s="97">
        <f t="shared" si="3"/>
        <v>10</v>
      </c>
      <c r="R40" s="98" t="str">
        <f t="shared" si="4"/>
        <v>--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35" t="str">
        <f t="shared" ref="AB40" si="29">IF(F40="","","SI")</f>
        <v/>
      </c>
      <c r="AC40" s="106" t="str">
        <f t="shared" si="14"/>
        <v/>
      </c>
      <c r="AD40" s="107"/>
    </row>
    <row r="41" spans="2:30" s="1" customFormat="1" ht="17.100000000000001" customHeight="1" thickBot="1" x14ac:dyDescent="0.3">
      <c r="B41" s="13"/>
      <c r="C41" s="109"/>
      <c r="D41" s="109"/>
      <c r="E41" s="109"/>
      <c r="F41" s="332"/>
      <c r="G41" s="333"/>
      <c r="H41" s="334"/>
      <c r="I41" s="334"/>
      <c r="J41" s="111"/>
      <c r="K41" s="407"/>
      <c r="L41" s="407"/>
      <c r="M41" s="110"/>
      <c r="N41" s="110"/>
      <c r="O41" s="334"/>
      <c r="P41" s="335"/>
      <c r="Q41" s="336"/>
      <c r="R41" s="337"/>
      <c r="S41" s="338"/>
      <c r="T41" s="339"/>
      <c r="U41" s="340"/>
      <c r="V41" s="340"/>
      <c r="W41" s="341"/>
      <c r="X41" s="341"/>
      <c r="Y41" s="341"/>
      <c r="Z41" s="342"/>
      <c r="AA41" s="343"/>
      <c r="AB41" s="344"/>
      <c r="AC41" s="112"/>
      <c r="AD41" s="107"/>
    </row>
    <row r="42" spans="2:30" s="1" customFormat="1" ht="17.100000000000001" customHeight="1" thickTop="1" thickBot="1" x14ac:dyDescent="0.3">
      <c r="B42" s="13"/>
      <c r="C42" s="113" t="s">
        <v>67</v>
      </c>
      <c r="D42" s="443" t="s">
        <v>161</v>
      </c>
      <c r="E42" s="129"/>
      <c r="F42" s="114"/>
      <c r="G42" s="115"/>
      <c r="H42" s="116"/>
      <c r="I42" s="116"/>
      <c r="J42" s="117"/>
      <c r="K42" s="117"/>
      <c r="L42" s="117"/>
      <c r="M42" s="117"/>
      <c r="N42" s="117"/>
      <c r="O42" s="117"/>
      <c r="P42" s="118"/>
      <c r="Q42" s="118"/>
      <c r="R42" s="119">
        <f t="shared" ref="R42:AA42" si="30">SUM(R19:R41)</f>
        <v>1380.104528877411</v>
      </c>
      <c r="S42" s="120">
        <f t="shared" si="30"/>
        <v>0</v>
      </c>
      <c r="T42" s="121">
        <f t="shared" si="30"/>
        <v>6884.050182495117</v>
      </c>
      <c r="U42" s="121">
        <f t="shared" si="30"/>
        <v>20652.150547485355</v>
      </c>
      <c r="V42" s="121">
        <f t="shared" si="30"/>
        <v>4099.9343841558384</v>
      </c>
      <c r="W42" s="122">
        <f t="shared" si="30"/>
        <v>0</v>
      </c>
      <c r="X42" s="122">
        <f t="shared" si="30"/>
        <v>0</v>
      </c>
      <c r="Y42" s="122">
        <f t="shared" si="30"/>
        <v>0</v>
      </c>
      <c r="Z42" s="123">
        <f t="shared" si="30"/>
        <v>0</v>
      </c>
      <c r="AA42" s="124">
        <f t="shared" si="30"/>
        <v>0</v>
      </c>
      <c r="AB42" s="125"/>
      <c r="AC42" s="411">
        <f>ROUND(SUM(AC19:AC41),2)</f>
        <v>154108.6</v>
      </c>
      <c r="AD42" s="126"/>
    </row>
    <row r="43" spans="2:30" s="127" customFormat="1" ht="9.75" thickTop="1" x14ac:dyDescent="0.15">
      <c r="B43" s="128"/>
      <c r="C43" s="129"/>
      <c r="D43" s="129"/>
      <c r="E43" s="129"/>
      <c r="F43" s="130"/>
      <c r="G43" s="131"/>
      <c r="H43" s="132"/>
      <c r="I43" s="132"/>
      <c r="J43" s="133"/>
      <c r="K43" s="133"/>
      <c r="L43" s="133"/>
      <c r="M43" s="133"/>
      <c r="N43" s="133"/>
      <c r="O43" s="133"/>
      <c r="P43" s="134"/>
      <c r="Q43" s="134"/>
      <c r="R43" s="135"/>
      <c r="S43" s="135"/>
      <c r="T43" s="136"/>
      <c r="U43" s="136"/>
      <c r="V43" s="137"/>
      <c r="W43" s="137"/>
      <c r="X43" s="137"/>
      <c r="Y43" s="137"/>
      <c r="Z43" s="137"/>
      <c r="AA43" s="137"/>
      <c r="AB43" s="137"/>
      <c r="AC43" s="138"/>
      <c r="AD43" s="139"/>
    </row>
    <row r="44" spans="2:30" s="1" customFormat="1" ht="17.100000000000001" customHeight="1" thickBot="1" x14ac:dyDescent="0.25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</row>
    <row r="45" spans="2:30" ht="13.5" thickTop="1" x14ac:dyDescent="0.2">
      <c r="B45" s="143"/>
      <c r="AD45" s="143"/>
    </row>
    <row r="90" spans="2:2" x14ac:dyDescent="0.2">
      <c r="B90" s="143"/>
    </row>
  </sheetData>
  <pageMargins left="0.39370078740157483" right="0.19685039370078741" top="0.78740157480314965" bottom="0.78740157480314965" header="0.51181102362204722" footer="0.51181102362204722"/>
  <pageSetup paperSize="9" scale="63" orientation="landscape" horizontalDpi="4294967292" verticalDpi="4294967292" r:id="rId1"/>
  <headerFooter alignWithMargins="0">
    <oddFooter>&amp;L&amp;"Times New Roman,Normal"&amp;8&amp;Z&amp;F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8305" r:id="rId4" name="Button 1">
              <controlPr defaultSize="0" print="0" autoFill="0" autoPict="0" macro="[0]!Referencias_Lineas">
                <anchor moveWithCells="1" sizeWithCells="1">
                  <from>
                    <xdr:col>0</xdr:col>
                    <xdr:colOff>57150</xdr:colOff>
                    <xdr:row>40</xdr:row>
                    <xdr:rowOff>190500</xdr:rowOff>
                  </from>
                  <to>
                    <xdr:col>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>
    <pageSetUpPr fitToPage="1"/>
  </sheetPr>
  <dimension ref="A1:AD63"/>
  <sheetViews>
    <sheetView topLeftCell="C13" zoomScale="80" zoomScaleNormal="80" workbookViewId="0">
      <selection activeCell="A39" sqref="A39"/>
    </sheetView>
  </sheetViews>
  <sheetFormatPr baseColWidth="10" defaultRowHeight="12.75" x14ac:dyDescent="0.2"/>
  <cols>
    <col min="1" max="1" width="17" style="5" customWidth="1"/>
    <col min="2" max="2" width="4.140625" style="5" customWidth="1"/>
    <col min="3" max="3" width="5.4257812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515625" style="5" customWidth="1"/>
    <col min="9" max="9" width="12" style="5" customWidth="1"/>
    <col min="10" max="10" width="6.7109375" style="5" hidden="1" customWidth="1"/>
    <col min="11" max="12" width="16.140625" style="5" customWidth="1"/>
    <col min="13" max="15" width="9.7109375" style="5" customWidth="1"/>
    <col min="16" max="18" width="7.7109375" style="5" customWidth="1"/>
    <col min="19" max="19" width="11.28515625" style="5" hidden="1" customWidth="1"/>
    <col min="20" max="21" width="11.5703125" style="5" hidden="1" customWidth="1"/>
    <col min="22" max="22" width="6.7109375" style="5" hidden="1" customWidth="1"/>
    <col min="23" max="23" width="11" style="5" hidden="1" customWidth="1"/>
    <col min="24" max="24" width="6.7109375" style="5" hidden="1" customWidth="1"/>
    <col min="25" max="25" width="11" style="5" hidden="1" customWidth="1"/>
    <col min="26" max="27" width="11.57031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578125" style="5"/>
  </cols>
  <sheetData>
    <row r="1" spans="1:30" s="3" customFormat="1" ht="32.25" customHeight="1" x14ac:dyDescent="0.4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314"/>
    </row>
    <row r="2" spans="1:30" s="3" customFormat="1" ht="26.25" x14ac:dyDescent="0.4">
      <c r="B2" s="16" t="str">
        <f>'TOT-0216'!B2</f>
        <v>ANEXO III al Memorándum D.T.E.E. N°   243 / 2017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1:30" s="1" customFormat="1" ht="12" customHeight="1" x14ac:dyDescent="0.2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9" customFormat="1" ht="11.25" x14ac:dyDescent="0.2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s="9" customFormat="1" ht="11.25" x14ac:dyDescent="0.2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1:30" s="1" customFormat="1" ht="17.100000000000001" customHeight="1" thickBot="1" x14ac:dyDescent="0.25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1:30" s="1" customFormat="1" ht="17.100000000000001" customHeight="1" thickTop="1" x14ac:dyDescent="0.2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</row>
    <row r="8" spans="1:30" s="22" customFormat="1" ht="20.25" x14ac:dyDescent="0.3">
      <c r="B8" s="153"/>
      <c r="C8" s="154"/>
      <c r="D8" s="154"/>
      <c r="E8" s="154"/>
      <c r="F8" s="155" t="s">
        <v>5</v>
      </c>
      <c r="H8" s="154"/>
      <c r="I8" s="156"/>
      <c r="J8" s="156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7"/>
    </row>
    <row r="9" spans="1:30" s="1" customFormat="1" ht="17.100000000000001" customHeight="1" x14ac:dyDescent="0.2">
      <c r="B9" s="158"/>
      <c r="C9" s="2"/>
      <c r="D9" s="2"/>
      <c r="E9" s="2"/>
      <c r="F9" s="2"/>
      <c r="G9" s="2"/>
      <c r="H9" s="2"/>
      <c r="I9" s="1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9"/>
    </row>
    <row r="10" spans="1:30" s="22" customFormat="1" ht="20.25" x14ac:dyDescent="0.3">
      <c r="B10" s="153"/>
      <c r="C10" s="154"/>
      <c r="D10" s="154"/>
      <c r="E10" s="154"/>
      <c r="F10" s="155" t="s">
        <v>31</v>
      </c>
      <c r="G10" s="154"/>
      <c r="H10" s="154"/>
      <c r="I10" s="156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7"/>
    </row>
    <row r="11" spans="1:30" s="1" customFormat="1" ht="17.100000000000001" customHeight="1" x14ac:dyDescent="0.2">
      <c r="B11" s="158"/>
      <c r="C11" s="2"/>
      <c r="D11" s="2"/>
      <c r="E11" s="2"/>
      <c r="F11" s="160"/>
      <c r="G11" s="2"/>
      <c r="H11" s="2"/>
      <c r="I11" s="1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9"/>
    </row>
    <row r="12" spans="1:30" s="22" customFormat="1" ht="20.25" x14ac:dyDescent="0.3">
      <c r="B12" s="153"/>
      <c r="C12" s="154"/>
      <c r="D12" s="154"/>
      <c r="E12" s="154"/>
      <c r="F12" s="161" t="s">
        <v>32</v>
      </c>
      <c r="G12" s="155"/>
      <c r="H12" s="156"/>
      <c r="I12" s="156"/>
      <c r="J12" s="162"/>
      <c r="K12" s="154"/>
      <c r="L12" s="156"/>
      <c r="M12" s="15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7"/>
    </row>
    <row r="13" spans="1:30" s="1" customFormat="1" ht="17.100000000000001" customHeight="1" x14ac:dyDescent="0.2">
      <c r="B13" s="158"/>
      <c r="C13" s="2"/>
      <c r="D13" s="2"/>
      <c r="E13" s="2"/>
      <c r="F13" s="163"/>
      <c r="G13" s="163"/>
      <c r="H13" s="163"/>
      <c r="I13" s="164"/>
      <c r="J13" s="16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9"/>
    </row>
    <row r="14" spans="1:30" s="10" customFormat="1" ht="19.5" x14ac:dyDescent="0.35">
      <c r="B14" s="166" t="str">
        <f>'TOT-0216'!B14</f>
        <v>Desde el 01 al 29 de Febrero de 2016</v>
      </c>
      <c r="C14" s="28"/>
      <c r="D14" s="28"/>
      <c r="E14" s="28"/>
      <c r="F14" s="167"/>
      <c r="G14" s="167"/>
      <c r="H14" s="167"/>
      <c r="I14" s="167"/>
      <c r="J14" s="167"/>
      <c r="K14" s="29"/>
      <c r="L14" s="29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</row>
    <row r="15" spans="1:30" s="1" customFormat="1" ht="17.100000000000001" customHeight="1" thickBot="1" x14ac:dyDescent="0.3">
      <c r="B15" s="158"/>
      <c r="C15" s="2"/>
      <c r="D15" s="2"/>
      <c r="E15" s="2"/>
      <c r="F15" s="2"/>
      <c r="G15" s="2"/>
      <c r="H15" s="2"/>
      <c r="I15" s="169"/>
      <c r="J15" s="2"/>
      <c r="K15" s="17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9"/>
    </row>
    <row r="16" spans="1:30" s="1" customFormat="1" ht="17.100000000000001" customHeight="1" thickTop="1" thickBot="1" x14ac:dyDescent="0.25">
      <c r="B16" s="158"/>
      <c r="C16" s="2"/>
      <c r="D16" s="2"/>
      <c r="E16" s="2"/>
      <c r="F16" s="171" t="s">
        <v>33</v>
      </c>
      <c r="G16" s="172"/>
      <c r="H16" s="173"/>
      <c r="I16" s="315">
        <v>1.31</v>
      </c>
      <c r="J16" s="14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9"/>
    </row>
    <row r="17" spans="2:30" s="1" customFormat="1" ht="17.100000000000001" customHeight="1" thickTop="1" thickBot="1" x14ac:dyDescent="0.25">
      <c r="B17" s="158"/>
      <c r="C17" s="2"/>
      <c r="D17" s="2"/>
      <c r="E17" s="2"/>
      <c r="F17" s="174" t="s">
        <v>34</v>
      </c>
      <c r="G17" s="175"/>
      <c r="H17" s="175"/>
      <c r="I17" s="176">
        <f>60*'TOT-0216'!B13</f>
        <v>60</v>
      </c>
      <c r="J17" s="177"/>
      <c r="K17" s="177" t="str">
        <f>IF(I17=60," ",IF(I17=120,"    Coeficiente duplicado por tasa de falla &gt;4 Sal. x año/100 km.","    REVISAR COEFICIENTE"))</f>
        <v xml:space="preserve"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8"/>
      <c r="X17" s="2"/>
      <c r="Y17" s="178"/>
      <c r="Z17" s="178"/>
      <c r="AA17" s="178"/>
      <c r="AB17" s="178"/>
      <c r="AC17" s="178"/>
      <c r="AD17" s="159"/>
    </row>
    <row r="18" spans="2:30" s="1" customFormat="1" ht="17.100000000000001" customHeight="1" thickTop="1" thickBot="1" x14ac:dyDescent="0.25">
      <c r="B18" s="158"/>
      <c r="C18" s="431">
        <v>3</v>
      </c>
      <c r="D18" s="431">
        <v>4</v>
      </c>
      <c r="E18" s="431">
        <v>5</v>
      </c>
      <c r="F18" s="431">
        <v>6</v>
      </c>
      <c r="G18" s="431">
        <v>7</v>
      </c>
      <c r="H18" s="431">
        <v>8</v>
      </c>
      <c r="I18" s="431">
        <v>9</v>
      </c>
      <c r="J18" s="431">
        <v>10</v>
      </c>
      <c r="K18" s="431">
        <v>11</v>
      </c>
      <c r="L18" s="431">
        <v>12</v>
      </c>
      <c r="M18" s="431">
        <v>13</v>
      </c>
      <c r="N18" s="431">
        <v>14</v>
      </c>
      <c r="O18" s="431">
        <v>15</v>
      </c>
      <c r="P18" s="431">
        <v>16</v>
      </c>
      <c r="Q18" s="431">
        <v>17</v>
      </c>
      <c r="R18" s="431">
        <v>18</v>
      </c>
      <c r="S18" s="431">
        <v>19</v>
      </c>
      <c r="T18" s="431">
        <v>20</v>
      </c>
      <c r="U18" s="431">
        <v>21</v>
      </c>
      <c r="V18" s="431">
        <v>22</v>
      </c>
      <c r="W18" s="431">
        <v>23</v>
      </c>
      <c r="X18" s="431">
        <v>24</v>
      </c>
      <c r="Y18" s="431">
        <v>25</v>
      </c>
      <c r="Z18" s="431">
        <v>26</v>
      </c>
      <c r="AA18" s="431">
        <v>27</v>
      </c>
      <c r="AB18" s="431">
        <v>28</v>
      </c>
      <c r="AC18" s="431">
        <v>29</v>
      </c>
      <c r="AD18" s="159"/>
    </row>
    <row r="19" spans="2:30" s="179" customFormat="1" ht="35.1" customHeight="1" thickTop="1" thickBot="1" x14ac:dyDescent="0.25">
      <c r="B19" s="180"/>
      <c r="C19" s="415" t="s">
        <v>13</v>
      </c>
      <c r="D19" s="415" t="s">
        <v>78</v>
      </c>
      <c r="E19" s="415" t="s">
        <v>79</v>
      </c>
      <c r="F19" s="181" t="s">
        <v>35</v>
      </c>
      <c r="G19" s="182" t="s">
        <v>36</v>
      </c>
      <c r="H19" s="183" t="s">
        <v>37</v>
      </c>
      <c r="I19" s="184" t="s">
        <v>14</v>
      </c>
      <c r="J19" s="185" t="s">
        <v>16</v>
      </c>
      <c r="K19" s="182" t="s">
        <v>17</v>
      </c>
      <c r="L19" s="182" t="s">
        <v>18</v>
      </c>
      <c r="M19" s="181" t="s">
        <v>38</v>
      </c>
      <c r="N19" s="181" t="s">
        <v>39</v>
      </c>
      <c r="O19" s="48" t="s">
        <v>66</v>
      </c>
      <c r="P19" s="182" t="s">
        <v>40</v>
      </c>
      <c r="Q19" s="181" t="s">
        <v>21</v>
      </c>
      <c r="R19" s="182" t="s">
        <v>41</v>
      </c>
      <c r="S19" s="186" t="s">
        <v>42</v>
      </c>
      <c r="T19" s="187" t="s">
        <v>23</v>
      </c>
      <c r="U19" s="188" t="s">
        <v>24</v>
      </c>
      <c r="V19" s="189" t="s">
        <v>43</v>
      </c>
      <c r="W19" s="190"/>
      <c r="X19" s="191" t="s">
        <v>44</v>
      </c>
      <c r="Y19" s="192"/>
      <c r="Z19" s="193" t="s">
        <v>27</v>
      </c>
      <c r="AA19" s="194" t="s">
        <v>28</v>
      </c>
      <c r="AB19" s="184" t="s">
        <v>45</v>
      </c>
      <c r="AC19" s="184" t="s">
        <v>30</v>
      </c>
      <c r="AD19" s="195"/>
    </row>
    <row r="20" spans="2:30" s="1" customFormat="1" ht="17.100000000000001" customHeight="1" thickTop="1" x14ac:dyDescent="0.25">
      <c r="B20" s="158"/>
      <c r="C20" s="196"/>
      <c r="D20" s="196"/>
      <c r="E20" s="196"/>
      <c r="F20" s="197"/>
      <c r="G20" s="198"/>
      <c r="H20" s="198"/>
      <c r="I20" s="198"/>
      <c r="J20" s="199"/>
      <c r="K20" s="405"/>
      <c r="L20" s="406"/>
      <c r="M20" s="200"/>
      <c r="N20" s="200"/>
      <c r="O20" s="198"/>
      <c r="P20" s="198"/>
      <c r="Q20" s="198"/>
      <c r="R20" s="198"/>
      <c r="S20" s="74"/>
      <c r="T20" s="72"/>
      <c r="U20" s="201"/>
      <c r="V20" s="202"/>
      <c r="W20" s="203"/>
      <c r="X20" s="204"/>
      <c r="Y20" s="205"/>
      <c r="Z20" s="206"/>
      <c r="AA20" s="207"/>
      <c r="AB20" s="198"/>
      <c r="AC20" s="208"/>
      <c r="AD20" s="159"/>
    </row>
    <row r="21" spans="2:30" s="1" customFormat="1" ht="17.100000000000001" customHeight="1" x14ac:dyDescent="0.25">
      <c r="B21" s="158"/>
      <c r="C21" s="209"/>
      <c r="D21" s="209"/>
      <c r="E21" s="209"/>
      <c r="F21" s="210"/>
      <c r="G21" s="211"/>
      <c r="H21" s="211"/>
      <c r="I21" s="211"/>
      <c r="J21" s="212"/>
      <c r="K21" s="438"/>
      <c r="L21" s="439"/>
      <c r="M21" s="213"/>
      <c r="N21" s="213"/>
      <c r="O21" s="211"/>
      <c r="P21" s="211"/>
      <c r="Q21" s="211"/>
      <c r="R21" s="211"/>
      <c r="S21" s="88"/>
      <c r="T21" s="86"/>
      <c r="U21" s="214"/>
      <c r="V21" s="215"/>
      <c r="W21" s="216"/>
      <c r="X21" s="217"/>
      <c r="Y21" s="218"/>
      <c r="Z21" s="219"/>
      <c r="AA21" s="220"/>
      <c r="AB21" s="211"/>
      <c r="AC21" s="221"/>
      <c r="AD21" s="159"/>
    </row>
    <row r="22" spans="2:30" s="1" customFormat="1" ht="17.100000000000001" customHeight="1" x14ac:dyDescent="0.25">
      <c r="B22" s="158"/>
      <c r="C22" s="209">
        <v>35</v>
      </c>
      <c r="D22" s="209">
        <v>298617</v>
      </c>
      <c r="E22" s="209">
        <v>2297</v>
      </c>
      <c r="F22" s="77" t="s">
        <v>150</v>
      </c>
      <c r="G22" s="79" t="s">
        <v>151</v>
      </c>
      <c r="H22" s="222">
        <v>30</v>
      </c>
      <c r="I22" s="442" t="s">
        <v>146</v>
      </c>
      <c r="J22" s="224">
        <f t="shared" ref="J22:J43" si="0">H22*$I$16</f>
        <v>39.300000000000004</v>
      </c>
      <c r="K22" s="438">
        <v>42401.330555555556</v>
      </c>
      <c r="L22" s="438">
        <v>42401.59097222222</v>
      </c>
      <c r="M22" s="225">
        <f t="shared" ref="M22:M43" si="1">IF(F22="","",(L22-K22)*24)</f>
        <v>6.2499999999417923</v>
      </c>
      <c r="N22" s="226">
        <f t="shared" ref="N22:N43" si="2">IF(F22="","",ROUND((L22-K22)*24*60,0))</f>
        <v>375</v>
      </c>
      <c r="O22" s="227" t="s">
        <v>142</v>
      </c>
      <c r="P22" s="432" t="str">
        <f t="shared" ref="P22:P43" si="3">IF(F22="","",IF(OR(O22="P",O22="RP"),"--","NO"))</f>
        <v>--</v>
      </c>
      <c r="Q22" s="433" t="s">
        <v>140</v>
      </c>
      <c r="R22" s="432" t="s">
        <v>183</v>
      </c>
      <c r="S22" s="105">
        <f t="shared" ref="S22:S43" si="4">$I$17*IF(OR(O22="P",O22="RP"),0.1,1)*IF(R22="SI",1,0.1)</f>
        <v>0.60000000000000009</v>
      </c>
      <c r="T22" s="228">
        <f t="shared" ref="T22:T43" si="5">IF(O22="P",J22*S22*ROUND(N22/60,2),"--")</f>
        <v>147.37500000000003</v>
      </c>
      <c r="U22" s="229" t="str">
        <f t="shared" ref="U22:U43" si="6">IF(O22="RP",J22*S22*ROUND(N22/60,2)*Q22/100,"--")</f>
        <v>--</v>
      </c>
      <c r="V22" s="230" t="str">
        <f t="shared" ref="V22:V43" si="7">IF(AND(O22="F",P22="NO"),J22*S22,"--")</f>
        <v>--</v>
      </c>
      <c r="W22" s="231" t="str">
        <f t="shared" ref="W22:W43" si="8">IF(O22="F",J22*S22*ROUND(N22/60,2),"--")</f>
        <v>--</v>
      </c>
      <c r="X22" s="232" t="str">
        <f t="shared" ref="X22:X43" si="9">IF(AND(O22="R",P22="NO"),J22*S22*Q22/100,"--")</f>
        <v>--</v>
      </c>
      <c r="Y22" s="233" t="str">
        <f t="shared" ref="Y22:Y43" si="10">IF(O22="R",J22*S22*ROUND(N22/60,2)*Q22/100,"--")</f>
        <v>--</v>
      </c>
      <c r="Z22" s="234" t="str">
        <f t="shared" ref="Z22:Z43" si="11">IF(O22="RF",J22*S22*ROUND(N22/60,2),"--")</f>
        <v>--</v>
      </c>
      <c r="AA22" s="235" t="str">
        <f t="shared" ref="AA22:AA43" si="12">IF(O22="RR",J22*S22*ROUND(N22/60,2)*Q22/100,"--")</f>
        <v>--</v>
      </c>
      <c r="AB22" s="432" t="str">
        <f t="shared" ref="AB22:AB43" si="13">IF(F22="","","SI")</f>
        <v>SI</v>
      </c>
      <c r="AC22" s="236">
        <f t="shared" ref="AC22:AC43" si="14">IF(F22="","",SUM(T22:AA22)*IF(AB22="SI",1,2)*IF(AND(Q22&lt;&gt;"0,000",O22="RF"),Q22/100,1))</f>
        <v>147.37500000000003</v>
      </c>
      <c r="AD22" s="237"/>
    </row>
    <row r="23" spans="2:30" s="1" customFormat="1" ht="17.100000000000001" customHeight="1" x14ac:dyDescent="0.25">
      <c r="B23" s="158"/>
      <c r="C23" s="209">
        <v>36</v>
      </c>
      <c r="D23" s="209">
        <v>298619</v>
      </c>
      <c r="E23" s="209">
        <v>2296</v>
      </c>
      <c r="F23" s="77" t="s">
        <v>150</v>
      </c>
      <c r="G23" s="79" t="s">
        <v>152</v>
      </c>
      <c r="H23" s="222">
        <v>30</v>
      </c>
      <c r="I23" s="442" t="s">
        <v>146</v>
      </c>
      <c r="J23" s="224">
        <f t="shared" si="0"/>
        <v>39.300000000000004</v>
      </c>
      <c r="K23" s="438">
        <v>42402.332638888889</v>
      </c>
      <c r="L23" s="438">
        <v>42402.530555555553</v>
      </c>
      <c r="M23" s="225">
        <f t="shared" si="1"/>
        <v>4.7499999999417923</v>
      </c>
      <c r="N23" s="226">
        <f t="shared" si="2"/>
        <v>285</v>
      </c>
      <c r="O23" s="227" t="s">
        <v>142</v>
      </c>
      <c r="P23" s="432" t="str">
        <f t="shared" si="3"/>
        <v>--</v>
      </c>
      <c r="Q23" s="433" t="s">
        <v>140</v>
      </c>
      <c r="R23" s="432" t="str">
        <f t="shared" ref="R23" si="15">IF(F23="","","NO")</f>
        <v>NO</v>
      </c>
      <c r="S23" s="105">
        <f t="shared" si="4"/>
        <v>0.60000000000000009</v>
      </c>
      <c r="T23" s="228">
        <f t="shared" si="5"/>
        <v>112.00500000000002</v>
      </c>
      <c r="U23" s="229" t="str">
        <f t="shared" si="6"/>
        <v>--</v>
      </c>
      <c r="V23" s="230" t="str">
        <f t="shared" si="7"/>
        <v>--</v>
      </c>
      <c r="W23" s="231" t="str">
        <f t="shared" si="8"/>
        <v>--</v>
      </c>
      <c r="X23" s="232" t="str">
        <f t="shared" si="9"/>
        <v>--</v>
      </c>
      <c r="Y23" s="233" t="str">
        <f t="shared" si="10"/>
        <v>--</v>
      </c>
      <c r="Z23" s="234" t="str">
        <f t="shared" si="11"/>
        <v>--</v>
      </c>
      <c r="AA23" s="235" t="str">
        <f t="shared" si="12"/>
        <v>--</v>
      </c>
      <c r="AB23" s="432" t="str">
        <f t="shared" si="13"/>
        <v>SI</v>
      </c>
      <c r="AC23" s="236">
        <f t="shared" si="14"/>
        <v>112.00500000000002</v>
      </c>
      <c r="AD23" s="159"/>
    </row>
    <row r="24" spans="2:30" s="1" customFormat="1" ht="17.100000000000001" customHeight="1" x14ac:dyDescent="0.25">
      <c r="B24" s="158"/>
      <c r="C24" s="209">
        <v>37</v>
      </c>
      <c r="D24" s="209">
        <v>298622</v>
      </c>
      <c r="E24" s="209">
        <v>2649</v>
      </c>
      <c r="F24" s="77" t="s">
        <v>185</v>
      </c>
      <c r="G24" s="79" t="s">
        <v>148</v>
      </c>
      <c r="H24" s="222">
        <v>15</v>
      </c>
      <c r="I24" s="442" t="s">
        <v>146</v>
      </c>
      <c r="J24" s="224">
        <f t="shared" si="0"/>
        <v>19.650000000000002</v>
      </c>
      <c r="K24" s="438">
        <v>42403.335416666669</v>
      </c>
      <c r="L24" s="438">
        <v>42403.704861111109</v>
      </c>
      <c r="M24" s="225">
        <f t="shared" si="1"/>
        <v>8.8666666665812954</v>
      </c>
      <c r="N24" s="226">
        <f t="shared" si="2"/>
        <v>532</v>
      </c>
      <c r="O24" s="227" t="s">
        <v>142</v>
      </c>
      <c r="P24" s="432" t="str">
        <f t="shared" si="3"/>
        <v>--</v>
      </c>
      <c r="Q24" s="433" t="s">
        <v>140</v>
      </c>
      <c r="R24" s="432" t="s">
        <v>183</v>
      </c>
      <c r="S24" s="105">
        <f t="shared" si="4"/>
        <v>0.60000000000000009</v>
      </c>
      <c r="T24" s="228">
        <f t="shared" si="5"/>
        <v>104.57730000000001</v>
      </c>
      <c r="U24" s="229" t="str">
        <f t="shared" si="6"/>
        <v>--</v>
      </c>
      <c r="V24" s="230" t="str">
        <f t="shared" si="7"/>
        <v>--</v>
      </c>
      <c r="W24" s="231" t="str">
        <f t="shared" si="8"/>
        <v>--</v>
      </c>
      <c r="X24" s="232" t="str">
        <f t="shared" si="9"/>
        <v>--</v>
      </c>
      <c r="Y24" s="233" t="str">
        <f t="shared" si="10"/>
        <v>--</v>
      </c>
      <c r="Z24" s="234" t="str">
        <f t="shared" si="11"/>
        <v>--</v>
      </c>
      <c r="AA24" s="235" t="str">
        <f t="shared" si="12"/>
        <v>--</v>
      </c>
      <c r="AB24" s="432" t="str">
        <f t="shared" si="13"/>
        <v>SI</v>
      </c>
      <c r="AC24" s="236">
        <f t="shared" si="14"/>
        <v>104.57730000000001</v>
      </c>
      <c r="AD24" s="159"/>
    </row>
    <row r="25" spans="2:30" s="1" customFormat="1" ht="17.100000000000001" customHeight="1" x14ac:dyDescent="0.25">
      <c r="B25" s="158"/>
      <c r="C25" s="209">
        <v>38</v>
      </c>
      <c r="D25" s="209">
        <v>298625</v>
      </c>
      <c r="E25" s="209">
        <v>2663</v>
      </c>
      <c r="F25" s="77" t="s">
        <v>156</v>
      </c>
      <c r="G25" s="79" t="s">
        <v>187</v>
      </c>
      <c r="H25" s="222">
        <v>5</v>
      </c>
      <c r="I25" s="442" t="s">
        <v>186</v>
      </c>
      <c r="J25" s="224">
        <f t="shared" si="0"/>
        <v>6.5500000000000007</v>
      </c>
      <c r="K25" s="438">
        <v>42403.413194444445</v>
      </c>
      <c r="L25" s="438">
        <v>42403.618750000001</v>
      </c>
      <c r="M25" s="225">
        <f t="shared" si="1"/>
        <v>4.9333333333488554</v>
      </c>
      <c r="N25" s="226">
        <f t="shared" si="2"/>
        <v>296</v>
      </c>
      <c r="O25" s="227" t="s">
        <v>142</v>
      </c>
      <c r="P25" s="432" t="str">
        <f t="shared" si="3"/>
        <v>--</v>
      </c>
      <c r="Q25" s="433" t="s">
        <v>140</v>
      </c>
      <c r="R25" s="432" t="s">
        <v>183</v>
      </c>
      <c r="S25" s="105">
        <f t="shared" si="4"/>
        <v>0.60000000000000009</v>
      </c>
      <c r="T25" s="228">
        <f t="shared" si="5"/>
        <v>19.374900000000004</v>
      </c>
      <c r="U25" s="229" t="str">
        <f t="shared" si="6"/>
        <v>--</v>
      </c>
      <c r="V25" s="230" t="str">
        <f t="shared" si="7"/>
        <v>--</v>
      </c>
      <c r="W25" s="231" t="str">
        <f t="shared" si="8"/>
        <v>--</v>
      </c>
      <c r="X25" s="232" t="str">
        <f t="shared" si="9"/>
        <v>--</v>
      </c>
      <c r="Y25" s="233" t="str">
        <f t="shared" si="10"/>
        <v>--</v>
      </c>
      <c r="Z25" s="234" t="str">
        <f t="shared" si="11"/>
        <v>--</v>
      </c>
      <c r="AA25" s="235" t="str">
        <f t="shared" si="12"/>
        <v>--</v>
      </c>
      <c r="AB25" s="432" t="str">
        <f t="shared" si="13"/>
        <v>SI</v>
      </c>
      <c r="AC25" s="236">
        <f t="shared" si="14"/>
        <v>19.374900000000004</v>
      </c>
      <c r="AD25" s="159"/>
    </row>
    <row r="26" spans="2:30" s="1" customFormat="1" ht="17.100000000000001" customHeight="1" x14ac:dyDescent="0.25">
      <c r="B26" s="158"/>
      <c r="C26" s="209">
        <v>39</v>
      </c>
      <c r="D26" s="209">
        <v>298627</v>
      </c>
      <c r="E26" s="209">
        <v>2404</v>
      </c>
      <c r="F26" s="77" t="s">
        <v>189</v>
      </c>
      <c r="G26" s="79" t="s">
        <v>148</v>
      </c>
      <c r="H26" s="222">
        <v>10</v>
      </c>
      <c r="I26" s="442" t="s">
        <v>146</v>
      </c>
      <c r="J26" s="224">
        <f t="shared" si="0"/>
        <v>13.100000000000001</v>
      </c>
      <c r="K26" s="438">
        <v>42404.177083333336</v>
      </c>
      <c r="L26" s="438">
        <v>42404.313194444447</v>
      </c>
      <c r="M26" s="225">
        <f t="shared" si="1"/>
        <v>3.2666666666627862</v>
      </c>
      <c r="N26" s="226">
        <f t="shared" si="2"/>
        <v>196</v>
      </c>
      <c r="O26" s="227" t="s">
        <v>142</v>
      </c>
      <c r="P26" s="432" t="str">
        <f t="shared" si="3"/>
        <v>--</v>
      </c>
      <c r="Q26" s="433" t="s">
        <v>140</v>
      </c>
      <c r="R26" s="432" t="s">
        <v>183</v>
      </c>
      <c r="S26" s="105">
        <f t="shared" si="4"/>
        <v>0.60000000000000009</v>
      </c>
      <c r="T26" s="228">
        <f t="shared" si="5"/>
        <v>25.702200000000008</v>
      </c>
      <c r="U26" s="229" t="str">
        <f t="shared" si="6"/>
        <v>--</v>
      </c>
      <c r="V26" s="230" t="str">
        <f t="shared" si="7"/>
        <v>--</v>
      </c>
      <c r="W26" s="231" t="str">
        <f t="shared" si="8"/>
        <v>--</v>
      </c>
      <c r="X26" s="232" t="str">
        <f t="shared" si="9"/>
        <v>--</v>
      </c>
      <c r="Y26" s="233" t="str">
        <f t="shared" si="10"/>
        <v>--</v>
      </c>
      <c r="Z26" s="234" t="str">
        <f t="shared" si="11"/>
        <v>--</v>
      </c>
      <c r="AA26" s="235" t="str">
        <f t="shared" si="12"/>
        <v>--</v>
      </c>
      <c r="AB26" s="432" t="str">
        <f t="shared" si="13"/>
        <v>SI</v>
      </c>
      <c r="AC26" s="236">
        <f t="shared" si="14"/>
        <v>25.702200000000008</v>
      </c>
      <c r="AD26" s="159"/>
    </row>
    <row r="27" spans="2:30" s="1" customFormat="1" ht="17.100000000000001" customHeight="1" x14ac:dyDescent="0.25">
      <c r="B27" s="158"/>
      <c r="C27" s="209">
        <v>40</v>
      </c>
      <c r="D27" s="209">
        <v>298628</v>
      </c>
      <c r="E27" s="209">
        <v>2663</v>
      </c>
      <c r="F27" s="77" t="s">
        <v>156</v>
      </c>
      <c r="G27" s="79" t="s">
        <v>187</v>
      </c>
      <c r="H27" s="222">
        <v>5</v>
      </c>
      <c r="I27" s="442" t="s">
        <v>186</v>
      </c>
      <c r="J27" s="224">
        <f t="shared" si="0"/>
        <v>6.5500000000000007</v>
      </c>
      <c r="K27" s="438">
        <v>42404.355555555558</v>
      </c>
      <c r="L27" s="438">
        <v>42404.525694444441</v>
      </c>
      <c r="M27" s="225">
        <f t="shared" si="1"/>
        <v>4.0833333331975155</v>
      </c>
      <c r="N27" s="226">
        <f t="shared" si="2"/>
        <v>245</v>
      </c>
      <c r="O27" s="227" t="s">
        <v>142</v>
      </c>
      <c r="P27" s="432" t="str">
        <f t="shared" si="3"/>
        <v>--</v>
      </c>
      <c r="Q27" s="433" t="s">
        <v>140</v>
      </c>
      <c r="R27" s="432" t="s">
        <v>183</v>
      </c>
      <c r="S27" s="105">
        <f t="shared" si="4"/>
        <v>0.60000000000000009</v>
      </c>
      <c r="T27" s="228">
        <f t="shared" si="5"/>
        <v>16.034400000000005</v>
      </c>
      <c r="U27" s="229" t="str">
        <f t="shared" si="6"/>
        <v>--</v>
      </c>
      <c r="V27" s="230" t="str">
        <f t="shared" si="7"/>
        <v>--</v>
      </c>
      <c r="W27" s="231" t="str">
        <f t="shared" si="8"/>
        <v>--</v>
      </c>
      <c r="X27" s="232" t="str">
        <f t="shared" si="9"/>
        <v>--</v>
      </c>
      <c r="Y27" s="233" t="str">
        <f t="shared" si="10"/>
        <v>--</v>
      </c>
      <c r="Z27" s="234" t="str">
        <f t="shared" si="11"/>
        <v>--</v>
      </c>
      <c r="AA27" s="235" t="str">
        <f t="shared" si="12"/>
        <v>--</v>
      </c>
      <c r="AB27" s="432" t="str">
        <f t="shared" si="13"/>
        <v>SI</v>
      </c>
      <c r="AC27" s="236">
        <f t="shared" si="14"/>
        <v>16.034400000000005</v>
      </c>
      <c r="AD27" s="159"/>
    </row>
    <row r="28" spans="2:30" s="1" customFormat="1" ht="17.100000000000001" customHeight="1" x14ac:dyDescent="0.25">
      <c r="B28" s="158"/>
      <c r="C28" s="209">
        <v>41</v>
      </c>
      <c r="D28" s="209">
        <v>298629</v>
      </c>
      <c r="E28" s="209">
        <v>2468</v>
      </c>
      <c r="F28" s="77" t="s">
        <v>190</v>
      </c>
      <c r="G28" s="79" t="s">
        <v>148</v>
      </c>
      <c r="H28" s="222">
        <v>15</v>
      </c>
      <c r="I28" s="442" t="s">
        <v>146</v>
      </c>
      <c r="J28" s="224">
        <f t="shared" si="0"/>
        <v>19.650000000000002</v>
      </c>
      <c r="K28" s="438">
        <v>42404.663888888892</v>
      </c>
      <c r="L28" s="438">
        <v>42404.7</v>
      </c>
      <c r="M28" s="225">
        <f t="shared" si="1"/>
        <v>0.86666666652308777</v>
      </c>
      <c r="N28" s="226">
        <f t="shared" si="2"/>
        <v>52</v>
      </c>
      <c r="O28" s="227" t="s">
        <v>138</v>
      </c>
      <c r="P28" s="432" t="str">
        <f t="shared" si="3"/>
        <v>NO</v>
      </c>
      <c r="Q28" s="433" t="s">
        <v>140</v>
      </c>
      <c r="R28" s="432" t="s">
        <v>139</v>
      </c>
      <c r="S28" s="105">
        <f t="shared" si="4"/>
        <v>60</v>
      </c>
      <c r="T28" s="228" t="str">
        <f t="shared" si="5"/>
        <v>--</v>
      </c>
      <c r="U28" s="229" t="str">
        <f t="shared" si="6"/>
        <v>--</v>
      </c>
      <c r="V28" s="230">
        <f t="shared" si="7"/>
        <v>1179.0000000000002</v>
      </c>
      <c r="W28" s="231">
        <f t="shared" si="8"/>
        <v>1025.7300000000002</v>
      </c>
      <c r="X28" s="232" t="str">
        <f t="shared" si="9"/>
        <v>--</v>
      </c>
      <c r="Y28" s="233" t="str">
        <f t="shared" si="10"/>
        <v>--</v>
      </c>
      <c r="Z28" s="234" t="str">
        <f t="shared" si="11"/>
        <v>--</v>
      </c>
      <c r="AA28" s="235" t="str">
        <f t="shared" si="12"/>
        <v>--</v>
      </c>
      <c r="AB28" s="432" t="str">
        <f t="shared" si="13"/>
        <v>SI</v>
      </c>
      <c r="AC28" s="236">
        <f t="shared" si="14"/>
        <v>2204.7300000000005</v>
      </c>
      <c r="AD28" s="159"/>
    </row>
    <row r="29" spans="2:30" s="1" customFormat="1" ht="17.100000000000001" customHeight="1" x14ac:dyDescent="0.25">
      <c r="B29" s="158"/>
      <c r="C29" s="209" t="s">
        <v>246</v>
      </c>
      <c r="D29" s="209">
        <v>298629</v>
      </c>
      <c r="E29" s="209">
        <v>2468</v>
      </c>
      <c r="F29" s="77" t="s">
        <v>190</v>
      </c>
      <c r="G29" s="79" t="s">
        <v>148</v>
      </c>
      <c r="H29" s="222">
        <v>15</v>
      </c>
      <c r="I29" s="442" t="s">
        <v>146</v>
      </c>
      <c r="J29" s="224">
        <f t="shared" ref="J29" si="16">H29*$I$16</f>
        <v>19.650000000000002</v>
      </c>
      <c r="K29" s="438">
        <v>42404.7</v>
      </c>
      <c r="L29" s="438">
        <v>42404.773611111108</v>
      </c>
      <c r="M29" s="225">
        <f t="shared" ref="M29" si="17">IF(F29="","",(L29-K29)*24)</f>
        <v>1.7666666666627862</v>
      </c>
      <c r="N29" s="226">
        <f t="shared" ref="N29" si="18">IF(F29="","",ROUND((L29-K29)*24*60,0))</f>
        <v>106</v>
      </c>
      <c r="O29" s="227" t="s">
        <v>247</v>
      </c>
      <c r="P29" s="432" t="str">
        <f t="shared" ref="P29" si="19">IF(F29="","",IF(OR(O29="P",O29="RP"),"--","NO"))</f>
        <v>NO</v>
      </c>
      <c r="Q29" s="433" t="s">
        <v>140</v>
      </c>
      <c r="R29" s="432" t="s">
        <v>183</v>
      </c>
      <c r="S29" s="105">
        <f t="shared" ref="S29" si="20">$I$17*IF(OR(O29="P",O29="RP"),0.1,1)*IF(R29="SI",1,0.1)</f>
        <v>6</v>
      </c>
      <c r="T29" s="228" t="str">
        <f t="shared" ref="T29" si="21">IF(O29="P",J29*S29*ROUND(N29/60,2),"--")</f>
        <v>--</v>
      </c>
      <c r="U29" s="229" t="str">
        <f t="shared" ref="U29" si="22">IF(O29="RP",J29*S29*ROUND(N29/60,2)*Q29/100,"--")</f>
        <v>--</v>
      </c>
      <c r="V29" s="230" t="str">
        <f t="shared" ref="V29" si="23">IF(AND(O29="F",P29="NO"),J29*S29,"--")</f>
        <v>--</v>
      </c>
      <c r="W29" s="231" t="str">
        <f t="shared" ref="W29" si="24">IF(O29="F",J29*S29*ROUND(N29/60,2),"--")</f>
        <v>--</v>
      </c>
      <c r="X29" s="232" t="str">
        <f t="shared" ref="X29" si="25">IF(AND(O29="R",P29="NO"),J29*S29*Q29/100,"--")</f>
        <v>--</v>
      </c>
      <c r="Y29" s="233" t="str">
        <f t="shared" ref="Y29" si="26">IF(O29="R",J29*S29*ROUND(N29/60,2)*Q29/100,"--")</f>
        <v>--</v>
      </c>
      <c r="Z29" s="234">
        <f t="shared" ref="Z29" si="27">IF(O29="RF",J29*S29*ROUND(N29/60,2),"--")</f>
        <v>208.68300000000002</v>
      </c>
      <c r="AA29" s="235" t="str">
        <f t="shared" ref="AA29" si="28">IF(O29="RR",J29*S29*ROUND(N29/60,2)*Q29/100,"--")</f>
        <v>--</v>
      </c>
      <c r="AB29" s="432" t="str">
        <f t="shared" ref="AB29" si="29">IF(F29="","","SI")</f>
        <v>SI</v>
      </c>
      <c r="AC29" s="236">
        <f t="shared" ref="AC29" si="30">IF(F29="","",SUM(T29:AA29)*IF(AB29="SI",1,2)*IF(AND(Q29&lt;&gt;"0,000",O29="RF"),Q29/100,1))</f>
        <v>208.68300000000002</v>
      </c>
      <c r="AD29" s="159"/>
    </row>
    <row r="30" spans="2:30" s="1" customFormat="1" ht="17.100000000000001" customHeight="1" x14ac:dyDescent="0.25">
      <c r="B30" s="158"/>
      <c r="C30" s="209">
        <v>42</v>
      </c>
      <c r="D30" s="209">
        <v>298850</v>
      </c>
      <c r="E30" s="209">
        <v>3727</v>
      </c>
      <c r="F30" s="77" t="s">
        <v>191</v>
      </c>
      <c r="G30" s="79" t="s">
        <v>188</v>
      </c>
      <c r="H30" s="222">
        <v>30</v>
      </c>
      <c r="I30" s="442" t="s">
        <v>146</v>
      </c>
      <c r="J30" s="224">
        <f t="shared" si="0"/>
        <v>39.300000000000004</v>
      </c>
      <c r="K30" s="438">
        <v>42411.305555555555</v>
      </c>
      <c r="L30" s="438">
        <v>42411.356944444444</v>
      </c>
      <c r="M30" s="225">
        <f t="shared" si="1"/>
        <v>1.2333333333372138</v>
      </c>
      <c r="N30" s="226">
        <f t="shared" si="2"/>
        <v>74</v>
      </c>
      <c r="O30" s="227" t="s">
        <v>149</v>
      </c>
      <c r="P30" s="432" t="str">
        <f t="shared" si="3"/>
        <v>NO</v>
      </c>
      <c r="Q30" s="433">
        <v>60</v>
      </c>
      <c r="R30" s="432" t="s">
        <v>139</v>
      </c>
      <c r="S30" s="105">
        <f t="shared" si="4"/>
        <v>60</v>
      </c>
      <c r="T30" s="228" t="str">
        <f t="shared" si="5"/>
        <v>--</v>
      </c>
      <c r="U30" s="229" t="str">
        <f t="shared" si="6"/>
        <v>--</v>
      </c>
      <c r="V30" s="230" t="str">
        <f t="shared" si="7"/>
        <v>--</v>
      </c>
      <c r="W30" s="231" t="str">
        <f t="shared" si="8"/>
        <v>--</v>
      </c>
      <c r="X30" s="232">
        <f t="shared" si="9"/>
        <v>1414.8000000000002</v>
      </c>
      <c r="Y30" s="233">
        <f t="shared" si="10"/>
        <v>1740.2040000000002</v>
      </c>
      <c r="Z30" s="234" t="str">
        <f t="shared" si="11"/>
        <v>--</v>
      </c>
      <c r="AA30" s="235" t="str">
        <f t="shared" si="12"/>
        <v>--</v>
      </c>
      <c r="AB30" s="432" t="str">
        <f t="shared" si="13"/>
        <v>SI</v>
      </c>
      <c r="AC30" s="236">
        <f t="shared" si="14"/>
        <v>3155.0040000000004</v>
      </c>
      <c r="AD30" s="159"/>
    </row>
    <row r="31" spans="2:30" s="1" customFormat="1" ht="17.100000000000001" customHeight="1" x14ac:dyDescent="0.25">
      <c r="B31" s="158"/>
      <c r="C31" s="209" t="s">
        <v>248</v>
      </c>
      <c r="D31" s="209">
        <v>298850</v>
      </c>
      <c r="E31" s="209">
        <v>3727</v>
      </c>
      <c r="F31" s="77" t="s">
        <v>191</v>
      </c>
      <c r="G31" s="79" t="s">
        <v>188</v>
      </c>
      <c r="H31" s="222">
        <v>30</v>
      </c>
      <c r="I31" s="442" t="s">
        <v>146</v>
      </c>
      <c r="J31" s="224">
        <f t="shared" ref="J31" si="31">H31*$I$16</f>
        <v>39.300000000000004</v>
      </c>
      <c r="K31" s="438">
        <v>42411.356944444444</v>
      </c>
      <c r="L31" s="438">
        <v>42411.625694444447</v>
      </c>
      <c r="M31" s="225">
        <f t="shared" ref="M31" si="32">IF(F31="","",(L31-K31)*24)</f>
        <v>6.4500000000698492</v>
      </c>
      <c r="N31" s="226">
        <f t="shared" ref="N31" si="33">IF(F31="","",ROUND((L31-K31)*24*60,0))</f>
        <v>387</v>
      </c>
      <c r="O31" s="227" t="s">
        <v>249</v>
      </c>
      <c r="P31" s="432" t="str">
        <f t="shared" ref="P31" si="34">IF(F31="","",IF(OR(O31="P",O31="RP"),"--","NO"))</f>
        <v>NO</v>
      </c>
      <c r="Q31" s="433">
        <v>60</v>
      </c>
      <c r="R31" s="432" t="s">
        <v>183</v>
      </c>
      <c r="S31" s="105">
        <f t="shared" ref="S31" si="35">$I$17*IF(OR(O31="P",O31="RP"),0.1,1)*IF(R31="SI",1,0.1)</f>
        <v>6</v>
      </c>
      <c r="T31" s="228" t="str">
        <f t="shared" ref="T31" si="36">IF(O31="P",J31*S31*ROUND(N31/60,2),"--")</f>
        <v>--</v>
      </c>
      <c r="U31" s="229" t="str">
        <f t="shared" ref="U31" si="37">IF(O31="RP",J31*S31*ROUND(N31/60,2)*Q31/100,"--")</f>
        <v>--</v>
      </c>
      <c r="V31" s="230" t="str">
        <f t="shared" ref="V31" si="38">IF(AND(O31="F",P31="NO"),J31*S31,"--")</f>
        <v>--</v>
      </c>
      <c r="W31" s="231" t="str">
        <f t="shared" ref="W31" si="39">IF(O31="F",J31*S31*ROUND(N31/60,2),"--")</f>
        <v>--</v>
      </c>
      <c r="X31" s="232" t="str">
        <f t="shared" ref="X31" si="40">IF(AND(O31="R",P31="NO"),J31*S31*Q31/100,"--")</f>
        <v>--</v>
      </c>
      <c r="Y31" s="233" t="str">
        <f t="shared" ref="Y31" si="41">IF(O31="R",J31*S31*ROUND(N31/60,2)*Q31/100,"--")</f>
        <v>--</v>
      </c>
      <c r="Z31" s="234" t="str">
        <f t="shared" ref="Z31" si="42">IF(O31="RF",J31*S31*ROUND(N31/60,2),"--")</f>
        <v>--</v>
      </c>
      <c r="AA31" s="235">
        <f t="shared" ref="AA31" si="43">IF(O31="RR",J31*S31*ROUND(N31/60,2)*Q31/100,"--")</f>
        <v>912.54600000000005</v>
      </c>
      <c r="AB31" s="432" t="str">
        <f t="shared" ref="AB31" si="44">IF(F31="","","SI")</f>
        <v>SI</v>
      </c>
      <c r="AC31" s="236">
        <f t="shared" ref="AC31" si="45">IF(F31="","",SUM(T31:AA31)*IF(AB31="SI",1,2)*IF(AND(Q31&lt;&gt;"0,000",O31="RF"),Q31/100,1))</f>
        <v>912.54600000000005</v>
      </c>
      <c r="AD31" s="159"/>
    </row>
    <row r="32" spans="2:30" s="1" customFormat="1" ht="17.100000000000001" customHeight="1" x14ac:dyDescent="0.25">
      <c r="B32" s="158"/>
      <c r="C32" s="209"/>
      <c r="D32" s="209"/>
      <c r="E32" s="209"/>
      <c r="F32" s="77"/>
      <c r="G32" s="79"/>
      <c r="H32" s="222"/>
      <c r="I32" s="442"/>
      <c r="J32" s="224"/>
      <c r="K32" s="438"/>
      <c r="L32" s="438"/>
      <c r="M32" s="225"/>
      <c r="N32" s="226"/>
      <c r="O32" s="227"/>
      <c r="P32" s="432"/>
      <c r="Q32" s="433"/>
      <c r="R32" s="432"/>
      <c r="S32" s="105"/>
      <c r="T32" s="228"/>
      <c r="U32" s="229"/>
      <c r="V32" s="230"/>
      <c r="W32" s="231"/>
      <c r="X32" s="232"/>
      <c r="Y32" s="233"/>
      <c r="Z32" s="234"/>
      <c r="AA32" s="235"/>
      <c r="AB32" s="432"/>
      <c r="AC32" s="236"/>
      <c r="AD32" s="159"/>
    </row>
    <row r="33" spans="2:30" s="1" customFormat="1" ht="17.100000000000001" customHeight="1" x14ac:dyDescent="0.25">
      <c r="B33" s="158"/>
      <c r="C33" s="209">
        <v>44</v>
      </c>
      <c r="D33" s="209">
        <v>298923</v>
      </c>
      <c r="E33" s="209">
        <v>4676</v>
      </c>
      <c r="F33" s="77" t="s">
        <v>147</v>
      </c>
      <c r="G33" s="79" t="s">
        <v>148</v>
      </c>
      <c r="H33" s="222">
        <v>30</v>
      </c>
      <c r="I33" s="442" t="s">
        <v>160</v>
      </c>
      <c r="J33" s="224">
        <f t="shared" si="0"/>
        <v>39.300000000000004</v>
      </c>
      <c r="K33" s="438">
        <v>42413.260416666664</v>
      </c>
      <c r="L33" s="438">
        <v>42413.701388888891</v>
      </c>
      <c r="M33" s="225">
        <f t="shared" si="1"/>
        <v>10.583333333430346</v>
      </c>
      <c r="N33" s="226">
        <f t="shared" si="2"/>
        <v>635</v>
      </c>
      <c r="O33" s="227" t="s">
        <v>184</v>
      </c>
      <c r="P33" s="432" t="str">
        <f t="shared" si="3"/>
        <v>--</v>
      </c>
      <c r="Q33" s="433">
        <v>40</v>
      </c>
      <c r="R33" s="432" t="s">
        <v>183</v>
      </c>
      <c r="S33" s="105">
        <f t="shared" si="4"/>
        <v>0.60000000000000009</v>
      </c>
      <c r="T33" s="228" t="str">
        <f t="shared" si="5"/>
        <v>--</v>
      </c>
      <c r="U33" s="229">
        <f t="shared" si="6"/>
        <v>99.790560000000028</v>
      </c>
      <c r="V33" s="230" t="str">
        <f t="shared" si="7"/>
        <v>--</v>
      </c>
      <c r="W33" s="231" t="str">
        <f t="shared" si="8"/>
        <v>--</v>
      </c>
      <c r="X33" s="232" t="str">
        <f t="shared" si="9"/>
        <v>--</v>
      </c>
      <c r="Y33" s="233" t="str">
        <f t="shared" si="10"/>
        <v>--</v>
      </c>
      <c r="Z33" s="234" t="str">
        <f t="shared" si="11"/>
        <v>--</v>
      </c>
      <c r="AA33" s="235" t="str">
        <f t="shared" si="12"/>
        <v>--</v>
      </c>
      <c r="AB33" s="432" t="str">
        <f t="shared" si="13"/>
        <v>SI</v>
      </c>
      <c r="AC33" s="236">
        <f t="shared" si="14"/>
        <v>99.790560000000028</v>
      </c>
      <c r="AD33" s="159"/>
    </row>
    <row r="34" spans="2:30" s="1" customFormat="1" ht="17.100000000000001" customHeight="1" x14ac:dyDescent="0.25">
      <c r="B34" s="158"/>
      <c r="C34" s="209">
        <v>45</v>
      </c>
      <c r="D34" s="209">
        <v>298925</v>
      </c>
      <c r="E34" s="209">
        <v>4280</v>
      </c>
      <c r="F34" s="77" t="s">
        <v>193</v>
      </c>
      <c r="G34" s="79" t="s">
        <v>188</v>
      </c>
      <c r="H34" s="222">
        <v>30</v>
      </c>
      <c r="I34" s="442" t="s">
        <v>146</v>
      </c>
      <c r="J34" s="224">
        <f t="shared" si="0"/>
        <v>39.300000000000004</v>
      </c>
      <c r="K34" s="438">
        <v>42413.326388888891</v>
      </c>
      <c r="L34" s="438">
        <v>42413.458333333336</v>
      </c>
      <c r="M34" s="225">
        <f t="shared" si="1"/>
        <v>3.1666666666860692</v>
      </c>
      <c r="N34" s="226">
        <f t="shared" si="2"/>
        <v>190</v>
      </c>
      <c r="O34" s="227" t="s">
        <v>142</v>
      </c>
      <c r="P34" s="432" t="str">
        <f t="shared" si="3"/>
        <v>--</v>
      </c>
      <c r="Q34" s="433" t="s">
        <v>140</v>
      </c>
      <c r="R34" s="432" t="s">
        <v>183</v>
      </c>
      <c r="S34" s="105">
        <f t="shared" si="4"/>
        <v>0.60000000000000009</v>
      </c>
      <c r="T34" s="228">
        <f t="shared" si="5"/>
        <v>74.74860000000001</v>
      </c>
      <c r="U34" s="229" t="str">
        <f t="shared" si="6"/>
        <v>--</v>
      </c>
      <c r="V34" s="230" t="str">
        <f t="shared" si="7"/>
        <v>--</v>
      </c>
      <c r="W34" s="231" t="str">
        <f t="shared" si="8"/>
        <v>--</v>
      </c>
      <c r="X34" s="232" t="str">
        <f t="shared" si="9"/>
        <v>--</v>
      </c>
      <c r="Y34" s="233" t="str">
        <f t="shared" si="10"/>
        <v>--</v>
      </c>
      <c r="Z34" s="234" t="str">
        <f t="shared" si="11"/>
        <v>--</v>
      </c>
      <c r="AA34" s="235" t="str">
        <f t="shared" si="12"/>
        <v>--</v>
      </c>
      <c r="AB34" s="432" t="str">
        <f t="shared" si="13"/>
        <v>SI</v>
      </c>
      <c r="AC34" s="236">
        <f t="shared" si="14"/>
        <v>74.74860000000001</v>
      </c>
      <c r="AD34" s="159"/>
    </row>
    <row r="35" spans="2:30" s="1" customFormat="1" ht="17.100000000000001" customHeight="1" x14ac:dyDescent="0.25">
      <c r="B35" s="158"/>
      <c r="C35" s="209">
        <v>46</v>
      </c>
      <c r="D35" s="209">
        <v>298926</v>
      </c>
      <c r="E35" s="209">
        <v>5553</v>
      </c>
      <c r="F35" s="77" t="s">
        <v>194</v>
      </c>
      <c r="G35" s="79" t="s">
        <v>195</v>
      </c>
      <c r="H35" s="222">
        <v>30</v>
      </c>
      <c r="I35" s="442" t="s">
        <v>146</v>
      </c>
      <c r="J35" s="224">
        <f t="shared" si="0"/>
        <v>39.300000000000004</v>
      </c>
      <c r="K35" s="438">
        <v>42414.316666666666</v>
      </c>
      <c r="L35" s="438">
        <v>42414.754166666666</v>
      </c>
      <c r="M35" s="225">
        <f t="shared" si="1"/>
        <v>10.5</v>
      </c>
      <c r="N35" s="226">
        <f t="shared" si="2"/>
        <v>630</v>
      </c>
      <c r="O35" s="227" t="s">
        <v>142</v>
      </c>
      <c r="P35" s="432" t="str">
        <f t="shared" si="3"/>
        <v>--</v>
      </c>
      <c r="Q35" s="433" t="s">
        <v>140</v>
      </c>
      <c r="R35" s="432" t="s">
        <v>183</v>
      </c>
      <c r="S35" s="105">
        <f t="shared" si="4"/>
        <v>0.60000000000000009</v>
      </c>
      <c r="T35" s="228">
        <f t="shared" si="5"/>
        <v>247.59000000000006</v>
      </c>
      <c r="U35" s="229" t="str">
        <f t="shared" si="6"/>
        <v>--</v>
      </c>
      <c r="V35" s="230" t="str">
        <f t="shared" si="7"/>
        <v>--</v>
      </c>
      <c r="W35" s="231" t="str">
        <f t="shared" si="8"/>
        <v>--</v>
      </c>
      <c r="X35" s="232" t="str">
        <f t="shared" si="9"/>
        <v>--</v>
      </c>
      <c r="Y35" s="233" t="str">
        <f t="shared" si="10"/>
        <v>--</v>
      </c>
      <c r="Z35" s="234" t="str">
        <f t="shared" si="11"/>
        <v>--</v>
      </c>
      <c r="AA35" s="235" t="str">
        <f t="shared" si="12"/>
        <v>--</v>
      </c>
      <c r="AB35" s="432" t="str">
        <f t="shared" si="13"/>
        <v>SI</v>
      </c>
      <c r="AC35" s="236">
        <f t="shared" si="14"/>
        <v>247.59000000000006</v>
      </c>
      <c r="AD35" s="159"/>
    </row>
    <row r="36" spans="2:30" s="1" customFormat="1" ht="17.100000000000001" customHeight="1" x14ac:dyDescent="0.25">
      <c r="B36" s="158"/>
      <c r="C36" s="209">
        <v>47</v>
      </c>
      <c r="D36" s="209">
        <v>299399</v>
      </c>
      <c r="E36" s="209">
        <v>5553</v>
      </c>
      <c r="F36" s="77" t="s">
        <v>194</v>
      </c>
      <c r="G36" s="79" t="s">
        <v>195</v>
      </c>
      <c r="H36" s="222">
        <v>30</v>
      </c>
      <c r="I36" s="442" t="s">
        <v>146</v>
      </c>
      <c r="J36" s="224">
        <f t="shared" si="0"/>
        <v>39.300000000000004</v>
      </c>
      <c r="K36" s="438">
        <v>42416.337500000001</v>
      </c>
      <c r="L36" s="438">
        <v>42421.310416666667</v>
      </c>
      <c r="M36" s="225">
        <f t="shared" si="1"/>
        <v>119.34999999997672</v>
      </c>
      <c r="N36" s="226">
        <f t="shared" si="2"/>
        <v>7161</v>
      </c>
      <c r="O36" s="227" t="s">
        <v>184</v>
      </c>
      <c r="P36" s="432" t="str">
        <f t="shared" si="3"/>
        <v>--</v>
      </c>
      <c r="Q36" s="433">
        <v>40</v>
      </c>
      <c r="R36" s="432" t="s">
        <v>183</v>
      </c>
      <c r="S36" s="105">
        <f t="shared" si="4"/>
        <v>0.60000000000000009</v>
      </c>
      <c r="T36" s="228" t="str">
        <f t="shared" si="5"/>
        <v>--</v>
      </c>
      <c r="U36" s="229">
        <f t="shared" si="6"/>
        <v>1125.7092000000002</v>
      </c>
      <c r="V36" s="230" t="str">
        <f t="shared" si="7"/>
        <v>--</v>
      </c>
      <c r="W36" s="231" t="str">
        <f t="shared" si="8"/>
        <v>--</v>
      </c>
      <c r="X36" s="232" t="str">
        <f t="shared" si="9"/>
        <v>--</v>
      </c>
      <c r="Y36" s="233" t="str">
        <f t="shared" si="10"/>
        <v>--</v>
      </c>
      <c r="Z36" s="234" t="str">
        <f t="shared" si="11"/>
        <v>--</v>
      </c>
      <c r="AA36" s="235" t="str">
        <f t="shared" si="12"/>
        <v>--</v>
      </c>
      <c r="AB36" s="432" t="str">
        <f t="shared" si="13"/>
        <v>SI</v>
      </c>
      <c r="AC36" s="236">
        <f t="shared" si="14"/>
        <v>1125.7092000000002</v>
      </c>
      <c r="AD36" s="159"/>
    </row>
    <row r="37" spans="2:30" s="1" customFormat="1" ht="17.100000000000001" customHeight="1" x14ac:dyDescent="0.25">
      <c r="B37" s="158"/>
      <c r="C37" s="209">
        <v>48</v>
      </c>
      <c r="D37" s="209">
        <v>299400</v>
      </c>
      <c r="E37" s="209">
        <v>2166</v>
      </c>
      <c r="F37" s="77" t="s">
        <v>196</v>
      </c>
      <c r="G37" s="79" t="s">
        <v>148</v>
      </c>
      <c r="H37" s="222">
        <v>15</v>
      </c>
      <c r="I37" s="442" t="s">
        <v>146</v>
      </c>
      <c r="J37" s="224">
        <f t="shared" si="0"/>
        <v>19.650000000000002</v>
      </c>
      <c r="K37" s="438">
        <v>42416.34097222222</v>
      </c>
      <c r="L37" s="438">
        <v>42416.380555555559</v>
      </c>
      <c r="M37" s="225">
        <f t="shared" si="1"/>
        <v>0.95000000012805685</v>
      </c>
      <c r="N37" s="226">
        <f t="shared" si="2"/>
        <v>57</v>
      </c>
      <c r="O37" s="227" t="s">
        <v>142</v>
      </c>
      <c r="P37" s="432" t="str">
        <f t="shared" si="3"/>
        <v>--</v>
      </c>
      <c r="Q37" s="433" t="s">
        <v>140</v>
      </c>
      <c r="R37" s="432" t="s">
        <v>183</v>
      </c>
      <c r="S37" s="105">
        <f t="shared" si="4"/>
        <v>0.60000000000000009</v>
      </c>
      <c r="T37" s="228">
        <f t="shared" si="5"/>
        <v>11.200500000000002</v>
      </c>
      <c r="U37" s="229" t="str">
        <f t="shared" si="6"/>
        <v>--</v>
      </c>
      <c r="V37" s="230" t="str">
        <f t="shared" si="7"/>
        <v>--</v>
      </c>
      <c r="W37" s="231" t="str">
        <f t="shared" si="8"/>
        <v>--</v>
      </c>
      <c r="X37" s="232" t="str">
        <f t="shared" si="9"/>
        <v>--</v>
      </c>
      <c r="Y37" s="233" t="str">
        <f t="shared" si="10"/>
        <v>--</v>
      </c>
      <c r="Z37" s="234" t="str">
        <f t="shared" si="11"/>
        <v>--</v>
      </c>
      <c r="AA37" s="235" t="str">
        <f t="shared" si="12"/>
        <v>--</v>
      </c>
      <c r="AB37" s="432" t="str">
        <f t="shared" si="13"/>
        <v>SI</v>
      </c>
      <c r="AC37" s="236">
        <f t="shared" si="14"/>
        <v>11.200500000000002</v>
      </c>
      <c r="AD37" s="159"/>
    </row>
    <row r="38" spans="2:30" s="1" customFormat="1" ht="17.100000000000001" customHeight="1" x14ac:dyDescent="0.25">
      <c r="B38" s="158"/>
      <c r="C38" s="209">
        <v>49</v>
      </c>
      <c r="D38" s="209">
        <v>299410</v>
      </c>
      <c r="E38" s="209">
        <v>2387</v>
      </c>
      <c r="F38" s="77" t="s">
        <v>192</v>
      </c>
      <c r="G38" s="79" t="s">
        <v>188</v>
      </c>
      <c r="H38" s="222">
        <v>15</v>
      </c>
      <c r="I38" s="442" t="s">
        <v>197</v>
      </c>
      <c r="J38" s="224">
        <f t="shared" si="0"/>
        <v>19.650000000000002</v>
      </c>
      <c r="K38" s="438">
        <v>42418.338194444441</v>
      </c>
      <c r="L38" s="438">
        <v>42418.574305555558</v>
      </c>
      <c r="M38" s="225">
        <f t="shared" si="1"/>
        <v>5.6666666668024845</v>
      </c>
      <c r="N38" s="226">
        <f t="shared" si="2"/>
        <v>340</v>
      </c>
      <c r="O38" s="227" t="s">
        <v>142</v>
      </c>
      <c r="P38" s="432" t="str">
        <f t="shared" si="3"/>
        <v>--</v>
      </c>
      <c r="Q38" s="433" t="s">
        <v>140</v>
      </c>
      <c r="R38" s="432" t="s">
        <v>183</v>
      </c>
      <c r="S38" s="105">
        <f t="shared" si="4"/>
        <v>0.60000000000000009</v>
      </c>
      <c r="T38" s="228">
        <f t="shared" si="5"/>
        <v>66.849300000000014</v>
      </c>
      <c r="U38" s="229" t="str">
        <f t="shared" si="6"/>
        <v>--</v>
      </c>
      <c r="V38" s="230" t="str">
        <f t="shared" si="7"/>
        <v>--</v>
      </c>
      <c r="W38" s="231" t="str">
        <f t="shared" si="8"/>
        <v>--</v>
      </c>
      <c r="X38" s="232" t="str">
        <f t="shared" si="9"/>
        <v>--</v>
      </c>
      <c r="Y38" s="233" t="str">
        <f t="shared" si="10"/>
        <v>--</v>
      </c>
      <c r="Z38" s="234" t="str">
        <f t="shared" si="11"/>
        <v>--</v>
      </c>
      <c r="AA38" s="235" t="str">
        <f t="shared" si="12"/>
        <v>--</v>
      </c>
      <c r="AB38" s="432" t="str">
        <f t="shared" si="13"/>
        <v>SI</v>
      </c>
      <c r="AC38" s="236">
        <f t="shared" si="14"/>
        <v>66.849300000000014</v>
      </c>
      <c r="AD38" s="159"/>
    </row>
    <row r="39" spans="2:30" s="1" customFormat="1" ht="17.100000000000001" customHeight="1" x14ac:dyDescent="0.25">
      <c r="B39" s="158"/>
      <c r="C39" s="209">
        <v>50</v>
      </c>
      <c r="D39" s="209">
        <v>299422</v>
      </c>
      <c r="E39" s="209">
        <v>2387</v>
      </c>
      <c r="F39" s="77" t="s">
        <v>192</v>
      </c>
      <c r="G39" s="79" t="s">
        <v>188</v>
      </c>
      <c r="H39" s="222">
        <v>15</v>
      </c>
      <c r="I39" s="442" t="s">
        <v>197</v>
      </c>
      <c r="J39" s="224">
        <f t="shared" si="0"/>
        <v>19.650000000000002</v>
      </c>
      <c r="K39" s="438">
        <v>42419.364583333336</v>
      </c>
      <c r="L39" s="438">
        <v>42419.584722222222</v>
      </c>
      <c r="M39" s="225">
        <f t="shared" si="1"/>
        <v>5.2833333332673647</v>
      </c>
      <c r="N39" s="226">
        <f t="shared" si="2"/>
        <v>317</v>
      </c>
      <c r="O39" s="227" t="s">
        <v>142</v>
      </c>
      <c r="P39" s="432" t="str">
        <f t="shared" si="3"/>
        <v>--</v>
      </c>
      <c r="Q39" s="433" t="s">
        <v>140</v>
      </c>
      <c r="R39" s="432" t="s">
        <v>183</v>
      </c>
      <c r="S39" s="105">
        <f t="shared" si="4"/>
        <v>0.60000000000000009</v>
      </c>
      <c r="T39" s="228">
        <f t="shared" si="5"/>
        <v>62.251200000000019</v>
      </c>
      <c r="U39" s="229" t="str">
        <f t="shared" si="6"/>
        <v>--</v>
      </c>
      <c r="V39" s="230" t="str">
        <f t="shared" si="7"/>
        <v>--</v>
      </c>
      <c r="W39" s="231" t="str">
        <f t="shared" si="8"/>
        <v>--</v>
      </c>
      <c r="X39" s="232" t="str">
        <f t="shared" si="9"/>
        <v>--</v>
      </c>
      <c r="Y39" s="233" t="str">
        <f t="shared" si="10"/>
        <v>--</v>
      </c>
      <c r="Z39" s="234" t="str">
        <f t="shared" si="11"/>
        <v>--</v>
      </c>
      <c r="AA39" s="235" t="str">
        <f t="shared" si="12"/>
        <v>--</v>
      </c>
      <c r="AB39" s="432" t="str">
        <f t="shared" si="13"/>
        <v>SI</v>
      </c>
      <c r="AC39" s="236">
        <f t="shared" si="14"/>
        <v>62.251200000000019</v>
      </c>
      <c r="AD39" s="159"/>
    </row>
    <row r="40" spans="2:30" s="1" customFormat="1" ht="17.100000000000001" customHeight="1" x14ac:dyDescent="0.25">
      <c r="B40" s="158"/>
      <c r="C40" s="209">
        <v>51</v>
      </c>
      <c r="D40" s="209">
        <v>299423</v>
      </c>
      <c r="E40" s="209">
        <v>2056</v>
      </c>
      <c r="F40" s="77" t="s">
        <v>198</v>
      </c>
      <c r="G40" s="79" t="s">
        <v>159</v>
      </c>
      <c r="H40" s="222">
        <v>15</v>
      </c>
      <c r="I40" s="442" t="s">
        <v>199</v>
      </c>
      <c r="J40" s="224">
        <f t="shared" si="0"/>
        <v>19.650000000000002</v>
      </c>
      <c r="K40" s="438">
        <v>42419.384027777778</v>
      </c>
      <c r="L40" s="438">
        <v>42419.416666666664</v>
      </c>
      <c r="M40" s="225">
        <f t="shared" si="1"/>
        <v>0.78333333326736465</v>
      </c>
      <c r="N40" s="226">
        <f t="shared" si="2"/>
        <v>47</v>
      </c>
      <c r="O40" s="227" t="s">
        <v>138</v>
      </c>
      <c r="P40" s="432" t="str">
        <f t="shared" si="3"/>
        <v>NO</v>
      </c>
      <c r="Q40" s="433" t="s">
        <v>140</v>
      </c>
      <c r="R40" s="432" t="s">
        <v>139</v>
      </c>
      <c r="S40" s="105">
        <f t="shared" si="4"/>
        <v>60</v>
      </c>
      <c r="T40" s="228" t="str">
        <f t="shared" si="5"/>
        <v>--</v>
      </c>
      <c r="U40" s="229" t="str">
        <f t="shared" si="6"/>
        <v>--</v>
      </c>
      <c r="V40" s="230">
        <f t="shared" si="7"/>
        <v>1179.0000000000002</v>
      </c>
      <c r="W40" s="231">
        <f t="shared" si="8"/>
        <v>919.62000000000023</v>
      </c>
      <c r="X40" s="232" t="str">
        <f t="shared" si="9"/>
        <v>--</v>
      </c>
      <c r="Y40" s="233" t="str">
        <f t="shared" si="10"/>
        <v>--</v>
      </c>
      <c r="Z40" s="234" t="str">
        <f t="shared" si="11"/>
        <v>--</v>
      </c>
      <c r="AA40" s="235" t="str">
        <f t="shared" si="12"/>
        <v>--</v>
      </c>
      <c r="AB40" s="432" t="str">
        <f t="shared" si="13"/>
        <v>SI</v>
      </c>
      <c r="AC40" s="236">
        <f t="shared" si="14"/>
        <v>2098.6200000000003</v>
      </c>
      <c r="AD40" s="159"/>
    </row>
    <row r="41" spans="2:30" s="1" customFormat="1" ht="17.100000000000001" customHeight="1" x14ac:dyDescent="0.25">
      <c r="B41" s="158"/>
      <c r="C41" s="209" t="s">
        <v>251</v>
      </c>
      <c r="D41" s="209">
        <v>299423</v>
      </c>
      <c r="E41" s="209">
        <v>2056</v>
      </c>
      <c r="F41" s="77" t="s">
        <v>198</v>
      </c>
      <c r="G41" s="79" t="s">
        <v>159</v>
      </c>
      <c r="H41" s="222">
        <v>15</v>
      </c>
      <c r="I41" s="442" t="s">
        <v>199</v>
      </c>
      <c r="J41" s="224">
        <f t="shared" ref="J41" si="46">H41*$I$16</f>
        <v>19.650000000000002</v>
      </c>
      <c r="K41" s="438">
        <v>42419.416666666664</v>
      </c>
      <c r="L41" s="438">
        <v>42426.92083333333</v>
      </c>
      <c r="M41" s="225">
        <f t="shared" ref="M41" si="47">IF(F41="","",(L41-K41)*24)</f>
        <v>180.09999999997672</v>
      </c>
      <c r="N41" s="226">
        <f t="shared" ref="N41" si="48">IF(F41="","",ROUND((L41-K41)*24*60,0))</f>
        <v>10806</v>
      </c>
      <c r="O41" s="227" t="s">
        <v>247</v>
      </c>
      <c r="P41" s="432" t="str">
        <f t="shared" ref="P41" si="49">IF(F41="","",IF(OR(O41="P",O41="RP"),"--","NO"))</f>
        <v>NO</v>
      </c>
      <c r="Q41" s="433" t="s">
        <v>140</v>
      </c>
      <c r="R41" s="432" t="s">
        <v>183</v>
      </c>
      <c r="S41" s="105">
        <f t="shared" ref="S41" si="50">$I$17*IF(OR(O41="P",O41="RP"),0.1,1)*IF(R41="SI",1,0.1)</f>
        <v>6</v>
      </c>
      <c r="T41" s="228" t="str">
        <f t="shared" ref="T41" si="51">IF(O41="P",J41*S41*ROUND(N41/60,2),"--")</f>
        <v>--</v>
      </c>
      <c r="U41" s="229" t="str">
        <f t="shared" ref="U41" si="52">IF(O41="RP",J41*S41*ROUND(N41/60,2)*Q41/100,"--")</f>
        <v>--</v>
      </c>
      <c r="V41" s="230" t="str">
        <f t="shared" ref="V41" si="53">IF(AND(O41="F",P41="NO"),J41*S41,"--")</f>
        <v>--</v>
      </c>
      <c r="W41" s="231" t="str">
        <f t="shared" ref="W41" si="54">IF(O41="F",J41*S41*ROUND(N41/60,2),"--")</f>
        <v>--</v>
      </c>
      <c r="X41" s="232" t="str">
        <f t="shared" ref="X41" si="55">IF(AND(O41="R",P41="NO"),J41*S41*Q41/100,"--")</f>
        <v>--</v>
      </c>
      <c r="Y41" s="233" t="str">
        <f t="shared" ref="Y41" si="56">IF(O41="R",J41*S41*ROUND(N41/60,2)*Q41/100,"--")</f>
        <v>--</v>
      </c>
      <c r="Z41" s="234">
        <f t="shared" ref="Z41" si="57">IF(O41="RF",J41*S41*ROUND(N41/60,2),"--")</f>
        <v>21233.79</v>
      </c>
      <c r="AA41" s="235" t="str">
        <f t="shared" ref="AA41" si="58">IF(O41="RR",J41*S41*ROUND(N41/60,2)*Q41/100,"--")</f>
        <v>--</v>
      </c>
      <c r="AB41" s="432" t="str">
        <f t="shared" ref="AB41" si="59">IF(F41="","","SI")</f>
        <v>SI</v>
      </c>
      <c r="AC41" s="236">
        <f t="shared" ref="AC41" si="60">IF(F41="","",SUM(T41:AA41)*IF(AB41="SI",1,2)*IF(AND(Q41&lt;&gt;"0,000",O41="RF"),Q41/100,1))</f>
        <v>21233.79</v>
      </c>
      <c r="AD41" s="159"/>
    </row>
    <row r="42" spans="2:30" s="1" customFormat="1" ht="17.100000000000001" customHeight="1" x14ac:dyDescent="0.25">
      <c r="B42" s="158"/>
      <c r="C42" s="209">
        <v>52</v>
      </c>
      <c r="D42" s="209">
        <v>299428</v>
      </c>
      <c r="E42" s="209">
        <v>5553</v>
      </c>
      <c r="F42" s="77" t="s">
        <v>194</v>
      </c>
      <c r="G42" s="79" t="s">
        <v>148</v>
      </c>
      <c r="H42" s="222">
        <v>30</v>
      </c>
      <c r="I42" s="442" t="s">
        <v>146</v>
      </c>
      <c r="J42" s="224">
        <f t="shared" si="0"/>
        <v>39.300000000000004</v>
      </c>
      <c r="K42" s="438">
        <v>42421.311111111114</v>
      </c>
      <c r="L42" s="438">
        <v>42421.801388888889</v>
      </c>
      <c r="M42" s="225">
        <f t="shared" si="1"/>
        <v>11.766666666604578</v>
      </c>
      <c r="N42" s="226">
        <f t="shared" si="2"/>
        <v>706</v>
      </c>
      <c r="O42" s="227" t="s">
        <v>142</v>
      </c>
      <c r="P42" s="432" t="str">
        <f t="shared" si="3"/>
        <v>--</v>
      </c>
      <c r="Q42" s="433" t="s">
        <v>140</v>
      </c>
      <c r="R42" s="432" t="s">
        <v>183</v>
      </c>
      <c r="S42" s="105">
        <f t="shared" si="4"/>
        <v>0.60000000000000009</v>
      </c>
      <c r="T42" s="228">
        <f t="shared" si="5"/>
        <v>277.53660000000008</v>
      </c>
      <c r="U42" s="229" t="str">
        <f t="shared" si="6"/>
        <v>--</v>
      </c>
      <c r="V42" s="230" t="str">
        <f t="shared" si="7"/>
        <v>--</v>
      </c>
      <c r="W42" s="231" t="str">
        <f t="shared" si="8"/>
        <v>--</v>
      </c>
      <c r="X42" s="232" t="str">
        <f t="shared" si="9"/>
        <v>--</v>
      </c>
      <c r="Y42" s="233" t="str">
        <f t="shared" si="10"/>
        <v>--</v>
      </c>
      <c r="Z42" s="234" t="str">
        <f t="shared" si="11"/>
        <v>--</v>
      </c>
      <c r="AA42" s="235" t="str">
        <f t="shared" si="12"/>
        <v>--</v>
      </c>
      <c r="AB42" s="432" t="str">
        <f t="shared" si="13"/>
        <v>SI</v>
      </c>
      <c r="AC42" s="236">
        <f t="shared" si="14"/>
        <v>277.53660000000008</v>
      </c>
      <c r="AD42" s="159"/>
    </row>
    <row r="43" spans="2:30" s="1" customFormat="1" ht="17.100000000000001" customHeight="1" x14ac:dyDescent="0.25">
      <c r="B43" s="158"/>
      <c r="C43" s="209">
        <v>53</v>
      </c>
      <c r="D43" s="209">
        <v>299430</v>
      </c>
      <c r="E43" s="209">
        <v>2287</v>
      </c>
      <c r="F43" s="77" t="s">
        <v>194</v>
      </c>
      <c r="G43" s="79" t="s">
        <v>159</v>
      </c>
      <c r="H43" s="222">
        <v>15</v>
      </c>
      <c r="I43" s="442" t="s">
        <v>146</v>
      </c>
      <c r="J43" s="224">
        <f t="shared" si="0"/>
        <v>19.650000000000002</v>
      </c>
      <c r="K43" s="438">
        <v>42421.801388888889</v>
      </c>
      <c r="L43" s="438">
        <v>42421.818055555559</v>
      </c>
      <c r="M43" s="225">
        <f t="shared" si="1"/>
        <v>0.40000000008149073</v>
      </c>
      <c r="N43" s="226">
        <f t="shared" si="2"/>
        <v>24</v>
      </c>
      <c r="O43" s="227" t="s">
        <v>138</v>
      </c>
      <c r="P43" s="432" t="str">
        <f t="shared" si="3"/>
        <v>NO</v>
      </c>
      <c r="Q43" s="433" t="s">
        <v>140</v>
      </c>
      <c r="R43" s="432" t="s">
        <v>139</v>
      </c>
      <c r="S43" s="105">
        <f t="shared" si="4"/>
        <v>60</v>
      </c>
      <c r="T43" s="228" t="str">
        <f t="shared" si="5"/>
        <v>--</v>
      </c>
      <c r="U43" s="229" t="str">
        <f t="shared" si="6"/>
        <v>--</v>
      </c>
      <c r="V43" s="230">
        <f t="shared" si="7"/>
        <v>1179.0000000000002</v>
      </c>
      <c r="W43" s="231">
        <f t="shared" si="8"/>
        <v>471.60000000000014</v>
      </c>
      <c r="X43" s="232" t="str">
        <f t="shared" si="9"/>
        <v>--</v>
      </c>
      <c r="Y43" s="233" t="str">
        <f t="shared" si="10"/>
        <v>--</v>
      </c>
      <c r="Z43" s="234" t="str">
        <f t="shared" si="11"/>
        <v>--</v>
      </c>
      <c r="AA43" s="235" t="str">
        <f t="shared" si="12"/>
        <v>--</v>
      </c>
      <c r="AB43" s="432" t="str">
        <f t="shared" si="13"/>
        <v>SI</v>
      </c>
      <c r="AC43" s="236">
        <f t="shared" si="14"/>
        <v>1650.6000000000004</v>
      </c>
      <c r="AD43" s="159"/>
    </row>
    <row r="44" spans="2:30" s="1" customFormat="1" ht="17.100000000000001" customHeight="1" thickBot="1" x14ac:dyDescent="0.3">
      <c r="B44" s="158"/>
      <c r="C44" s="317"/>
      <c r="D44" s="317"/>
      <c r="E44" s="317"/>
      <c r="F44" s="317"/>
      <c r="G44" s="317"/>
      <c r="H44" s="317"/>
      <c r="I44" s="317"/>
      <c r="J44" s="239"/>
      <c r="K44" s="407"/>
      <c r="L44" s="407"/>
      <c r="M44" s="238"/>
      <c r="N44" s="238"/>
      <c r="O44" s="317"/>
      <c r="P44" s="317"/>
      <c r="Q44" s="317"/>
      <c r="R44" s="317"/>
      <c r="S44" s="318"/>
      <c r="T44" s="319"/>
      <c r="U44" s="320"/>
      <c r="V44" s="321"/>
      <c r="W44" s="322"/>
      <c r="X44" s="323"/>
      <c r="Y44" s="324"/>
      <c r="Z44" s="325"/>
      <c r="AA44" s="326"/>
      <c r="AB44" s="317"/>
      <c r="AC44" s="240"/>
      <c r="AD44" s="159"/>
    </row>
    <row r="45" spans="2:30" s="1" customFormat="1" ht="17.100000000000001" customHeight="1" thickTop="1" thickBot="1" x14ac:dyDescent="0.3">
      <c r="B45" s="158"/>
      <c r="C45" s="113" t="s">
        <v>67</v>
      </c>
      <c r="D45" s="443" t="s">
        <v>250</v>
      </c>
      <c r="E45" s="129"/>
      <c r="F45" s="11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41">
        <f>SUM(T20:T44)</f>
        <v>1165.2450000000003</v>
      </c>
      <c r="U45" s="242">
        <f>SUM(U20:U44)</f>
        <v>1225.4997600000002</v>
      </c>
      <c r="V45" s="243">
        <f>SUM(V20:V44)</f>
        <v>3537.0000000000009</v>
      </c>
      <c r="W45" s="244">
        <f>SUM(W22:W44)</f>
        <v>2416.9500000000007</v>
      </c>
      <c r="X45" s="245">
        <f>SUM(X20:X44)</f>
        <v>1414.8000000000002</v>
      </c>
      <c r="Y45" s="245">
        <f>SUM(Y22:Y44)</f>
        <v>1740.2040000000002</v>
      </c>
      <c r="Z45" s="246">
        <f>SUM(Z20:Z44)</f>
        <v>21442.473000000002</v>
      </c>
      <c r="AA45" s="247">
        <f>SUM(AA22:AA44)</f>
        <v>912.54600000000005</v>
      </c>
      <c r="AB45" s="248"/>
      <c r="AC45" s="412">
        <f>ROUND(SUM(AC20:AC44),2)</f>
        <v>33854.720000000001</v>
      </c>
      <c r="AD45" s="159"/>
    </row>
    <row r="46" spans="2:30" s="127" customFormat="1" ht="9.75" thickTop="1" x14ac:dyDescent="0.15">
      <c r="B46" s="249"/>
      <c r="C46" s="129"/>
      <c r="D46" s="129"/>
      <c r="E46" s="129"/>
      <c r="F46" s="13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1"/>
      <c r="U46" s="251"/>
      <c r="V46" s="251"/>
      <c r="W46" s="251"/>
      <c r="X46" s="251"/>
      <c r="Y46" s="251"/>
      <c r="Z46" s="251"/>
      <c r="AA46" s="251"/>
      <c r="AB46" s="250"/>
      <c r="AC46" s="252"/>
      <c r="AD46" s="253"/>
    </row>
    <row r="47" spans="2:30" s="1" customFormat="1" ht="17.100000000000001" customHeight="1" thickBot="1" x14ac:dyDescent="0.25">
      <c r="B47" s="254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6"/>
    </row>
    <row r="48" spans="2:30" ht="17.100000000000001" customHeight="1" thickTop="1" x14ac:dyDescent="0.2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8"/>
    </row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</sheetData>
  <pageMargins left="0.39370078740157483" right="0.19685039370078741" top="0.78740157480314965" bottom="0.78740157480314965" header="0.51181102362204722" footer="0.51181102362204722"/>
  <pageSetup paperSize="9" scale="58" orientation="landscape" horizontalDpi="4294967292" r:id="rId1"/>
  <headerFooter alignWithMargins="0">
    <oddFooter>&amp;L&amp;"Times New Roman,Normal"&amp;8&amp;Z&amp;F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353" r:id="rId4" name="Button 1">
              <controlPr defaultSize="0" print="0" autoFill="0" autoPict="0" macro="[0]!Referencias_Trafos">
                <anchor moveWithCells="1" sizeWithCells="1">
                  <from>
                    <xdr:col>0</xdr:col>
                    <xdr:colOff>85725</xdr:colOff>
                    <xdr:row>44</xdr:row>
                    <xdr:rowOff>28575</xdr:rowOff>
                  </from>
                  <to>
                    <xdr:col>2</xdr:col>
                    <xdr:colOff>0</xdr:colOff>
                    <xdr:row>45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>
    <pageSetUpPr fitToPage="1"/>
  </sheetPr>
  <dimension ref="A1:AD62"/>
  <sheetViews>
    <sheetView topLeftCell="C7" zoomScale="80" zoomScaleNormal="80" workbookViewId="0">
      <selection activeCell="A39" sqref="A39"/>
    </sheetView>
  </sheetViews>
  <sheetFormatPr baseColWidth="10" defaultRowHeight="12.75" x14ac:dyDescent="0.2"/>
  <cols>
    <col min="1" max="1" width="17" style="5" customWidth="1"/>
    <col min="2" max="2" width="4.140625" style="5" customWidth="1"/>
    <col min="3" max="3" width="5.4257812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515625" style="5" customWidth="1"/>
    <col min="9" max="9" width="12" style="5" customWidth="1"/>
    <col min="10" max="10" width="6.85546875" style="5" hidden="1" customWidth="1"/>
    <col min="11" max="12" width="16.140625" style="5" customWidth="1"/>
    <col min="13" max="15" width="9.7109375" style="5" customWidth="1"/>
    <col min="16" max="18" width="7.7109375" style="5" customWidth="1"/>
    <col min="19" max="19" width="11.7109375" style="5" hidden="1" customWidth="1"/>
    <col min="20" max="21" width="12.5703125" style="5" hidden="1" customWidth="1"/>
    <col min="22" max="25" width="8.140625" style="5" hidden="1" customWidth="1"/>
    <col min="26" max="27" width="12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578125" style="5"/>
  </cols>
  <sheetData>
    <row r="1" spans="1:30" s="3" customFormat="1" ht="32.25" customHeight="1" x14ac:dyDescent="0.4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314"/>
    </row>
    <row r="2" spans="1:30" s="3" customFormat="1" ht="26.25" x14ac:dyDescent="0.4">
      <c r="B2" s="16" t="str">
        <f>'TOT-0216'!B2</f>
        <v>ANEXO III al Memorándum D.T.E.E. N°   243 / 2017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1:30" s="1" customFormat="1" ht="12" customHeight="1" x14ac:dyDescent="0.2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9" customFormat="1" ht="11.25" x14ac:dyDescent="0.2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s="9" customFormat="1" ht="11.25" x14ac:dyDescent="0.2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1:30" s="1" customFormat="1" ht="17.100000000000001" customHeight="1" thickBot="1" x14ac:dyDescent="0.25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1:30" s="1" customFormat="1" ht="17.100000000000001" customHeight="1" thickTop="1" x14ac:dyDescent="0.2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</row>
    <row r="8" spans="1:30" s="22" customFormat="1" ht="20.25" x14ac:dyDescent="0.3">
      <c r="B8" s="153"/>
      <c r="C8" s="154"/>
      <c r="D8" s="154"/>
      <c r="E8" s="154"/>
      <c r="F8" s="155" t="s">
        <v>5</v>
      </c>
      <c r="H8" s="154"/>
      <c r="I8" s="156"/>
      <c r="J8" s="156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7"/>
    </row>
    <row r="9" spans="1:30" s="1" customFormat="1" ht="17.100000000000001" customHeight="1" x14ac:dyDescent="0.2">
      <c r="B9" s="158"/>
      <c r="C9" s="2"/>
      <c r="D9" s="2"/>
      <c r="E9" s="2"/>
      <c r="F9" s="2"/>
      <c r="G9" s="2"/>
      <c r="H9" s="2"/>
      <c r="I9" s="1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9"/>
    </row>
    <row r="10" spans="1:30" s="22" customFormat="1" ht="20.25" x14ac:dyDescent="0.3">
      <c r="B10" s="153"/>
      <c r="C10" s="154"/>
      <c r="D10" s="154"/>
      <c r="E10" s="154"/>
      <c r="F10" s="155" t="s">
        <v>31</v>
      </c>
      <c r="G10" s="154"/>
      <c r="H10" s="154"/>
      <c r="I10" s="156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7"/>
    </row>
    <row r="11" spans="1:30" s="1" customFormat="1" ht="17.100000000000001" customHeight="1" x14ac:dyDescent="0.2">
      <c r="B11" s="158"/>
      <c r="C11" s="2"/>
      <c r="D11" s="2"/>
      <c r="E11" s="2"/>
      <c r="F11" s="160"/>
      <c r="G11" s="2"/>
      <c r="H11" s="2"/>
      <c r="I11" s="1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9"/>
    </row>
    <row r="12" spans="1:30" s="22" customFormat="1" ht="20.25" x14ac:dyDescent="0.3">
      <c r="B12" s="153"/>
      <c r="C12" s="154"/>
      <c r="D12" s="154"/>
      <c r="E12" s="154"/>
      <c r="F12" s="161" t="s">
        <v>32</v>
      </c>
      <c r="G12" s="155"/>
      <c r="H12" s="156"/>
      <c r="I12" s="156"/>
      <c r="J12" s="162"/>
      <c r="K12" s="154"/>
      <c r="L12" s="156"/>
      <c r="M12" s="15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7"/>
    </row>
    <row r="13" spans="1:30" s="1" customFormat="1" ht="17.100000000000001" customHeight="1" x14ac:dyDescent="0.2">
      <c r="B13" s="158"/>
      <c r="C13" s="2"/>
      <c r="D13" s="2"/>
      <c r="E13" s="2"/>
      <c r="F13" s="163"/>
      <c r="G13" s="163"/>
      <c r="H13" s="163"/>
      <c r="I13" s="164"/>
      <c r="J13" s="16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9"/>
    </row>
    <row r="14" spans="1:30" s="10" customFormat="1" ht="19.5" x14ac:dyDescent="0.35">
      <c r="B14" s="166" t="str">
        <f>'TOT-0216'!B14</f>
        <v>Desde el 01 al 29 de Febrero de 2016</v>
      </c>
      <c r="C14" s="28"/>
      <c r="D14" s="28"/>
      <c r="E14" s="28"/>
      <c r="F14" s="167"/>
      <c r="G14" s="167"/>
      <c r="H14" s="167"/>
      <c r="I14" s="167"/>
      <c r="J14" s="167"/>
      <c r="K14" s="29"/>
      <c r="L14" s="29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</row>
    <row r="15" spans="1:30" s="1" customFormat="1" ht="17.100000000000001" customHeight="1" thickBot="1" x14ac:dyDescent="0.3">
      <c r="B15" s="158"/>
      <c r="C15" s="2"/>
      <c r="D15" s="2"/>
      <c r="E15" s="2"/>
      <c r="F15" s="2"/>
      <c r="G15" s="2"/>
      <c r="H15" s="2"/>
      <c r="I15" s="169"/>
      <c r="J15" s="2"/>
      <c r="K15" s="17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9"/>
    </row>
    <row r="16" spans="1:30" s="1" customFormat="1" ht="17.100000000000001" customHeight="1" thickTop="1" thickBot="1" x14ac:dyDescent="0.25">
      <c r="B16" s="158"/>
      <c r="C16" s="2"/>
      <c r="D16" s="2"/>
      <c r="E16" s="2"/>
      <c r="F16" s="171" t="s">
        <v>33</v>
      </c>
      <c r="G16" s="172"/>
      <c r="H16" s="173"/>
      <c r="I16" s="315">
        <v>1.31</v>
      </c>
      <c r="J16" s="14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9"/>
    </row>
    <row r="17" spans="2:30" s="1" customFormat="1" ht="17.100000000000001" customHeight="1" thickTop="1" thickBot="1" x14ac:dyDescent="0.25">
      <c r="B17" s="158"/>
      <c r="C17" s="2"/>
      <c r="D17" s="2"/>
      <c r="E17" s="2"/>
      <c r="F17" s="174" t="s">
        <v>34</v>
      </c>
      <c r="G17" s="175"/>
      <c r="H17" s="175"/>
      <c r="I17" s="176">
        <f>60*'TOT-0216'!B13</f>
        <v>60</v>
      </c>
      <c r="J17" s="177"/>
      <c r="K17" s="177" t="str">
        <f>IF(I17=60," ",IF(I17=120,"    Coeficiente duplicado por tasa de falla &gt;4 Sal. x año/100 km.","    REVISAR COEFICIENTE"))</f>
        <v xml:space="preserve"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8"/>
      <c r="X17" s="2"/>
      <c r="Y17" s="178"/>
      <c r="Z17" s="178"/>
      <c r="AA17" s="178"/>
      <c r="AB17" s="178"/>
      <c r="AC17" s="178"/>
      <c r="AD17" s="159"/>
    </row>
    <row r="18" spans="2:30" s="1" customFormat="1" ht="17.100000000000001" customHeight="1" thickTop="1" thickBot="1" x14ac:dyDescent="0.25">
      <c r="B18" s="158"/>
      <c r="C18" s="431">
        <v>3</v>
      </c>
      <c r="D18" s="431">
        <v>4</v>
      </c>
      <c r="E18" s="431">
        <v>5</v>
      </c>
      <c r="F18" s="431">
        <v>6</v>
      </c>
      <c r="G18" s="431">
        <v>7</v>
      </c>
      <c r="H18" s="431">
        <v>8</v>
      </c>
      <c r="I18" s="431">
        <v>9</v>
      </c>
      <c r="J18" s="431">
        <v>10</v>
      </c>
      <c r="K18" s="431">
        <v>11</v>
      </c>
      <c r="L18" s="431">
        <v>12</v>
      </c>
      <c r="M18" s="431">
        <v>13</v>
      </c>
      <c r="N18" s="431">
        <v>14</v>
      </c>
      <c r="O18" s="431">
        <v>15</v>
      </c>
      <c r="P18" s="431">
        <v>16</v>
      </c>
      <c r="Q18" s="431">
        <v>17</v>
      </c>
      <c r="R18" s="431">
        <v>18</v>
      </c>
      <c r="S18" s="431">
        <v>19</v>
      </c>
      <c r="T18" s="431">
        <v>20</v>
      </c>
      <c r="U18" s="431">
        <v>21</v>
      </c>
      <c r="V18" s="431">
        <v>22</v>
      </c>
      <c r="W18" s="431">
        <v>23</v>
      </c>
      <c r="X18" s="431">
        <v>24</v>
      </c>
      <c r="Y18" s="431">
        <v>25</v>
      </c>
      <c r="Z18" s="431">
        <v>26</v>
      </c>
      <c r="AA18" s="431">
        <v>27</v>
      </c>
      <c r="AB18" s="431">
        <v>28</v>
      </c>
      <c r="AC18" s="431">
        <v>29</v>
      </c>
      <c r="AD18" s="159"/>
    </row>
    <row r="19" spans="2:30" s="179" customFormat="1" ht="35.1" customHeight="1" thickTop="1" thickBot="1" x14ac:dyDescent="0.25">
      <c r="B19" s="180"/>
      <c r="C19" s="415" t="s">
        <v>13</v>
      </c>
      <c r="D19" s="415" t="s">
        <v>78</v>
      </c>
      <c r="E19" s="415" t="s">
        <v>79</v>
      </c>
      <c r="F19" s="181" t="s">
        <v>35</v>
      </c>
      <c r="G19" s="182" t="s">
        <v>36</v>
      </c>
      <c r="H19" s="183" t="s">
        <v>37</v>
      </c>
      <c r="I19" s="184" t="s">
        <v>14</v>
      </c>
      <c r="J19" s="185" t="s">
        <v>16</v>
      </c>
      <c r="K19" s="182" t="s">
        <v>17</v>
      </c>
      <c r="L19" s="182" t="s">
        <v>18</v>
      </c>
      <c r="M19" s="181" t="s">
        <v>38</v>
      </c>
      <c r="N19" s="181" t="s">
        <v>39</v>
      </c>
      <c r="O19" s="48" t="s">
        <v>66</v>
      </c>
      <c r="P19" s="182" t="s">
        <v>40</v>
      </c>
      <c r="Q19" s="181" t="s">
        <v>21</v>
      </c>
      <c r="R19" s="182" t="s">
        <v>41</v>
      </c>
      <c r="S19" s="186" t="s">
        <v>42</v>
      </c>
      <c r="T19" s="187" t="s">
        <v>23</v>
      </c>
      <c r="U19" s="188" t="s">
        <v>24</v>
      </c>
      <c r="V19" s="189" t="s">
        <v>43</v>
      </c>
      <c r="W19" s="190"/>
      <c r="X19" s="191" t="s">
        <v>44</v>
      </c>
      <c r="Y19" s="192"/>
      <c r="Z19" s="193" t="s">
        <v>27</v>
      </c>
      <c r="AA19" s="194" t="s">
        <v>28</v>
      </c>
      <c r="AB19" s="184" t="s">
        <v>45</v>
      </c>
      <c r="AC19" s="184" t="s">
        <v>30</v>
      </c>
      <c r="AD19" s="195"/>
    </row>
    <row r="20" spans="2:30" s="1" customFormat="1" ht="17.100000000000001" customHeight="1" thickTop="1" x14ac:dyDescent="0.25">
      <c r="B20" s="158"/>
      <c r="C20" s="196"/>
      <c r="D20" s="196"/>
      <c r="E20" s="196"/>
      <c r="F20" s="197"/>
      <c r="G20" s="198"/>
      <c r="H20" s="198"/>
      <c r="I20" s="198"/>
      <c r="J20" s="199"/>
      <c r="K20" s="405"/>
      <c r="L20" s="406"/>
      <c r="M20" s="200"/>
      <c r="N20" s="200"/>
      <c r="O20" s="198"/>
      <c r="P20" s="198"/>
      <c r="Q20" s="198"/>
      <c r="R20" s="198"/>
      <c r="S20" s="74"/>
      <c r="T20" s="72"/>
      <c r="U20" s="201"/>
      <c r="V20" s="202"/>
      <c r="W20" s="203"/>
      <c r="X20" s="204"/>
      <c r="Y20" s="205"/>
      <c r="Z20" s="206"/>
      <c r="AA20" s="207"/>
      <c r="AB20" s="198"/>
      <c r="AC20" s="208">
        <f>'T-02 (1)'!AC45</f>
        <v>33854.720000000001</v>
      </c>
      <c r="AD20" s="159"/>
    </row>
    <row r="21" spans="2:30" s="1" customFormat="1" ht="17.100000000000001" customHeight="1" x14ac:dyDescent="0.25">
      <c r="B21" s="158"/>
      <c r="C21" s="209"/>
      <c r="D21" s="209"/>
      <c r="E21" s="209"/>
      <c r="F21" s="210"/>
      <c r="G21" s="211"/>
      <c r="H21" s="211"/>
      <c r="I21" s="211"/>
      <c r="J21" s="212"/>
      <c r="K21" s="438"/>
      <c r="L21" s="439"/>
      <c r="M21" s="213"/>
      <c r="N21" s="213"/>
      <c r="O21" s="211"/>
      <c r="P21" s="211"/>
      <c r="Q21" s="211"/>
      <c r="R21" s="211"/>
      <c r="S21" s="88"/>
      <c r="T21" s="86"/>
      <c r="U21" s="214"/>
      <c r="V21" s="215"/>
      <c r="W21" s="216"/>
      <c r="X21" s="217"/>
      <c r="Y21" s="218"/>
      <c r="Z21" s="219"/>
      <c r="AA21" s="220"/>
      <c r="AB21" s="211"/>
      <c r="AC21" s="221"/>
      <c r="AD21" s="159"/>
    </row>
    <row r="22" spans="2:30" s="1" customFormat="1" ht="17.100000000000001" customHeight="1" x14ac:dyDescent="0.25">
      <c r="B22" s="158"/>
      <c r="C22" s="209">
        <v>54</v>
      </c>
      <c r="D22" s="209">
        <v>299443</v>
      </c>
      <c r="E22" s="209">
        <v>5553</v>
      </c>
      <c r="F22" s="77" t="s">
        <v>194</v>
      </c>
      <c r="G22" s="79" t="s">
        <v>195</v>
      </c>
      <c r="H22" s="222">
        <v>30</v>
      </c>
      <c r="I22" s="442" t="s">
        <v>146</v>
      </c>
      <c r="J22" s="224">
        <f t="shared" ref="J22:J42" si="0">H22*$I$16</f>
        <v>39.300000000000004</v>
      </c>
      <c r="K22" s="438">
        <v>42421.802083333336</v>
      </c>
      <c r="L22" s="438">
        <v>42422.574999999997</v>
      </c>
      <c r="M22" s="225">
        <f t="shared" ref="M22:M42" si="1">IF(F22="","",(L22-K22)*24)</f>
        <v>18.549999999871943</v>
      </c>
      <c r="N22" s="226">
        <f t="shared" ref="N22:N42" si="2">IF(F22="","",ROUND((L22-K22)*24*60,0))</f>
        <v>1113</v>
      </c>
      <c r="O22" s="227" t="s">
        <v>149</v>
      </c>
      <c r="P22" s="432" t="str">
        <f t="shared" ref="P22:P42" si="3">IF(F22="","",IF(OR(O22="P",O22="RP"),"--","NO"))</f>
        <v>NO</v>
      </c>
      <c r="Q22" s="433">
        <v>40</v>
      </c>
      <c r="R22" s="432" t="s">
        <v>183</v>
      </c>
      <c r="S22" s="105">
        <f t="shared" ref="S22:S42" si="4">$I$17*IF(OR(O22="P",O22="RP"),0.1,1)*IF(R22="SI",1,0.1)</f>
        <v>6</v>
      </c>
      <c r="T22" s="228" t="str">
        <f t="shared" ref="T22:T42" si="5">IF(O22="P",J22*S22*ROUND(N22/60,2),"--")</f>
        <v>--</v>
      </c>
      <c r="U22" s="229" t="str">
        <f t="shared" ref="U22:U42" si="6">IF(O22="RP",J22*S22*ROUND(N22/60,2)*Q22/100,"--")</f>
        <v>--</v>
      </c>
      <c r="V22" s="230" t="str">
        <f t="shared" ref="V22:V42" si="7">IF(AND(O22="F",P22="NO"),J22*S22,"--")</f>
        <v>--</v>
      </c>
      <c r="W22" s="231" t="str">
        <f t="shared" ref="W22:W42" si="8">IF(O22="F",J22*S22*ROUND(N22/60,2),"--")</f>
        <v>--</v>
      </c>
      <c r="X22" s="232">
        <f t="shared" ref="X22:X42" si="9">IF(AND(O22="R",P22="NO"),J22*S22*Q22/100,"--")</f>
        <v>94.32</v>
      </c>
      <c r="Y22" s="233">
        <f t="shared" ref="Y22:Y42" si="10">IF(O22="R",J22*S22*ROUND(N22/60,2)*Q22/100,"--")</f>
        <v>1749.636</v>
      </c>
      <c r="Z22" s="234" t="str">
        <f t="shared" ref="Z22:Z42" si="11">IF(O22="RF",J22*S22*ROUND(N22/60,2),"--")</f>
        <v>--</v>
      </c>
      <c r="AA22" s="235" t="str">
        <f t="shared" ref="AA22:AA42" si="12">IF(O22="RR",J22*S22*ROUND(N22/60,2)*Q22/100,"--")</f>
        <v>--</v>
      </c>
      <c r="AB22" s="432" t="str">
        <f t="shared" ref="AB22:AB40" si="13">IF(F22="","","SI")</f>
        <v>SI</v>
      </c>
      <c r="AC22" s="236">
        <f>IF(F22="","",SUM(T22:AA22)*IF(AB22="SI",1,2)*IF(AND(Q22&lt;&gt;"0,000",O22="RF"),Q22/100,1))</f>
        <v>1843.9559999999999</v>
      </c>
      <c r="AD22" s="237"/>
    </row>
    <row r="23" spans="2:30" s="1" customFormat="1" ht="17.100000000000001" customHeight="1" x14ac:dyDescent="0.25">
      <c r="B23" s="158"/>
      <c r="C23" s="209">
        <v>55</v>
      </c>
      <c r="D23" s="209">
        <v>299703</v>
      </c>
      <c r="E23" s="209">
        <v>2478</v>
      </c>
      <c r="F23" s="77" t="s">
        <v>154</v>
      </c>
      <c r="G23" s="79" t="s">
        <v>159</v>
      </c>
      <c r="H23" s="222">
        <v>15</v>
      </c>
      <c r="I23" s="223" t="s">
        <v>146</v>
      </c>
      <c r="J23" s="224">
        <f t="shared" si="0"/>
        <v>19.650000000000002</v>
      </c>
      <c r="K23" s="438">
        <v>42422.814583333333</v>
      </c>
      <c r="L23" s="438">
        <v>42422.864583333336</v>
      </c>
      <c r="M23" s="225">
        <f t="shared" si="1"/>
        <v>1.2000000000698492</v>
      </c>
      <c r="N23" s="226">
        <f t="shared" si="2"/>
        <v>72</v>
      </c>
      <c r="O23" s="227" t="s">
        <v>138</v>
      </c>
      <c r="P23" s="432" t="str">
        <f t="shared" si="3"/>
        <v>NO</v>
      </c>
      <c r="Q23" s="433" t="s">
        <v>140</v>
      </c>
      <c r="R23" s="432" t="s">
        <v>139</v>
      </c>
      <c r="S23" s="105">
        <f t="shared" si="4"/>
        <v>60</v>
      </c>
      <c r="T23" s="228" t="str">
        <f t="shared" si="5"/>
        <v>--</v>
      </c>
      <c r="U23" s="229" t="str">
        <f t="shared" si="6"/>
        <v>--</v>
      </c>
      <c r="V23" s="230">
        <f t="shared" si="7"/>
        <v>1179.0000000000002</v>
      </c>
      <c r="W23" s="231">
        <f t="shared" si="8"/>
        <v>1414.8000000000002</v>
      </c>
      <c r="X23" s="232" t="str">
        <f t="shared" si="9"/>
        <v>--</v>
      </c>
      <c r="Y23" s="233" t="str">
        <f t="shared" si="10"/>
        <v>--</v>
      </c>
      <c r="Z23" s="234" t="str">
        <f t="shared" si="11"/>
        <v>--</v>
      </c>
      <c r="AA23" s="235" t="str">
        <f t="shared" si="12"/>
        <v>--</v>
      </c>
      <c r="AB23" s="432" t="str">
        <f t="shared" si="13"/>
        <v>SI</v>
      </c>
      <c r="AC23" s="236">
        <f t="shared" ref="AC23:AC42" si="14">IF(F23="","",SUM(T23:AA23)*IF(AB23="SI",1,2)*IF(AND(Q23&lt;&gt;"0,000",O23="RF"),Q23/100,1))</f>
        <v>2593.8000000000002</v>
      </c>
      <c r="AD23" s="237"/>
    </row>
    <row r="24" spans="2:30" s="1" customFormat="1" ht="17.100000000000001" customHeight="1" x14ac:dyDescent="0.25">
      <c r="B24" s="158"/>
      <c r="C24" s="209" t="s">
        <v>252</v>
      </c>
      <c r="D24" s="209">
        <v>299703</v>
      </c>
      <c r="E24" s="209">
        <v>2478</v>
      </c>
      <c r="F24" s="77" t="s">
        <v>154</v>
      </c>
      <c r="G24" s="79" t="s">
        <v>159</v>
      </c>
      <c r="H24" s="222">
        <v>15</v>
      </c>
      <c r="I24" s="223" t="s">
        <v>146</v>
      </c>
      <c r="J24" s="224">
        <f t="shared" ref="J24" si="15">H24*$I$16</f>
        <v>19.650000000000002</v>
      </c>
      <c r="K24" s="438">
        <v>42422.864583333336</v>
      </c>
      <c r="L24" s="438">
        <v>42424.451388888891</v>
      </c>
      <c r="M24" s="225">
        <f t="shared" ref="M24" si="16">IF(F24="","",(L24-K24)*24)</f>
        <v>38.083333333313931</v>
      </c>
      <c r="N24" s="226">
        <f t="shared" ref="N24" si="17">IF(F24="","",ROUND((L24-K24)*24*60,0))</f>
        <v>2285</v>
      </c>
      <c r="O24" s="227" t="s">
        <v>247</v>
      </c>
      <c r="P24" s="432" t="str">
        <f t="shared" ref="P24" si="18">IF(F24="","",IF(OR(O24="P",O24="RP"),"--","NO"))</f>
        <v>NO</v>
      </c>
      <c r="Q24" s="433" t="s">
        <v>140</v>
      </c>
      <c r="R24" s="432" t="s">
        <v>183</v>
      </c>
      <c r="S24" s="105">
        <f t="shared" ref="S24" si="19">$I$17*IF(OR(O24="P",O24="RP"),0.1,1)*IF(R24="SI",1,0.1)</f>
        <v>6</v>
      </c>
      <c r="T24" s="228" t="str">
        <f t="shared" ref="T24" si="20">IF(O24="P",J24*S24*ROUND(N24/60,2),"--")</f>
        <v>--</v>
      </c>
      <c r="U24" s="229" t="str">
        <f t="shared" ref="U24" si="21">IF(O24="RP",J24*S24*ROUND(N24/60,2)*Q24/100,"--")</f>
        <v>--</v>
      </c>
      <c r="V24" s="230" t="str">
        <f t="shared" ref="V24" si="22">IF(AND(O24="F",P24="NO"),J24*S24,"--")</f>
        <v>--</v>
      </c>
      <c r="W24" s="231" t="str">
        <f t="shared" ref="W24" si="23">IF(O24="F",J24*S24*ROUND(N24/60,2),"--")</f>
        <v>--</v>
      </c>
      <c r="X24" s="232" t="str">
        <f t="shared" ref="X24" si="24">IF(AND(O24="R",P24="NO"),J24*S24*Q24/100,"--")</f>
        <v>--</v>
      </c>
      <c r="Y24" s="233" t="str">
        <f t="shared" ref="Y24" si="25">IF(O24="R",J24*S24*ROUND(N24/60,2)*Q24/100,"--")</f>
        <v>--</v>
      </c>
      <c r="Z24" s="234">
        <f t="shared" ref="Z24" si="26">IF(O24="RF",J24*S24*ROUND(N24/60,2),"--")</f>
        <v>4489.6319999999996</v>
      </c>
      <c r="AA24" s="235" t="str">
        <f t="shared" ref="AA24" si="27">IF(O24="RR",J24*S24*ROUND(N24/60,2)*Q24/100,"--")</f>
        <v>--</v>
      </c>
      <c r="AB24" s="432" t="str">
        <f t="shared" ref="AB24" si="28">IF(F24="","","SI")</f>
        <v>SI</v>
      </c>
      <c r="AC24" s="236">
        <f t="shared" ref="AC24" si="29">IF(F24="","",SUM(T24:AA24)*IF(AB24="SI",1,2)*IF(AND(Q24&lt;&gt;"0,000",O24="RF"),Q24/100,1))</f>
        <v>4489.6319999999996</v>
      </c>
      <c r="AD24" s="237"/>
    </row>
    <row r="25" spans="2:30" s="1" customFormat="1" ht="17.100000000000001" customHeight="1" x14ac:dyDescent="0.25">
      <c r="B25" s="158"/>
      <c r="C25" s="209">
        <v>56</v>
      </c>
      <c r="D25" s="209">
        <v>299708</v>
      </c>
      <c r="E25" s="209">
        <v>4832</v>
      </c>
      <c r="F25" s="77" t="s">
        <v>200</v>
      </c>
      <c r="G25" s="79" t="s">
        <v>148</v>
      </c>
      <c r="H25" s="222">
        <v>30</v>
      </c>
      <c r="I25" s="223" t="s">
        <v>146</v>
      </c>
      <c r="J25" s="224">
        <f t="shared" si="0"/>
        <v>39.300000000000004</v>
      </c>
      <c r="K25" s="438">
        <v>42423.374305555553</v>
      </c>
      <c r="L25" s="438">
        <v>42423.573611111111</v>
      </c>
      <c r="M25" s="225">
        <f t="shared" si="1"/>
        <v>4.78333333338378</v>
      </c>
      <c r="N25" s="226">
        <f t="shared" si="2"/>
        <v>287</v>
      </c>
      <c r="O25" s="227" t="s">
        <v>142</v>
      </c>
      <c r="P25" s="432" t="str">
        <f t="shared" si="3"/>
        <v>--</v>
      </c>
      <c r="Q25" s="433" t="s">
        <v>140</v>
      </c>
      <c r="R25" s="432" t="s">
        <v>183</v>
      </c>
      <c r="S25" s="105">
        <f t="shared" si="4"/>
        <v>0.60000000000000009</v>
      </c>
      <c r="T25" s="228">
        <f t="shared" si="5"/>
        <v>112.71240000000003</v>
      </c>
      <c r="U25" s="229" t="str">
        <f t="shared" si="6"/>
        <v>--</v>
      </c>
      <c r="V25" s="230" t="str">
        <f t="shared" si="7"/>
        <v>--</v>
      </c>
      <c r="W25" s="231" t="str">
        <f t="shared" si="8"/>
        <v>--</v>
      </c>
      <c r="X25" s="232" t="str">
        <f t="shared" si="9"/>
        <v>--</v>
      </c>
      <c r="Y25" s="233" t="str">
        <f t="shared" si="10"/>
        <v>--</v>
      </c>
      <c r="Z25" s="234" t="str">
        <f t="shared" si="11"/>
        <v>--</v>
      </c>
      <c r="AA25" s="235" t="str">
        <f t="shared" si="12"/>
        <v>--</v>
      </c>
      <c r="AB25" s="432" t="str">
        <f t="shared" si="13"/>
        <v>SI</v>
      </c>
      <c r="AC25" s="236">
        <f t="shared" si="14"/>
        <v>112.71240000000003</v>
      </c>
      <c r="AD25" s="159"/>
    </row>
    <row r="26" spans="2:30" s="1" customFormat="1" ht="17.100000000000001" customHeight="1" x14ac:dyDescent="0.25">
      <c r="B26" s="158"/>
      <c r="C26" s="209">
        <v>57</v>
      </c>
      <c r="D26" s="209">
        <v>299713</v>
      </c>
      <c r="E26" s="209">
        <v>2477</v>
      </c>
      <c r="F26" s="77" t="s">
        <v>154</v>
      </c>
      <c r="G26" s="79" t="s">
        <v>148</v>
      </c>
      <c r="H26" s="222">
        <v>15</v>
      </c>
      <c r="I26" s="223" t="s">
        <v>146</v>
      </c>
      <c r="J26" s="224">
        <f t="shared" si="0"/>
        <v>19.650000000000002</v>
      </c>
      <c r="K26" s="438">
        <v>42424.352777777778</v>
      </c>
      <c r="L26" s="438">
        <v>42424.563888888886</v>
      </c>
      <c r="M26" s="225">
        <f t="shared" si="1"/>
        <v>5.066666666592937</v>
      </c>
      <c r="N26" s="226">
        <f t="shared" si="2"/>
        <v>304</v>
      </c>
      <c r="O26" s="227" t="s">
        <v>142</v>
      </c>
      <c r="P26" s="432" t="str">
        <f t="shared" si="3"/>
        <v>--</v>
      </c>
      <c r="Q26" s="433" t="s">
        <v>140</v>
      </c>
      <c r="R26" s="432" t="s">
        <v>183</v>
      </c>
      <c r="S26" s="105">
        <f t="shared" si="4"/>
        <v>0.60000000000000009</v>
      </c>
      <c r="T26" s="228">
        <f t="shared" si="5"/>
        <v>59.775300000000016</v>
      </c>
      <c r="U26" s="229" t="str">
        <f t="shared" si="6"/>
        <v>--</v>
      </c>
      <c r="V26" s="230" t="str">
        <f t="shared" si="7"/>
        <v>--</v>
      </c>
      <c r="W26" s="231" t="str">
        <f t="shared" si="8"/>
        <v>--</v>
      </c>
      <c r="X26" s="232" t="str">
        <f t="shared" si="9"/>
        <v>--</v>
      </c>
      <c r="Y26" s="233" t="str">
        <f t="shared" si="10"/>
        <v>--</v>
      </c>
      <c r="Z26" s="234" t="str">
        <f t="shared" si="11"/>
        <v>--</v>
      </c>
      <c r="AA26" s="235" t="str">
        <f t="shared" si="12"/>
        <v>--</v>
      </c>
      <c r="AB26" s="432" t="str">
        <f t="shared" si="13"/>
        <v>SI</v>
      </c>
      <c r="AC26" s="236">
        <f t="shared" si="14"/>
        <v>59.775300000000016</v>
      </c>
      <c r="AD26" s="159"/>
    </row>
    <row r="27" spans="2:30" s="1" customFormat="1" ht="17.100000000000001" customHeight="1" x14ac:dyDescent="0.25">
      <c r="B27" s="158"/>
      <c r="C27" s="209">
        <v>58</v>
      </c>
      <c r="D27" s="209">
        <v>299714</v>
      </c>
      <c r="E27" s="209">
        <v>4832</v>
      </c>
      <c r="F27" s="77" t="s">
        <v>200</v>
      </c>
      <c r="G27" s="79" t="s">
        <v>148</v>
      </c>
      <c r="H27" s="222">
        <v>30</v>
      </c>
      <c r="I27" s="223" t="s">
        <v>146</v>
      </c>
      <c r="J27" s="224">
        <f t="shared" si="0"/>
        <v>39.300000000000004</v>
      </c>
      <c r="K27" s="438">
        <v>42424.352777777778</v>
      </c>
      <c r="L27" s="438">
        <v>42424.563888888886</v>
      </c>
      <c r="M27" s="225">
        <f t="shared" si="1"/>
        <v>5.066666666592937</v>
      </c>
      <c r="N27" s="226">
        <f t="shared" si="2"/>
        <v>304</v>
      </c>
      <c r="O27" s="227" t="s">
        <v>142</v>
      </c>
      <c r="P27" s="432" t="str">
        <f t="shared" si="3"/>
        <v>--</v>
      </c>
      <c r="Q27" s="433" t="s">
        <v>140</v>
      </c>
      <c r="R27" s="432" t="s">
        <v>183</v>
      </c>
      <c r="S27" s="105">
        <f t="shared" si="4"/>
        <v>0.60000000000000009</v>
      </c>
      <c r="T27" s="228">
        <f t="shared" si="5"/>
        <v>119.55060000000003</v>
      </c>
      <c r="U27" s="229" t="str">
        <f t="shared" si="6"/>
        <v>--</v>
      </c>
      <c r="V27" s="230" t="str">
        <f t="shared" si="7"/>
        <v>--</v>
      </c>
      <c r="W27" s="231" t="str">
        <f t="shared" si="8"/>
        <v>--</v>
      </c>
      <c r="X27" s="232" t="str">
        <f t="shared" si="9"/>
        <v>--</v>
      </c>
      <c r="Y27" s="233" t="str">
        <f t="shared" si="10"/>
        <v>--</v>
      </c>
      <c r="Z27" s="234" t="str">
        <f t="shared" si="11"/>
        <v>--</v>
      </c>
      <c r="AA27" s="235" t="str">
        <f t="shared" si="12"/>
        <v>--</v>
      </c>
      <c r="AB27" s="432" t="str">
        <f t="shared" si="13"/>
        <v>SI</v>
      </c>
      <c r="AC27" s="236">
        <f t="shared" si="14"/>
        <v>119.55060000000003</v>
      </c>
      <c r="AD27" s="159"/>
    </row>
    <row r="28" spans="2:30" s="1" customFormat="1" ht="17.100000000000001" customHeight="1" x14ac:dyDescent="0.25">
      <c r="B28" s="158"/>
      <c r="C28" s="209">
        <v>59</v>
      </c>
      <c r="D28" s="209">
        <v>299720</v>
      </c>
      <c r="E28" s="209">
        <v>4832</v>
      </c>
      <c r="F28" s="77" t="s">
        <v>200</v>
      </c>
      <c r="G28" s="79" t="s">
        <v>148</v>
      </c>
      <c r="H28" s="222">
        <v>30</v>
      </c>
      <c r="I28" s="223" t="s">
        <v>146</v>
      </c>
      <c r="J28" s="224">
        <f t="shared" si="0"/>
        <v>39.300000000000004</v>
      </c>
      <c r="K28" s="438">
        <v>42425.341666666667</v>
      </c>
      <c r="L28" s="438">
        <v>42425.666666666664</v>
      </c>
      <c r="M28" s="225">
        <f t="shared" si="1"/>
        <v>7.7999999999301508</v>
      </c>
      <c r="N28" s="226">
        <f t="shared" si="2"/>
        <v>468</v>
      </c>
      <c r="O28" s="227" t="s">
        <v>142</v>
      </c>
      <c r="P28" s="432" t="str">
        <f t="shared" si="3"/>
        <v>--</v>
      </c>
      <c r="Q28" s="433" t="s">
        <v>140</v>
      </c>
      <c r="R28" s="432" t="s">
        <v>183</v>
      </c>
      <c r="S28" s="105">
        <f t="shared" si="4"/>
        <v>0.60000000000000009</v>
      </c>
      <c r="T28" s="228">
        <f t="shared" si="5"/>
        <v>183.92400000000004</v>
      </c>
      <c r="U28" s="229" t="str">
        <f t="shared" si="6"/>
        <v>--</v>
      </c>
      <c r="V28" s="230" t="str">
        <f t="shared" si="7"/>
        <v>--</v>
      </c>
      <c r="W28" s="231" t="str">
        <f t="shared" si="8"/>
        <v>--</v>
      </c>
      <c r="X28" s="232" t="str">
        <f t="shared" si="9"/>
        <v>--</v>
      </c>
      <c r="Y28" s="233" t="str">
        <f t="shared" si="10"/>
        <v>--</v>
      </c>
      <c r="Z28" s="234" t="str">
        <f t="shared" si="11"/>
        <v>--</v>
      </c>
      <c r="AA28" s="235" t="str">
        <f t="shared" si="12"/>
        <v>--</v>
      </c>
      <c r="AB28" s="432" t="str">
        <f t="shared" si="13"/>
        <v>SI</v>
      </c>
      <c r="AC28" s="236">
        <f t="shared" si="14"/>
        <v>183.92400000000004</v>
      </c>
      <c r="AD28" s="159"/>
    </row>
    <row r="29" spans="2:30" s="1" customFormat="1" ht="17.100000000000001" customHeight="1" x14ac:dyDescent="0.25">
      <c r="B29" s="158"/>
      <c r="C29" s="209">
        <v>60</v>
      </c>
      <c r="D29" s="209">
        <v>299723</v>
      </c>
      <c r="E29" s="209">
        <v>4832</v>
      </c>
      <c r="F29" s="77" t="s">
        <v>200</v>
      </c>
      <c r="G29" s="79" t="s">
        <v>148</v>
      </c>
      <c r="H29" s="222">
        <v>30</v>
      </c>
      <c r="I29" s="223" t="s">
        <v>146</v>
      </c>
      <c r="J29" s="224">
        <f t="shared" si="0"/>
        <v>39.300000000000004</v>
      </c>
      <c r="K29" s="438">
        <v>42426.374305555553</v>
      </c>
      <c r="L29" s="438">
        <v>42426.564583333333</v>
      </c>
      <c r="M29" s="225">
        <f t="shared" si="1"/>
        <v>4.5666666667093523</v>
      </c>
      <c r="N29" s="226">
        <f t="shared" si="2"/>
        <v>274</v>
      </c>
      <c r="O29" s="227" t="s">
        <v>142</v>
      </c>
      <c r="P29" s="432" t="str">
        <f t="shared" si="3"/>
        <v>--</v>
      </c>
      <c r="Q29" s="433" t="s">
        <v>140</v>
      </c>
      <c r="R29" s="432" t="s">
        <v>183</v>
      </c>
      <c r="S29" s="105">
        <f t="shared" si="4"/>
        <v>0.60000000000000009</v>
      </c>
      <c r="T29" s="228">
        <f t="shared" si="5"/>
        <v>107.76060000000003</v>
      </c>
      <c r="U29" s="229" t="str">
        <f t="shared" si="6"/>
        <v>--</v>
      </c>
      <c r="V29" s="230" t="str">
        <f t="shared" si="7"/>
        <v>--</v>
      </c>
      <c r="W29" s="231" t="str">
        <f t="shared" si="8"/>
        <v>--</v>
      </c>
      <c r="X29" s="232" t="str">
        <f t="shared" si="9"/>
        <v>--</v>
      </c>
      <c r="Y29" s="233" t="str">
        <f t="shared" si="10"/>
        <v>--</v>
      </c>
      <c r="Z29" s="234" t="str">
        <f t="shared" si="11"/>
        <v>--</v>
      </c>
      <c r="AA29" s="235" t="str">
        <f t="shared" si="12"/>
        <v>--</v>
      </c>
      <c r="AB29" s="432" t="str">
        <f t="shared" si="13"/>
        <v>SI</v>
      </c>
      <c r="AC29" s="236">
        <f t="shared" si="14"/>
        <v>107.76060000000003</v>
      </c>
      <c r="AD29" s="159"/>
    </row>
    <row r="30" spans="2:30" s="1" customFormat="1" ht="17.100000000000001" customHeight="1" x14ac:dyDescent="0.25">
      <c r="B30" s="158"/>
      <c r="C30" s="209">
        <v>61</v>
      </c>
      <c r="D30" s="209">
        <v>299724</v>
      </c>
      <c r="E30" s="209">
        <v>2296</v>
      </c>
      <c r="F30" s="77" t="s">
        <v>150</v>
      </c>
      <c r="G30" s="79" t="s">
        <v>152</v>
      </c>
      <c r="H30" s="222">
        <v>30</v>
      </c>
      <c r="I30" s="442" t="s">
        <v>146</v>
      </c>
      <c r="J30" s="224">
        <f t="shared" si="0"/>
        <v>39.300000000000004</v>
      </c>
      <c r="K30" s="438">
        <v>42426.398611111108</v>
      </c>
      <c r="L30" s="438">
        <v>42426.543055555558</v>
      </c>
      <c r="M30" s="225">
        <f t="shared" si="1"/>
        <v>3.466666666790843</v>
      </c>
      <c r="N30" s="226">
        <f t="shared" si="2"/>
        <v>208</v>
      </c>
      <c r="O30" s="227" t="s">
        <v>142</v>
      </c>
      <c r="P30" s="432" t="str">
        <f t="shared" si="3"/>
        <v>--</v>
      </c>
      <c r="Q30" s="433" t="s">
        <v>140</v>
      </c>
      <c r="R30" s="432" t="s">
        <v>183</v>
      </c>
      <c r="S30" s="105">
        <f t="shared" si="4"/>
        <v>0.60000000000000009</v>
      </c>
      <c r="T30" s="228">
        <f t="shared" si="5"/>
        <v>81.822600000000023</v>
      </c>
      <c r="U30" s="229" t="str">
        <f t="shared" si="6"/>
        <v>--</v>
      </c>
      <c r="V30" s="230" t="str">
        <f t="shared" si="7"/>
        <v>--</v>
      </c>
      <c r="W30" s="231" t="str">
        <f t="shared" si="8"/>
        <v>--</v>
      </c>
      <c r="X30" s="232" t="str">
        <f t="shared" si="9"/>
        <v>--</v>
      </c>
      <c r="Y30" s="233" t="str">
        <f t="shared" si="10"/>
        <v>--</v>
      </c>
      <c r="Z30" s="234" t="str">
        <f t="shared" si="11"/>
        <v>--</v>
      </c>
      <c r="AA30" s="235" t="str">
        <f t="shared" si="12"/>
        <v>--</v>
      </c>
      <c r="AB30" s="432" t="str">
        <f t="shared" si="13"/>
        <v>SI</v>
      </c>
      <c r="AC30" s="236">
        <f t="shared" si="14"/>
        <v>81.822600000000023</v>
      </c>
      <c r="AD30" s="159"/>
    </row>
    <row r="31" spans="2:30" s="1" customFormat="1" ht="17.100000000000001" customHeight="1" x14ac:dyDescent="0.25">
      <c r="B31" s="158"/>
      <c r="C31" s="209">
        <v>62</v>
      </c>
      <c r="D31" s="209">
        <v>299725</v>
      </c>
      <c r="E31" s="209">
        <v>2431</v>
      </c>
      <c r="F31" s="77" t="s">
        <v>158</v>
      </c>
      <c r="G31" s="79" t="s">
        <v>188</v>
      </c>
      <c r="H31" s="222">
        <v>40</v>
      </c>
      <c r="I31" s="223" t="s">
        <v>201</v>
      </c>
      <c r="J31" s="224">
        <f t="shared" si="0"/>
        <v>52.400000000000006</v>
      </c>
      <c r="K31" s="438">
        <v>42427.611805555556</v>
      </c>
      <c r="L31" s="438">
        <v>42427.807638888888</v>
      </c>
      <c r="M31" s="225">
        <f t="shared" si="1"/>
        <v>4.6999999999534339</v>
      </c>
      <c r="N31" s="226">
        <f t="shared" si="2"/>
        <v>282</v>
      </c>
      <c r="O31" s="227" t="s">
        <v>138</v>
      </c>
      <c r="P31" s="432" t="str">
        <f t="shared" si="3"/>
        <v>NO</v>
      </c>
      <c r="Q31" s="433" t="s">
        <v>140</v>
      </c>
      <c r="R31" s="432" t="s">
        <v>183</v>
      </c>
      <c r="S31" s="105">
        <f t="shared" ref="S31:S38" si="30">$I$17*IF(OR(O31="P",O31="RP"),0.1,1)*IF(R31="SI",1,0.1)</f>
        <v>6</v>
      </c>
      <c r="T31" s="228" t="str">
        <f t="shared" ref="T31:T38" si="31">IF(O31="P",J31*S31*ROUND(N31/60,2),"--")</f>
        <v>--</v>
      </c>
      <c r="U31" s="229" t="str">
        <f t="shared" ref="U31:U38" si="32">IF(O31="RP",J31*S31*ROUND(N31/60,2)*Q31/100,"--")</f>
        <v>--</v>
      </c>
      <c r="V31" s="230">
        <f t="shared" ref="V31:V38" si="33">IF(AND(O31="F",P31="NO"),J31*S31,"--")</f>
        <v>314.40000000000003</v>
      </c>
      <c r="W31" s="231">
        <f t="shared" ref="W31:W38" si="34">IF(O31="F",J31*S31*ROUND(N31/60,2),"--")</f>
        <v>1477.6800000000003</v>
      </c>
      <c r="X31" s="232" t="str">
        <f t="shared" ref="X31:X38" si="35">IF(AND(O31="R",P31="NO"),J31*S31*Q31/100,"--")</f>
        <v>--</v>
      </c>
      <c r="Y31" s="233" t="str">
        <f t="shared" ref="Y31:Y38" si="36">IF(O31="R",J31*S31*ROUND(N31/60,2)*Q31/100,"--")</f>
        <v>--</v>
      </c>
      <c r="Z31" s="234" t="str">
        <f t="shared" ref="Z31:Z38" si="37">IF(O31="RF",J31*S31*ROUND(N31/60,2),"--")</f>
        <v>--</v>
      </c>
      <c r="AA31" s="235" t="str">
        <f t="shared" ref="AA31:AA38" si="38">IF(O31="RR",J31*S31*ROUND(N31/60,2)*Q31/100,"--")</f>
        <v>--</v>
      </c>
      <c r="AB31" s="432" t="str">
        <f t="shared" si="13"/>
        <v>SI</v>
      </c>
      <c r="AC31" s="236">
        <f t="shared" si="14"/>
        <v>1792.0800000000004</v>
      </c>
      <c r="AD31" s="159"/>
    </row>
    <row r="32" spans="2:30" s="1" customFormat="1" ht="17.100000000000001" customHeight="1" x14ac:dyDescent="0.25">
      <c r="B32" s="158"/>
      <c r="C32" s="209">
        <v>63</v>
      </c>
      <c r="D32" s="209">
        <v>299727</v>
      </c>
      <c r="E32" s="209">
        <v>2608</v>
      </c>
      <c r="F32" s="77" t="s">
        <v>202</v>
      </c>
      <c r="G32" s="79" t="s">
        <v>159</v>
      </c>
      <c r="H32" s="222">
        <v>30</v>
      </c>
      <c r="I32" s="223" t="s">
        <v>146</v>
      </c>
      <c r="J32" s="224">
        <f t="shared" si="0"/>
        <v>39.300000000000004</v>
      </c>
      <c r="K32" s="438">
        <v>42428.349305555559</v>
      </c>
      <c r="L32" s="438">
        <v>42428.722916666666</v>
      </c>
      <c r="M32" s="225">
        <f t="shared" si="1"/>
        <v>8.9666666665580124</v>
      </c>
      <c r="N32" s="226">
        <f t="shared" si="2"/>
        <v>538</v>
      </c>
      <c r="O32" s="227" t="s">
        <v>142</v>
      </c>
      <c r="P32" s="432" t="str">
        <f t="shared" si="3"/>
        <v>--</v>
      </c>
      <c r="Q32" s="433" t="s">
        <v>140</v>
      </c>
      <c r="R32" s="432" t="s">
        <v>183</v>
      </c>
      <c r="S32" s="105">
        <f t="shared" si="30"/>
        <v>0.60000000000000009</v>
      </c>
      <c r="T32" s="228">
        <f t="shared" si="31"/>
        <v>211.51260000000008</v>
      </c>
      <c r="U32" s="229" t="str">
        <f t="shared" si="32"/>
        <v>--</v>
      </c>
      <c r="V32" s="230" t="str">
        <f t="shared" si="33"/>
        <v>--</v>
      </c>
      <c r="W32" s="231" t="str">
        <f t="shared" si="34"/>
        <v>--</v>
      </c>
      <c r="X32" s="232" t="str">
        <f t="shared" si="35"/>
        <v>--</v>
      </c>
      <c r="Y32" s="233" t="str">
        <f t="shared" si="36"/>
        <v>--</v>
      </c>
      <c r="Z32" s="234" t="str">
        <f t="shared" si="37"/>
        <v>--</v>
      </c>
      <c r="AA32" s="235" t="str">
        <f t="shared" si="38"/>
        <v>--</v>
      </c>
      <c r="AB32" s="432" t="str">
        <f t="shared" si="13"/>
        <v>SI</v>
      </c>
      <c r="AC32" s="236">
        <f t="shared" si="14"/>
        <v>211.51260000000008</v>
      </c>
      <c r="AD32" s="159"/>
    </row>
    <row r="33" spans="2:30" s="1" customFormat="1" ht="17.100000000000001" customHeight="1" x14ac:dyDescent="0.25">
      <c r="B33" s="158"/>
      <c r="C33" s="209">
        <v>64</v>
      </c>
      <c r="D33" s="209">
        <v>299729</v>
      </c>
      <c r="E33" s="209">
        <v>2296</v>
      </c>
      <c r="F33" s="77" t="s">
        <v>150</v>
      </c>
      <c r="G33" s="79" t="s">
        <v>152</v>
      </c>
      <c r="H33" s="222">
        <v>30</v>
      </c>
      <c r="I33" s="442" t="s">
        <v>146</v>
      </c>
      <c r="J33" s="224">
        <f t="shared" si="0"/>
        <v>39.300000000000004</v>
      </c>
      <c r="K33" s="438">
        <v>42429.379166666666</v>
      </c>
      <c r="L33" s="438">
        <v>42429.613888888889</v>
      </c>
      <c r="M33" s="225">
        <f t="shared" si="1"/>
        <v>5.6333333333604969</v>
      </c>
      <c r="N33" s="226">
        <f t="shared" si="2"/>
        <v>338</v>
      </c>
      <c r="O33" s="227" t="s">
        <v>142</v>
      </c>
      <c r="P33" s="432" t="str">
        <f t="shared" si="3"/>
        <v>--</v>
      </c>
      <c r="Q33" s="433" t="s">
        <v>140</v>
      </c>
      <c r="R33" s="432" t="s">
        <v>183</v>
      </c>
      <c r="S33" s="105">
        <f t="shared" si="30"/>
        <v>0.60000000000000009</v>
      </c>
      <c r="T33" s="228">
        <f t="shared" si="31"/>
        <v>132.75540000000004</v>
      </c>
      <c r="U33" s="229" t="str">
        <f t="shared" si="32"/>
        <v>--</v>
      </c>
      <c r="V33" s="230" t="str">
        <f t="shared" si="33"/>
        <v>--</v>
      </c>
      <c r="W33" s="231" t="str">
        <f t="shared" si="34"/>
        <v>--</v>
      </c>
      <c r="X33" s="232" t="str">
        <f t="shared" si="35"/>
        <v>--</v>
      </c>
      <c r="Y33" s="233" t="str">
        <f t="shared" si="36"/>
        <v>--</v>
      </c>
      <c r="Z33" s="234" t="str">
        <f t="shared" si="37"/>
        <v>--</v>
      </c>
      <c r="AA33" s="235" t="str">
        <f t="shared" si="38"/>
        <v>--</v>
      </c>
      <c r="AB33" s="432" t="str">
        <f t="shared" si="13"/>
        <v>SI</v>
      </c>
      <c r="AC33" s="236">
        <f t="shared" si="14"/>
        <v>132.75540000000004</v>
      </c>
      <c r="AD33" s="159"/>
    </row>
    <row r="34" spans="2:30" s="1" customFormat="1" ht="17.100000000000001" customHeight="1" x14ac:dyDescent="0.25">
      <c r="B34" s="158"/>
      <c r="C34" s="209"/>
      <c r="D34" s="209"/>
      <c r="E34" s="209"/>
      <c r="F34" s="77"/>
      <c r="G34" s="79"/>
      <c r="H34" s="222"/>
      <c r="I34" s="223"/>
      <c r="J34" s="224">
        <f t="shared" si="0"/>
        <v>0</v>
      </c>
      <c r="K34" s="438"/>
      <c r="L34" s="438"/>
      <c r="M34" s="225" t="str">
        <f t="shared" si="1"/>
        <v/>
      </c>
      <c r="N34" s="226" t="str">
        <f t="shared" si="2"/>
        <v/>
      </c>
      <c r="O34" s="227"/>
      <c r="P34" s="432" t="str">
        <f t="shared" si="3"/>
        <v/>
      </c>
      <c r="Q34" s="433" t="str">
        <f t="shared" ref="Q34:Q42" si="39">IF(F34="","","--")</f>
        <v/>
      </c>
      <c r="R34" s="432" t="str">
        <f t="shared" ref="R34:R38" si="40">IF(F34="","","NO")</f>
        <v/>
      </c>
      <c r="S34" s="105">
        <f t="shared" si="30"/>
        <v>6</v>
      </c>
      <c r="T34" s="228" t="str">
        <f t="shared" si="31"/>
        <v>--</v>
      </c>
      <c r="U34" s="229" t="str">
        <f t="shared" si="32"/>
        <v>--</v>
      </c>
      <c r="V34" s="230" t="str">
        <f t="shared" si="33"/>
        <v>--</v>
      </c>
      <c r="W34" s="231" t="str">
        <f t="shared" si="34"/>
        <v>--</v>
      </c>
      <c r="X34" s="232" t="str">
        <f t="shared" si="35"/>
        <v>--</v>
      </c>
      <c r="Y34" s="233" t="str">
        <f t="shared" si="36"/>
        <v>--</v>
      </c>
      <c r="Z34" s="234" t="str">
        <f t="shared" si="37"/>
        <v>--</v>
      </c>
      <c r="AA34" s="235" t="str">
        <f t="shared" si="38"/>
        <v>--</v>
      </c>
      <c r="AB34" s="432" t="str">
        <f t="shared" si="13"/>
        <v/>
      </c>
      <c r="AC34" s="236" t="str">
        <f t="shared" si="14"/>
        <v/>
      </c>
      <c r="AD34" s="159"/>
    </row>
    <row r="35" spans="2:30" s="1" customFormat="1" ht="17.100000000000001" customHeight="1" x14ac:dyDescent="0.25">
      <c r="B35" s="158"/>
      <c r="C35" s="209"/>
      <c r="D35" s="209"/>
      <c r="E35" s="209"/>
      <c r="F35" s="77"/>
      <c r="G35" s="79"/>
      <c r="H35" s="222"/>
      <c r="I35" s="223"/>
      <c r="J35" s="224">
        <f t="shared" si="0"/>
        <v>0</v>
      </c>
      <c r="K35" s="438"/>
      <c r="L35" s="438"/>
      <c r="M35" s="225" t="str">
        <f t="shared" si="1"/>
        <v/>
      </c>
      <c r="N35" s="226" t="str">
        <f t="shared" si="2"/>
        <v/>
      </c>
      <c r="O35" s="227"/>
      <c r="P35" s="432" t="str">
        <f t="shared" si="3"/>
        <v/>
      </c>
      <c r="Q35" s="433" t="str">
        <f t="shared" si="39"/>
        <v/>
      </c>
      <c r="R35" s="432" t="str">
        <f t="shared" si="40"/>
        <v/>
      </c>
      <c r="S35" s="105">
        <f t="shared" si="30"/>
        <v>6</v>
      </c>
      <c r="T35" s="228" t="str">
        <f t="shared" si="31"/>
        <v>--</v>
      </c>
      <c r="U35" s="229" t="str">
        <f t="shared" si="32"/>
        <v>--</v>
      </c>
      <c r="V35" s="230" t="str">
        <f t="shared" si="33"/>
        <v>--</v>
      </c>
      <c r="W35" s="231" t="str">
        <f t="shared" si="34"/>
        <v>--</v>
      </c>
      <c r="X35" s="232" t="str">
        <f t="shared" si="35"/>
        <v>--</v>
      </c>
      <c r="Y35" s="233" t="str">
        <f t="shared" si="36"/>
        <v>--</v>
      </c>
      <c r="Z35" s="234" t="str">
        <f t="shared" si="37"/>
        <v>--</v>
      </c>
      <c r="AA35" s="235" t="str">
        <f t="shared" si="38"/>
        <v>--</v>
      </c>
      <c r="AB35" s="432" t="str">
        <f t="shared" si="13"/>
        <v/>
      </c>
      <c r="AC35" s="236" t="str">
        <f t="shared" si="14"/>
        <v/>
      </c>
      <c r="AD35" s="159"/>
    </row>
    <row r="36" spans="2:30" s="1" customFormat="1" ht="17.100000000000001" customHeight="1" x14ac:dyDescent="0.25">
      <c r="B36" s="158"/>
      <c r="C36" s="209"/>
      <c r="D36" s="209"/>
      <c r="E36" s="209"/>
      <c r="F36" s="77"/>
      <c r="G36" s="79"/>
      <c r="H36" s="222"/>
      <c r="I36" s="223"/>
      <c r="J36" s="224">
        <f t="shared" si="0"/>
        <v>0</v>
      </c>
      <c r="K36" s="438"/>
      <c r="L36" s="438"/>
      <c r="M36" s="225" t="str">
        <f t="shared" si="1"/>
        <v/>
      </c>
      <c r="N36" s="226" t="str">
        <f t="shared" si="2"/>
        <v/>
      </c>
      <c r="O36" s="227"/>
      <c r="P36" s="432" t="str">
        <f t="shared" si="3"/>
        <v/>
      </c>
      <c r="Q36" s="433" t="str">
        <f t="shared" si="39"/>
        <v/>
      </c>
      <c r="R36" s="432" t="str">
        <f t="shared" si="40"/>
        <v/>
      </c>
      <c r="S36" s="105">
        <f t="shared" si="30"/>
        <v>6</v>
      </c>
      <c r="T36" s="228" t="str">
        <f t="shared" si="31"/>
        <v>--</v>
      </c>
      <c r="U36" s="229" t="str">
        <f t="shared" si="32"/>
        <v>--</v>
      </c>
      <c r="V36" s="230" t="str">
        <f t="shared" si="33"/>
        <v>--</v>
      </c>
      <c r="W36" s="231" t="str">
        <f t="shared" si="34"/>
        <v>--</v>
      </c>
      <c r="X36" s="232" t="str">
        <f t="shared" si="35"/>
        <v>--</v>
      </c>
      <c r="Y36" s="233" t="str">
        <f t="shared" si="36"/>
        <v>--</v>
      </c>
      <c r="Z36" s="234" t="str">
        <f t="shared" si="37"/>
        <v>--</v>
      </c>
      <c r="AA36" s="235" t="str">
        <f t="shared" si="38"/>
        <v>--</v>
      </c>
      <c r="AB36" s="432" t="str">
        <f t="shared" si="13"/>
        <v/>
      </c>
      <c r="AC36" s="236" t="str">
        <f t="shared" si="14"/>
        <v/>
      </c>
      <c r="AD36" s="159"/>
    </row>
    <row r="37" spans="2:30" s="1" customFormat="1" ht="17.100000000000001" customHeight="1" x14ac:dyDescent="0.25">
      <c r="B37" s="158"/>
      <c r="C37" s="209"/>
      <c r="D37" s="209"/>
      <c r="E37" s="209"/>
      <c r="F37" s="77"/>
      <c r="G37" s="79"/>
      <c r="H37" s="222"/>
      <c r="I37" s="223"/>
      <c r="J37" s="224">
        <f t="shared" si="0"/>
        <v>0</v>
      </c>
      <c r="K37" s="438"/>
      <c r="L37" s="438"/>
      <c r="M37" s="225" t="str">
        <f t="shared" si="1"/>
        <v/>
      </c>
      <c r="N37" s="226" t="str">
        <f t="shared" si="2"/>
        <v/>
      </c>
      <c r="O37" s="227"/>
      <c r="P37" s="432" t="str">
        <f t="shared" si="3"/>
        <v/>
      </c>
      <c r="Q37" s="433" t="str">
        <f t="shared" si="39"/>
        <v/>
      </c>
      <c r="R37" s="432" t="str">
        <f t="shared" si="40"/>
        <v/>
      </c>
      <c r="S37" s="105">
        <f t="shared" si="30"/>
        <v>6</v>
      </c>
      <c r="T37" s="228" t="str">
        <f t="shared" si="31"/>
        <v>--</v>
      </c>
      <c r="U37" s="229" t="str">
        <f t="shared" si="32"/>
        <v>--</v>
      </c>
      <c r="V37" s="230" t="str">
        <f t="shared" si="33"/>
        <v>--</v>
      </c>
      <c r="W37" s="231" t="str">
        <f t="shared" si="34"/>
        <v>--</v>
      </c>
      <c r="X37" s="232" t="str">
        <f t="shared" si="35"/>
        <v>--</v>
      </c>
      <c r="Y37" s="233" t="str">
        <f t="shared" si="36"/>
        <v>--</v>
      </c>
      <c r="Z37" s="234" t="str">
        <f t="shared" si="37"/>
        <v>--</v>
      </c>
      <c r="AA37" s="235" t="str">
        <f t="shared" si="38"/>
        <v>--</v>
      </c>
      <c r="AB37" s="432" t="str">
        <f t="shared" si="13"/>
        <v/>
      </c>
      <c r="AC37" s="236" t="str">
        <f t="shared" si="14"/>
        <v/>
      </c>
      <c r="AD37" s="159"/>
    </row>
    <row r="38" spans="2:30" s="1" customFormat="1" ht="17.100000000000001" customHeight="1" x14ac:dyDescent="0.25">
      <c r="B38" s="158"/>
      <c r="C38" s="209"/>
      <c r="D38" s="209"/>
      <c r="E38" s="209"/>
      <c r="F38" s="77"/>
      <c r="G38" s="79"/>
      <c r="H38" s="222"/>
      <c r="I38" s="223"/>
      <c r="J38" s="224">
        <f t="shared" si="0"/>
        <v>0</v>
      </c>
      <c r="K38" s="438"/>
      <c r="L38" s="438"/>
      <c r="M38" s="225" t="str">
        <f t="shared" si="1"/>
        <v/>
      </c>
      <c r="N38" s="226" t="str">
        <f t="shared" si="2"/>
        <v/>
      </c>
      <c r="O38" s="227"/>
      <c r="P38" s="432" t="str">
        <f t="shared" si="3"/>
        <v/>
      </c>
      <c r="Q38" s="433" t="str">
        <f t="shared" si="39"/>
        <v/>
      </c>
      <c r="R38" s="432" t="str">
        <f t="shared" si="40"/>
        <v/>
      </c>
      <c r="S38" s="105">
        <f t="shared" si="30"/>
        <v>6</v>
      </c>
      <c r="T38" s="228" t="str">
        <f t="shared" si="31"/>
        <v>--</v>
      </c>
      <c r="U38" s="229" t="str">
        <f t="shared" si="32"/>
        <v>--</v>
      </c>
      <c r="V38" s="230" t="str">
        <f t="shared" si="33"/>
        <v>--</v>
      </c>
      <c r="W38" s="231" t="str">
        <f t="shared" si="34"/>
        <v>--</v>
      </c>
      <c r="X38" s="232" t="str">
        <f t="shared" si="35"/>
        <v>--</v>
      </c>
      <c r="Y38" s="233" t="str">
        <f t="shared" si="36"/>
        <v>--</v>
      </c>
      <c r="Z38" s="234" t="str">
        <f t="shared" si="37"/>
        <v>--</v>
      </c>
      <c r="AA38" s="235" t="str">
        <f t="shared" si="38"/>
        <v>--</v>
      </c>
      <c r="AB38" s="432" t="str">
        <f t="shared" si="13"/>
        <v/>
      </c>
      <c r="AC38" s="236" t="str">
        <f t="shared" si="14"/>
        <v/>
      </c>
      <c r="AD38" s="159"/>
    </row>
    <row r="39" spans="2:30" s="1" customFormat="1" ht="17.100000000000001" customHeight="1" x14ac:dyDescent="0.25">
      <c r="B39" s="158"/>
      <c r="C39" s="209"/>
      <c r="D39" s="209"/>
      <c r="E39" s="209"/>
      <c r="F39" s="77"/>
      <c r="G39" s="79"/>
      <c r="H39" s="222"/>
      <c r="I39" s="223"/>
      <c r="J39" s="224">
        <f t="shared" si="0"/>
        <v>0</v>
      </c>
      <c r="K39" s="438"/>
      <c r="L39" s="438"/>
      <c r="M39" s="225" t="str">
        <f t="shared" si="1"/>
        <v/>
      </c>
      <c r="N39" s="226" t="str">
        <f t="shared" si="2"/>
        <v/>
      </c>
      <c r="O39" s="227"/>
      <c r="P39" s="432" t="str">
        <f t="shared" si="3"/>
        <v/>
      </c>
      <c r="Q39" s="433" t="str">
        <f t="shared" si="39"/>
        <v/>
      </c>
      <c r="R39" s="432" t="str">
        <f t="shared" ref="R39:R42" si="41">IF(F39="","","NO")</f>
        <v/>
      </c>
      <c r="S39" s="105">
        <f t="shared" si="4"/>
        <v>6</v>
      </c>
      <c r="T39" s="228" t="str">
        <f t="shared" si="5"/>
        <v>--</v>
      </c>
      <c r="U39" s="229" t="str">
        <f t="shared" si="6"/>
        <v>--</v>
      </c>
      <c r="V39" s="230" t="str">
        <f t="shared" si="7"/>
        <v>--</v>
      </c>
      <c r="W39" s="231" t="str">
        <f t="shared" si="8"/>
        <v>--</v>
      </c>
      <c r="X39" s="232" t="str">
        <f t="shared" si="9"/>
        <v>--</v>
      </c>
      <c r="Y39" s="233" t="str">
        <f t="shared" si="10"/>
        <v>--</v>
      </c>
      <c r="Z39" s="234" t="str">
        <f t="shared" si="11"/>
        <v>--</v>
      </c>
      <c r="AA39" s="235" t="str">
        <f t="shared" si="12"/>
        <v>--</v>
      </c>
      <c r="AB39" s="432" t="str">
        <f t="shared" si="13"/>
        <v/>
      </c>
      <c r="AC39" s="236" t="str">
        <f t="shared" si="14"/>
        <v/>
      </c>
      <c r="AD39" s="159"/>
    </row>
    <row r="40" spans="2:30" s="1" customFormat="1" ht="17.100000000000001" customHeight="1" x14ac:dyDescent="0.25">
      <c r="B40" s="158"/>
      <c r="C40" s="209"/>
      <c r="D40" s="209"/>
      <c r="E40" s="209"/>
      <c r="F40" s="77"/>
      <c r="G40" s="79"/>
      <c r="H40" s="222"/>
      <c r="I40" s="223"/>
      <c r="J40" s="224">
        <f t="shared" si="0"/>
        <v>0</v>
      </c>
      <c r="K40" s="438"/>
      <c r="L40" s="438"/>
      <c r="M40" s="225" t="str">
        <f t="shared" si="1"/>
        <v/>
      </c>
      <c r="N40" s="226" t="str">
        <f t="shared" si="2"/>
        <v/>
      </c>
      <c r="O40" s="227"/>
      <c r="P40" s="432" t="str">
        <f t="shared" si="3"/>
        <v/>
      </c>
      <c r="Q40" s="433" t="str">
        <f t="shared" si="39"/>
        <v/>
      </c>
      <c r="R40" s="432" t="str">
        <f t="shared" si="41"/>
        <v/>
      </c>
      <c r="S40" s="105">
        <f t="shared" si="4"/>
        <v>6</v>
      </c>
      <c r="T40" s="228" t="str">
        <f t="shared" si="5"/>
        <v>--</v>
      </c>
      <c r="U40" s="229" t="str">
        <f t="shared" si="6"/>
        <v>--</v>
      </c>
      <c r="V40" s="230" t="str">
        <f t="shared" si="7"/>
        <v>--</v>
      </c>
      <c r="W40" s="231" t="str">
        <f t="shared" si="8"/>
        <v>--</v>
      </c>
      <c r="X40" s="232" t="str">
        <f t="shared" si="9"/>
        <v>--</v>
      </c>
      <c r="Y40" s="233" t="str">
        <f t="shared" si="10"/>
        <v>--</v>
      </c>
      <c r="Z40" s="234" t="str">
        <f t="shared" si="11"/>
        <v>--</v>
      </c>
      <c r="AA40" s="235" t="str">
        <f t="shared" si="12"/>
        <v>--</v>
      </c>
      <c r="AB40" s="432" t="str">
        <f t="shared" si="13"/>
        <v/>
      </c>
      <c r="AC40" s="236" t="str">
        <f t="shared" si="14"/>
        <v/>
      </c>
      <c r="AD40" s="159"/>
    </row>
    <row r="41" spans="2:30" s="1" customFormat="1" ht="17.100000000000001" customHeight="1" x14ac:dyDescent="0.25">
      <c r="B41" s="158"/>
      <c r="C41" s="209"/>
      <c r="D41" s="209"/>
      <c r="E41" s="209"/>
      <c r="F41" s="77"/>
      <c r="G41" s="79"/>
      <c r="H41" s="222"/>
      <c r="I41" s="223"/>
      <c r="J41" s="224">
        <f t="shared" si="0"/>
        <v>0</v>
      </c>
      <c r="K41" s="438"/>
      <c r="L41" s="438"/>
      <c r="M41" s="225" t="str">
        <f t="shared" si="1"/>
        <v/>
      </c>
      <c r="N41" s="226" t="str">
        <f t="shared" si="2"/>
        <v/>
      </c>
      <c r="O41" s="227"/>
      <c r="P41" s="432" t="str">
        <f t="shared" si="3"/>
        <v/>
      </c>
      <c r="Q41" s="433" t="str">
        <f t="shared" si="39"/>
        <v/>
      </c>
      <c r="R41" s="432" t="str">
        <f t="shared" si="41"/>
        <v/>
      </c>
      <c r="S41" s="105">
        <f t="shared" si="4"/>
        <v>6</v>
      </c>
      <c r="T41" s="228" t="str">
        <f t="shared" si="5"/>
        <v>--</v>
      </c>
      <c r="U41" s="229" t="str">
        <f t="shared" si="6"/>
        <v>--</v>
      </c>
      <c r="V41" s="230" t="str">
        <f t="shared" si="7"/>
        <v>--</v>
      </c>
      <c r="W41" s="231" t="str">
        <f t="shared" si="8"/>
        <v>--</v>
      </c>
      <c r="X41" s="232" t="str">
        <f t="shared" si="9"/>
        <v>--</v>
      </c>
      <c r="Y41" s="233" t="str">
        <f t="shared" si="10"/>
        <v>--</v>
      </c>
      <c r="Z41" s="234" t="str">
        <f t="shared" si="11"/>
        <v>--</v>
      </c>
      <c r="AA41" s="235" t="str">
        <f t="shared" si="12"/>
        <v>--</v>
      </c>
      <c r="AB41" s="432" t="str">
        <f t="shared" ref="AB41:AB42" si="42">IF(F41="","","SI")</f>
        <v/>
      </c>
      <c r="AC41" s="236" t="str">
        <f t="shared" si="14"/>
        <v/>
      </c>
      <c r="AD41" s="159"/>
    </row>
    <row r="42" spans="2:30" s="1" customFormat="1" ht="17.100000000000001" customHeight="1" x14ac:dyDescent="0.25">
      <c r="B42" s="158"/>
      <c r="C42" s="209"/>
      <c r="D42" s="209"/>
      <c r="E42" s="209"/>
      <c r="F42" s="77"/>
      <c r="G42" s="79"/>
      <c r="H42" s="222"/>
      <c r="I42" s="223"/>
      <c r="J42" s="224">
        <f t="shared" si="0"/>
        <v>0</v>
      </c>
      <c r="K42" s="438"/>
      <c r="L42" s="438"/>
      <c r="M42" s="225" t="str">
        <f t="shared" si="1"/>
        <v/>
      </c>
      <c r="N42" s="226" t="str">
        <f t="shared" si="2"/>
        <v/>
      </c>
      <c r="O42" s="227"/>
      <c r="P42" s="432" t="str">
        <f t="shared" si="3"/>
        <v/>
      </c>
      <c r="Q42" s="433" t="str">
        <f t="shared" si="39"/>
        <v/>
      </c>
      <c r="R42" s="432" t="str">
        <f t="shared" si="41"/>
        <v/>
      </c>
      <c r="S42" s="105">
        <f t="shared" si="4"/>
        <v>6</v>
      </c>
      <c r="T42" s="228" t="str">
        <f t="shared" si="5"/>
        <v>--</v>
      </c>
      <c r="U42" s="229" t="str">
        <f t="shared" si="6"/>
        <v>--</v>
      </c>
      <c r="V42" s="230" t="str">
        <f t="shared" si="7"/>
        <v>--</v>
      </c>
      <c r="W42" s="231" t="str">
        <f t="shared" si="8"/>
        <v>--</v>
      </c>
      <c r="X42" s="232" t="str">
        <f t="shared" si="9"/>
        <v>--</v>
      </c>
      <c r="Y42" s="233" t="str">
        <f t="shared" si="10"/>
        <v>--</v>
      </c>
      <c r="Z42" s="234" t="str">
        <f t="shared" si="11"/>
        <v>--</v>
      </c>
      <c r="AA42" s="235" t="str">
        <f t="shared" si="12"/>
        <v>--</v>
      </c>
      <c r="AB42" s="432" t="str">
        <f t="shared" si="42"/>
        <v/>
      </c>
      <c r="AC42" s="236" t="str">
        <f t="shared" si="14"/>
        <v/>
      </c>
      <c r="AD42" s="159"/>
    </row>
    <row r="43" spans="2:30" s="1" customFormat="1" ht="17.100000000000001" customHeight="1" thickBot="1" x14ac:dyDescent="0.3">
      <c r="B43" s="158"/>
      <c r="C43" s="317"/>
      <c r="D43" s="317"/>
      <c r="E43" s="317"/>
      <c r="F43" s="317"/>
      <c r="G43" s="317"/>
      <c r="H43" s="317"/>
      <c r="I43" s="317"/>
      <c r="J43" s="239"/>
      <c r="K43" s="407"/>
      <c r="L43" s="407"/>
      <c r="M43" s="238"/>
      <c r="N43" s="238"/>
      <c r="O43" s="317"/>
      <c r="P43" s="317"/>
      <c r="Q43" s="317"/>
      <c r="R43" s="317"/>
      <c r="S43" s="318"/>
      <c r="T43" s="319"/>
      <c r="U43" s="320"/>
      <c r="V43" s="321"/>
      <c r="W43" s="322"/>
      <c r="X43" s="323"/>
      <c r="Y43" s="324"/>
      <c r="Z43" s="325"/>
      <c r="AA43" s="326"/>
      <c r="AB43" s="317"/>
      <c r="AC43" s="240"/>
      <c r="AD43" s="159"/>
    </row>
    <row r="44" spans="2:30" s="1" customFormat="1" ht="17.100000000000001" customHeight="1" thickTop="1" thickBot="1" x14ac:dyDescent="0.3">
      <c r="B44" s="158"/>
      <c r="C44" s="113" t="s">
        <v>67</v>
      </c>
      <c r="D44" s="443" t="s">
        <v>203</v>
      </c>
      <c r="E44" s="129"/>
      <c r="F44" s="11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41">
        <f>SUM(T20:T43)</f>
        <v>1009.8135000000002</v>
      </c>
      <c r="U44" s="242">
        <f>SUM(U20:U43)</f>
        <v>0</v>
      </c>
      <c r="V44" s="243">
        <f>SUM(V20:V43)</f>
        <v>1493.4000000000003</v>
      </c>
      <c r="W44" s="244">
        <f>SUM(W22:W43)</f>
        <v>2892.4800000000005</v>
      </c>
      <c r="X44" s="245">
        <f>SUM(X20:X43)</f>
        <v>94.32</v>
      </c>
      <c r="Y44" s="245">
        <f>SUM(Y22:Y43)</f>
        <v>1749.636</v>
      </c>
      <c r="Z44" s="246">
        <f>SUM(Z20:Z43)</f>
        <v>4489.6319999999996</v>
      </c>
      <c r="AA44" s="247">
        <f>SUM(AA22:AA43)</f>
        <v>0</v>
      </c>
      <c r="AB44" s="248"/>
      <c r="AC44" s="412">
        <f>ROUND(SUM(AC20:AC43),2)</f>
        <v>45584</v>
      </c>
      <c r="AD44" s="159"/>
    </row>
    <row r="45" spans="2:30" s="127" customFormat="1" ht="9.75" thickTop="1" x14ac:dyDescent="0.15">
      <c r="B45" s="249"/>
      <c r="C45" s="129"/>
      <c r="D45" s="129"/>
      <c r="E45" s="129"/>
      <c r="F45" s="13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1"/>
      <c r="U45" s="251"/>
      <c r="V45" s="251"/>
      <c r="W45" s="251"/>
      <c r="X45" s="251"/>
      <c r="Y45" s="251"/>
      <c r="Z45" s="251"/>
      <c r="AA45" s="251"/>
      <c r="AB45" s="250"/>
      <c r="AC45" s="252"/>
      <c r="AD45" s="253"/>
    </row>
    <row r="46" spans="2:30" s="1" customFormat="1" ht="17.100000000000001" customHeight="1" thickBot="1" x14ac:dyDescent="0.25">
      <c r="B46" s="254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6"/>
    </row>
    <row r="47" spans="2:30" ht="17.100000000000001" customHeight="1" thickTop="1" x14ac:dyDescent="0.2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8"/>
    </row>
    <row r="48" spans="2:30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</sheetData>
  <pageMargins left="0.39370078740157483" right="0.19685039370078741" top="0.78740157480314965" bottom="0.78740157480314965" header="0.51181102362204722" footer="0.51181102362204722"/>
  <pageSetup paperSize="9" scale="58" orientation="landscape" horizontalDpi="4294967292" r:id="rId1"/>
  <headerFooter alignWithMargins="0">
    <oddFooter>&amp;L&amp;"Times New Roman,Normal"&amp;8&amp;Z&amp;F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1377" r:id="rId4" name="Button 1">
              <controlPr defaultSize="0" print="0" autoFill="0" autoPict="0" macro="[0]!Referencias_Trafos">
                <anchor moveWithCells="1" sizeWithCells="1">
                  <from>
                    <xdr:col>0</xdr:col>
                    <xdr:colOff>85725</xdr:colOff>
                    <xdr:row>43</xdr:row>
                    <xdr:rowOff>28575</xdr:rowOff>
                  </from>
                  <to>
                    <xdr:col>2</xdr:col>
                    <xdr:colOff>0</xdr:colOff>
                    <xdr:row>44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3">
    <pageSetUpPr fitToPage="1"/>
  </sheetPr>
  <dimension ref="A1:W51"/>
  <sheetViews>
    <sheetView topLeftCell="B7" zoomScale="80" zoomScaleNormal="80" workbookViewId="0">
      <selection activeCell="A39" sqref="A39"/>
    </sheetView>
  </sheetViews>
  <sheetFormatPr baseColWidth="10" defaultRowHeight="12.75" x14ac:dyDescent="0.2"/>
  <cols>
    <col min="1" max="1" width="17.140625" style="5" customWidth="1"/>
    <col min="2" max="2" width="4.140625" style="5" customWidth="1"/>
    <col min="3" max="3" width="5.4257812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578125" style="5" hidden="1" customWidth="1"/>
    <col min="10" max="11" width="16.2851562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" style="5" hidden="1" customWidth="1"/>
    <col min="18" max="18" width="15.140625" style="5" hidden="1" customWidth="1"/>
    <col min="19" max="20" width="15.570312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546875" style="5" customWidth="1"/>
    <col min="25" max="16384" width="11.42578125" style="5"/>
  </cols>
  <sheetData>
    <row r="1" spans="1:23" s="3" customFormat="1" ht="30.75" customHeight="1" x14ac:dyDescent="0.4">
      <c r="A1" s="259"/>
      <c r="W1" s="313"/>
    </row>
    <row r="2" spans="1:23" s="3" customFormat="1" ht="26.25" x14ac:dyDescent="0.4">
      <c r="A2" s="259"/>
      <c r="B2" s="16" t="str">
        <f>'TOT-0216'!B2</f>
        <v>ANEXO III al Memorándum D.T.E.E. N°   243 / 2017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x14ac:dyDescent="0.2">
      <c r="A3" s="26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9" customFormat="1" ht="11.25" x14ac:dyDescent="0.2">
      <c r="A4" s="8" t="s">
        <v>3</v>
      </c>
      <c r="B4" s="261"/>
    </row>
    <row r="5" spans="1:23" s="9" customFormat="1" ht="11.25" x14ac:dyDescent="0.2">
      <c r="A5" s="8" t="s">
        <v>4</v>
      </c>
      <c r="B5" s="261"/>
    </row>
    <row r="6" spans="1:23" s="1" customFormat="1" ht="17.100000000000001" customHeight="1" thickBot="1" x14ac:dyDescent="0.25"/>
    <row r="7" spans="1:23" s="1" customFormat="1" ht="17.100000000000001" customHeight="1" thickTop="1" x14ac:dyDescent="0.2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1:23" s="22" customFormat="1" ht="20.25" x14ac:dyDescent="0.3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1:23" s="1" customFormat="1" ht="17.100000000000001" customHeight="1" x14ac:dyDescent="0.2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1:23" s="22" customFormat="1" ht="20.25" x14ac:dyDescent="0.3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1:23" s="1" customFormat="1" ht="17.100000000000001" customHeight="1" x14ac:dyDescent="0.2">
      <c r="B11" s="13"/>
      <c r="C11" s="7"/>
      <c r="D11" s="7"/>
      <c r="E11" s="7"/>
      <c r="F11" s="262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1:23" s="10" customFormat="1" ht="19.5" x14ac:dyDescent="0.35">
      <c r="B12" s="11" t="str">
        <f>'TOT-0216'!B14</f>
        <v>Desde el 01 al 29 de Febrero de 2016</v>
      </c>
      <c r="C12" s="263"/>
      <c r="D12" s="263"/>
      <c r="E12" s="263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1:23" s="1" customFormat="1" ht="17.100000000000001" customHeight="1" thickBot="1" x14ac:dyDescent="0.25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1:23" s="1" customFormat="1" ht="17.100000000000001" customHeight="1" thickTop="1" thickBot="1" x14ac:dyDescent="0.25">
      <c r="B14" s="13"/>
      <c r="C14" s="7"/>
      <c r="D14" s="7"/>
      <c r="E14" s="7"/>
      <c r="F14" s="264" t="s">
        <v>48</v>
      </c>
      <c r="G14" s="316">
        <v>34.93</v>
      </c>
      <c r="H14" s="266">
        <f>60*'TOT-0216'!B13</f>
        <v>60</v>
      </c>
      <c r="I14" s="34"/>
      <c r="J14" s="177" t="str">
        <f>IF(H14=60," ",IF(H14=120,"    Coeficiente duplicado por tasa de falla &gt;4 Sal. x año/100 km.","    REVISAR COEFICIENTE"))</f>
        <v xml:space="preserve"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1:23" s="1" customFormat="1" ht="17.100000000000001" customHeight="1" thickTop="1" thickBot="1" x14ac:dyDescent="0.25">
      <c r="B15" s="13"/>
      <c r="C15" s="7"/>
      <c r="D15" s="7"/>
      <c r="E15" s="7"/>
      <c r="F15" s="264" t="s">
        <v>49</v>
      </c>
      <c r="G15" s="265">
        <v>17.466000000000001</v>
      </c>
      <c r="H15" s="266">
        <f>50*'TOT-0216'!B13</f>
        <v>50</v>
      </c>
      <c r="J15" s="177" t="str">
        <f>IF(H15=50," ",IF(H15=100,"    Coeficiente duplicado por tasa de falla &gt;4 Sal. x año/100 km.","    REVISAR COEFICIENTE"))</f>
        <v xml:space="preserve"> </v>
      </c>
      <c r="S15" s="7"/>
      <c r="T15" s="7"/>
      <c r="U15" s="7"/>
      <c r="V15" s="267"/>
      <c r="W15" s="14"/>
    </row>
    <row r="16" spans="1:23" s="1" customFormat="1" ht="17.100000000000001" customHeight="1" thickTop="1" thickBot="1" x14ac:dyDescent="0.25">
      <c r="B16" s="13"/>
      <c r="C16" s="7"/>
      <c r="D16" s="7"/>
      <c r="E16" s="7"/>
      <c r="F16" s="268" t="s">
        <v>50</v>
      </c>
      <c r="G16" s="269">
        <v>13.097</v>
      </c>
      <c r="H16" s="270">
        <f>50*'TOT-0216'!B13</f>
        <v>50</v>
      </c>
      <c r="J16" s="177" t="str">
        <f>IF(H16=50," ",IF(H16=100,"    Coeficiente duplicado por tasa de falla &gt;4 Sal. x año/100 km.","    REVISAR COEFICIENTE"))</f>
        <v xml:space="preserve"> </v>
      </c>
      <c r="K16" s="271"/>
      <c r="L16" s="271"/>
      <c r="M16" s="7"/>
      <c r="P16" s="272"/>
      <c r="Q16" s="273"/>
      <c r="R16" s="15"/>
      <c r="S16" s="7"/>
      <c r="T16" s="7"/>
      <c r="U16" s="7"/>
      <c r="V16" s="267"/>
      <c r="W16" s="14"/>
    </row>
    <row r="17" spans="2:23" s="1" customFormat="1" ht="17.100000000000001" customHeight="1" thickTop="1" thickBot="1" x14ac:dyDescent="0.25">
      <c r="B17" s="13"/>
      <c r="C17" s="7"/>
      <c r="D17" s="7"/>
      <c r="E17" s="7"/>
      <c r="F17" s="274" t="s">
        <v>51</v>
      </c>
      <c r="G17" s="269">
        <v>13.097</v>
      </c>
      <c r="H17" s="275">
        <f>40*'TOT-0216'!B13</f>
        <v>40</v>
      </c>
      <c r="J17" s="177" t="str">
        <f>IF(H17=40," ",IF(H17=80,"    Coeficiente duplicado por tasa de falla &gt;4 Sal. x año/100 km.","    REVISAR COEFICIENTE"))</f>
        <v xml:space="preserve"> </v>
      </c>
      <c r="K17" s="271"/>
      <c r="L17" s="271"/>
      <c r="M17" s="7"/>
      <c r="P17" s="272"/>
      <c r="Q17" s="273"/>
      <c r="R17" s="15"/>
      <c r="S17" s="7"/>
      <c r="T17" s="7"/>
      <c r="U17" s="7"/>
      <c r="V17" s="267"/>
      <c r="W17" s="14"/>
    </row>
    <row r="18" spans="2:23" s="1" customFormat="1" ht="17.100000000000001" customHeight="1" thickTop="1" thickBot="1" x14ac:dyDescent="0.25">
      <c r="B18" s="13"/>
      <c r="C18" s="430">
        <v>3</v>
      </c>
      <c r="D18" s="430">
        <v>4</v>
      </c>
      <c r="E18" s="430">
        <v>5</v>
      </c>
      <c r="F18" s="430">
        <v>6</v>
      </c>
      <c r="G18" s="430">
        <v>7</v>
      </c>
      <c r="H18" s="430">
        <v>8</v>
      </c>
      <c r="I18" s="430">
        <v>9</v>
      </c>
      <c r="J18" s="430">
        <v>10</v>
      </c>
      <c r="K18" s="430">
        <v>11</v>
      </c>
      <c r="L18" s="430">
        <v>12</v>
      </c>
      <c r="M18" s="430">
        <v>13</v>
      </c>
      <c r="N18" s="430">
        <v>14</v>
      </c>
      <c r="O18" s="430">
        <v>15</v>
      </c>
      <c r="P18" s="430">
        <v>16</v>
      </c>
      <c r="Q18" s="430">
        <v>17</v>
      </c>
      <c r="R18" s="430">
        <v>18</v>
      </c>
      <c r="S18" s="430">
        <v>19</v>
      </c>
      <c r="T18" s="430">
        <v>20</v>
      </c>
      <c r="U18" s="430">
        <v>21</v>
      </c>
      <c r="V18" s="430">
        <v>22</v>
      </c>
      <c r="W18" s="14"/>
    </row>
    <row r="19" spans="2:23" s="276" customFormat="1" ht="35.1" customHeight="1" thickTop="1" thickBot="1" x14ac:dyDescent="0.25">
      <c r="B19" s="277"/>
      <c r="C19" s="415" t="s">
        <v>13</v>
      </c>
      <c r="D19" s="415" t="s">
        <v>78</v>
      </c>
      <c r="E19" s="415" t="s">
        <v>79</v>
      </c>
      <c r="F19" s="181" t="s">
        <v>35</v>
      </c>
      <c r="G19" s="182" t="s">
        <v>36</v>
      </c>
      <c r="H19" s="184" t="s">
        <v>14</v>
      </c>
      <c r="I19" s="49" t="s">
        <v>16</v>
      </c>
      <c r="J19" s="182" t="s">
        <v>17</v>
      </c>
      <c r="K19" s="182" t="s">
        <v>18</v>
      </c>
      <c r="L19" s="181" t="s">
        <v>38</v>
      </c>
      <c r="M19" s="181" t="s">
        <v>39</v>
      </c>
      <c r="N19" s="48" t="s">
        <v>66</v>
      </c>
      <c r="O19" s="182" t="s">
        <v>40</v>
      </c>
      <c r="P19" s="278" t="s">
        <v>52</v>
      </c>
      <c r="Q19" s="279" t="s">
        <v>53</v>
      </c>
      <c r="R19" s="280" t="s">
        <v>43</v>
      </c>
      <c r="S19" s="281"/>
      <c r="T19" s="282" t="s">
        <v>27</v>
      </c>
      <c r="U19" s="184" t="s">
        <v>29</v>
      </c>
      <c r="V19" s="184" t="s">
        <v>30</v>
      </c>
      <c r="W19" s="283"/>
    </row>
    <row r="20" spans="2:23" s="1" customFormat="1" ht="17.100000000000001" customHeight="1" thickTop="1" x14ac:dyDescent="0.25">
      <c r="B20" s="13"/>
      <c r="C20" s="198"/>
      <c r="D20" s="414"/>
      <c r="E20" s="414"/>
      <c r="F20" s="196"/>
      <c r="G20" s="196"/>
      <c r="H20" s="284"/>
      <c r="I20" s="285"/>
      <c r="J20" s="405"/>
      <c r="K20" s="408"/>
      <c r="L20" s="200"/>
      <c r="M20" s="200"/>
      <c r="N20" s="197"/>
      <c r="O20" s="197"/>
      <c r="P20" s="286"/>
      <c r="Q20" s="287"/>
      <c r="R20" s="288"/>
      <c r="S20" s="289"/>
      <c r="T20" s="290"/>
      <c r="U20" s="291"/>
      <c r="V20" s="208"/>
      <c r="W20" s="159"/>
    </row>
    <row r="21" spans="2:23" s="1" customFormat="1" ht="17.100000000000001" customHeight="1" x14ac:dyDescent="0.25">
      <c r="B21" s="13"/>
      <c r="C21" s="210"/>
      <c r="D21" s="209"/>
      <c r="E21" s="209"/>
      <c r="F21" s="292"/>
      <c r="G21" s="292"/>
      <c r="H21" s="293"/>
      <c r="I21" s="294"/>
      <c r="J21" s="440"/>
      <c r="K21" s="441"/>
      <c r="L21" s="225"/>
      <c r="M21" s="295"/>
      <c r="N21" s="227"/>
      <c r="O21" s="227"/>
      <c r="P21" s="296"/>
      <c r="Q21" s="297"/>
      <c r="R21" s="298"/>
      <c r="S21" s="299"/>
      <c r="T21" s="300"/>
      <c r="U21" s="301"/>
      <c r="V21" s="302"/>
      <c r="W21" s="159"/>
    </row>
    <row r="22" spans="2:23" s="1" customFormat="1" ht="17.100000000000001" customHeight="1" x14ac:dyDescent="0.25">
      <c r="B22" s="13"/>
      <c r="C22" s="210">
        <v>65</v>
      </c>
      <c r="D22" s="209">
        <v>298620</v>
      </c>
      <c r="E22" s="209">
        <v>2654</v>
      </c>
      <c r="F22" s="292" t="s">
        <v>185</v>
      </c>
      <c r="G22" s="292" t="s">
        <v>204</v>
      </c>
      <c r="H22" s="293">
        <v>13.2</v>
      </c>
      <c r="I22" s="294">
        <f t="shared" ref="I22:I40" si="0">IF(H22=220,$G$14,IF(AND(H22&lt;=132,H22&gt;=66),$G$15,IF(AND(H22&lt;66,H22&gt;=33),$G$16,$G$17)))</f>
        <v>13.097</v>
      </c>
      <c r="J22" s="440">
        <v>42403.324305555558</v>
      </c>
      <c r="K22" s="441">
        <v>42403.706250000003</v>
      </c>
      <c r="L22" s="225">
        <f t="shared" ref="L22:L40" si="1">IF(F22="","",(K22-J22)*24)</f>
        <v>9.1666666666860692</v>
      </c>
      <c r="M22" s="295">
        <f t="shared" ref="M22:M40" si="2">IF(F22="","",ROUND((K22-J22)*24*60,0))</f>
        <v>550</v>
      </c>
      <c r="N22" s="227" t="s">
        <v>142</v>
      </c>
      <c r="O22" s="436" t="str">
        <f t="shared" ref="O22:O40" si="3">IF(F22="","",IF(OR(N22="P",N22="RP"),"--","NO"))</f>
        <v>--</v>
      </c>
      <c r="P22" s="296">
        <f t="shared" ref="P22:P40" si="4">IF(H22=220,$H$14,IF(AND(H22&lt;=132,H22&gt;=66),$H$15,IF(AND(H22&lt;66,H22&gt;13.2),$H$16,$H$17)))</f>
        <v>40</v>
      </c>
      <c r="Q22" s="297">
        <f t="shared" ref="Q22:Q40" si="5">IF(N22="P",I22*P22*ROUND(M22/60,2)*0.1,"--")</f>
        <v>480.39796000000001</v>
      </c>
      <c r="R22" s="298" t="str">
        <f t="shared" ref="R22:R40" si="6">IF(AND(N22="F",O22="NO"),I22*P22,"--")</f>
        <v>--</v>
      </c>
      <c r="S22" s="299" t="str">
        <f t="shared" ref="S22:S40" si="7">IF(N22="F",I22*P22*ROUND(M22/60,2),"--")</f>
        <v>--</v>
      </c>
      <c r="T22" s="300" t="str">
        <f t="shared" ref="T22:T40" si="8">IF(N22="RF",I22*P22*ROUND(M22/60,2),"--")</f>
        <v>--</v>
      </c>
      <c r="U22" s="437" t="s">
        <v>139</v>
      </c>
      <c r="V22" s="304">
        <f t="shared" ref="V22:V40" si="9">IF(F22="","",SUM(Q22:T22)*IF(U22="SI",1,2)*IF(H22="500/220",0,1))</f>
        <v>480.39796000000001</v>
      </c>
      <c r="W22" s="237"/>
    </row>
    <row r="23" spans="2:23" s="1" customFormat="1" ht="17.100000000000001" customHeight="1" x14ac:dyDescent="0.25">
      <c r="B23" s="13"/>
      <c r="C23" s="210">
        <v>66</v>
      </c>
      <c r="D23" s="209">
        <v>298621</v>
      </c>
      <c r="E23" s="209">
        <v>2655</v>
      </c>
      <c r="F23" s="292" t="s">
        <v>185</v>
      </c>
      <c r="G23" s="292" t="s">
        <v>205</v>
      </c>
      <c r="H23" s="293">
        <v>13.199999809265137</v>
      </c>
      <c r="I23" s="294">
        <f t="shared" si="0"/>
        <v>13.097</v>
      </c>
      <c r="J23" s="440">
        <v>42403.324999999997</v>
      </c>
      <c r="K23" s="441">
        <v>42403.706250000003</v>
      </c>
      <c r="L23" s="225">
        <f t="shared" si="1"/>
        <v>9.1500000001396984</v>
      </c>
      <c r="M23" s="295">
        <f t="shared" si="2"/>
        <v>549</v>
      </c>
      <c r="N23" s="227" t="s">
        <v>142</v>
      </c>
      <c r="O23" s="436" t="str">
        <f t="shared" si="3"/>
        <v>--</v>
      </c>
      <c r="P23" s="296">
        <f t="shared" si="4"/>
        <v>40</v>
      </c>
      <c r="Q23" s="297">
        <f t="shared" si="5"/>
        <v>479.35020000000009</v>
      </c>
      <c r="R23" s="298" t="str">
        <f t="shared" si="6"/>
        <v>--</v>
      </c>
      <c r="S23" s="299" t="str">
        <f t="shared" si="7"/>
        <v>--</v>
      </c>
      <c r="T23" s="300" t="str">
        <f t="shared" si="8"/>
        <v>--</v>
      </c>
      <c r="U23" s="437" t="s">
        <v>139</v>
      </c>
      <c r="V23" s="304">
        <f t="shared" si="9"/>
        <v>479.35020000000009</v>
      </c>
      <c r="W23" s="237"/>
    </row>
    <row r="24" spans="2:23" s="1" customFormat="1" ht="17.100000000000001" customHeight="1" x14ac:dyDescent="0.25">
      <c r="B24" s="13"/>
      <c r="C24" s="210">
        <v>67</v>
      </c>
      <c r="D24" s="209">
        <v>298623</v>
      </c>
      <c r="E24" s="209">
        <v>2650</v>
      </c>
      <c r="F24" s="292" t="s">
        <v>185</v>
      </c>
      <c r="G24" s="292" t="s">
        <v>206</v>
      </c>
      <c r="H24" s="293">
        <v>33</v>
      </c>
      <c r="I24" s="294">
        <f t="shared" si="0"/>
        <v>13.097</v>
      </c>
      <c r="J24" s="440">
        <v>42403.335416666669</v>
      </c>
      <c r="K24" s="441">
        <v>42403.713888888888</v>
      </c>
      <c r="L24" s="225">
        <f t="shared" si="1"/>
        <v>9.0833333332557231</v>
      </c>
      <c r="M24" s="295">
        <f t="shared" si="2"/>
        <v>545</v>
      </c>
      <c r="N24" s="227" t="s">
        <v>142</v>
      </c>
      <c r="O24" s="436" t="str">
        <f t="shared" si="3"/>
        <v>--</v>
      </c>
      <c r="P24" s="296">
        <f t="shared" si="4"/>
        <v>50</v>
      </c>
      <c r="Q24" s="297">
        <f t="shared" si="5"/>
        <v>594.60380000000009</v>
      </c>
      <c r="R24" s="298" t="str">
        <f t="shared" si="6"/>
        <v>--</v>
      </c>
      <c r="S24" s="299" t="str">
        <f t="shared" si="7"/>
        <v>--</v>
      </c>
      <c r="T24" s="300" t="str">
        <f t="shared" si="8"/>
        <v>--</v>
      </c>
      <c r="U24" s="437" t="s">
        <v>139</v>
      </c>
      <c r="V24" s="304">
        <f t="shared" si="9"/>
        <v>594.60380000000009</v>
      </c>
      <c r="W24" s="237"/>
    </row>
    <row r="25" spans="2:23" s="1" customFormat="1" ht="17.100000000000001" customHeight="1" x14ac:dyDescent="0.25">
      <c r="B25" s="13"/>
      <c r="C25" s="210">
        <v>68</v>
      </c>
      <c r="D25" s="209">
        <v>298626</v>
      </c>
      <c r="E25" s="209">
        <v>2408</v>
      </c>
      <c r="F25" s="292" t="s">
        <v>189</v>
      </c>
      <c r="G25" s="292" t="s">
        <v>207</v>
      </c>
      <c r="H25" s="293">
        <v>13.199999809265137</v>
      </c>
      <c r="I25" s="294">
        <f t="shared" si="0"/>
        <v>13.097</v>
      </c>
      <c r="J25" s="440">
        <v>42404.168749999997</v>
      </c>
      <c r="K25" s="441">
        <v>42404.27847222222</v>
      </c>
      <c r="L25" s="225">
        <f t="shared" si="1"/>
        <v>2.6333333333604969</v>
      </c>
      <c r="M25" s="295">
        <f t="shared" si="2"/>
        <v>158</v>
      </c>
      <c r="N25" s="227" t="s">
        <v>142</v>
      </c>
      <c r="O25" s="436" t="str">
        <f t="shared" si="3"/>
        <v>--</v>
      </c>
      <c r="P25" s="296">
        <f t="shared" si="4"/>
        <v>40</v>
      </c>
      <c r="Q25" s="297">
        <f t="shared" si="5"/>
        <v>137.78044</v>
      </c>
      <c r="R25" s="298" t="str">
        <f t="shared" si="6"/>
        <v>--</v>
      </c>
      <c r="S25" s="299" t="str">
        <f t="shared" si="7"/>
        <v>--</v>
      </c>
      <c r="T25" s="300" t="str">
        <f t="shared" si="8"/>
        <v>--</v>
      </c>
      <c r="U25" s="437" t="s">
        <v>139</v>
      </c>
      <c r="V25" s="304">
        <f t="shared" si="9"/>
        <v>137.78044</v>
      </c>
      <c r="W25" s="237"/>
    </row>
    <row r="26" spans="2:23" s="1" customFormat="1" ht="17.100000000000001" customHeight="1" x14ac:dyDescent="0.25">
      <c r="B26" s="13"/>
      <c r="C26" s="210">
        <v>69</v>
      </c>
      <c r="D26" s="209">
        <v>298637</v>
      </c>
      <c r="E26" s="209">
        <v>2261</v>
      </c>
      <c r="F26" s="292" t="s">
        <v>208</v>
      </c>
      <c r="G26" s="292" t="s">
        <v>209</v>
      </c>
      <c r="H26" s="293">
        <v>132</v>
      </c>
      <c r="I26" s="294">
        <f t="shared" si="0"/>
        <v>17.466000000000001</v>
      </c>
      <c r="J26" s="440">
        <v>42406.386805555558</v>
      </c>
      <c r="K26" s="441">
        <v>42406.875694444447</v>
      </c>
      <c r="L26" s="225">
        <f t="shared" si="1"/>
        <v>11.733333333337214</v>
      </c>
      <c r="M26" s="295">
        <f t="shared" si="2"/>
        <v>704</v>
      </c>
      <c r="N26" s="227" t="s">
        <v>142</v>
      </c>
      <c r="O26" s="436" t="str">
        <f t="shared" si="3"/>
        <v>--</v>
      </c>
      <c r="P26" s="296">
        <f t="shared" si="4"/>
        <v>50</v>
      </c>
      <c r="Q26" s="297">
        <f t="shared" si="5"/>
        <v>1024.3809000000001</v>
      </c>
      <c r="R26" s="298" t="str">
        <f t="shared" si="6"/>
        <v>--</v>
      </c>
      <c r="S26" s="299" t="str">
        <f t="shared" si="7"/>
        <v>--</v>
      </c>
      <c r="T26" s="300" t="str">
        <f t="shared" si="8"/>
        <v>--</v>
      </c>
      <c r="U26" s="437" t="s">
        <v>139</v>
      </c>
      <c r="V26" s="304">
        <v>0</v>
      </c>
      <c r="W26" s="237"/>
    </row>
    <row r="27" spans="2:23" s="1" customFormat="1" ht="17.100000000000001" customHeight="1" x14ac:dyDescent="0.25">
      <c r="B27" s="13"/>
      <c r="C27" s="210"/>
      <c r="D27" s="209"/>
      <c r="E27" s="209"/>
      <c r="F27" s="292"/>
      <c r="G27" s="292"/>
      <c r="H27" s="293"/>
      <c r="I27" s="294"/>
      <c r="J27" s="440"/>
      <c r="K27" s="441"/>
      <c r="L27" s="225"/>
      <c r="M27" s="295"/>
      <c r="N27" s="227"/>
      <c r="O27" s="436"/>
      <c r="P27" s="296"/>
      <c r="Q27" s="297"/>
      <c r="R27" s="298"/>
      <c r="S27" s="299"/>
      <c r="T27" s="300"/>
      <c r="U27" s="437"/>
      <c r="V27" s="304"/>
      <c r="W27" s="237"/>
    </row>
    <row r="28" spans="2:23" s="1" customFormat="1" ht="17.100000000000001" customHeight="1" x14ac:dyDescent="0.25">
      <c r="B28" s="13"/>
      <c r="C28" s="210">
        <v>71</v>
      </c>
      <c r="D28" s="209">
        <v>298646</v>
      </c>
      <c r="E28" s="209">
        <v>2092</v>
      </c>
      <c r="F28" s="292" t="s">
        <v>211</v>
      </c>
      <c r="G28" s="292" t="s">
        <v>212</v>
      </c>
      <c r="H28" s="293">
        <v>33</v>
      </c>
      <c r="I28" s="294">
        <f t="shared" si="0"/>
        <v>13.097</v>
      </c>
      <c r="J28" s="440">
        <v>42407.245833333334</v>
      </c>
      <c r="K28" s="441">
        <v>42407.548611111109</v>
      </c>
      <c r="L28" s="225">
        <f t="shared" si="1"/>
        <v>7.2666666666045785</v>
      </c>
      <c r="M28" s="295">
        <f t="shared" si="2"/>
        <v>436</v>
      </c>
      <c r="N28" s="227" t="s">
        <v>142</v>
      </c>
      <c r="O28" s="436" t="str">
        <f t="shared" si="3"/>
        <v>--</v>
      </c>
      <c r="P28" s="296">
        <f t="shared" si="4"/>
        <v>50</v>
      </c>
      <c r="Q28" s="297">
        <f t="shared" si="5"/>
        <v>476.07595000000003</v>
      </c>
      <c r="R28" s="298" t="str">
        <f t="shared" si="6"/>
        <v>--</v>
      </c>
      <c r="S28" s="299" t="str">
        <f t="shared" si="7"/>
        <v>--</v>
      </c>
      <c r="T28" s="300" t="str">
        <f t="shared" si="8"/>
        <v>--</v>
      </c>
      <c r="U28" s="437" t="s">
        <v>139</v>
      </c>
      <c r="V28" s="304">
        <f t="shared" si="9"/>
        <v>476.07595000000003</v>
      </c>
      <c r="W28" s="237"/>
    </row>
    <row r="29" spans="2:23" s="1" customFormat="1" ht="17.100000000000001" customHeight="1" x14ac:dyDescent="0.25">
      <c r="B29" s="13"/>
      <c r="C29" s="210">
        <v>72</v>
      </c>
      <c r="D29" s="209">
        <v>298647</v>
      </c>
      <c r="E29" s="209">
        <v>2261</v>
      </c>
      <c r="F29" s="292" t="s">
        <v>208</v>
      </c>
      <c r="G29" s="292" t="s">
        <v>209</v>
      </c>
      <c r="H29" s="293">
        <v>132</v>
      </c>
      <c r="I29" s="294">
        <f t="shared" si="0"/>
        <v>17.466000000000001</v>
      </c>
      <c r="J29" s="440">
        <v>42407.324999999997</v>
      </c>
      <c r="K29" s="441">
        <v>42407.568055555559</v>
      </c>
      <c r="L29" s="225">
        <f t="shared" si="1"/>
        <v>5.8333333334885538</v>
      </c>
      <c r="M29" s="295">
        <f t="shared" si="2"/>
        <v>350</v>
      </c>
      <c r="N29" s="227" t="s">
        <v>142</v>
      </c>
      <c r="O29" s="436" t="str">
        <f t="shared" si="3"/>
        <v>--</v>
      </c>
      <c r="P29" s="296">
        <f t="shared" si="4"/>
        <v>50</v>
      </c>
      <c r="Q29" s="297">
        <f t="shared" si="5"/>
        <v>509.1339000000001</v>
      </c>
      <c r="R29" s="298" t="str">
        <f t="shared" si="6"/>
        <v>--</v>
      </c>
      <c r="S29" s="299" t="str">
        <f t="shared" si="7"/>
        <v>--</v>
      </c>
      <c r="T29" s="300" t="str">
        <f t="shared" si="8"/>
        <v>--</v>
      </c>
      <c r="U29" s="437" t="s">
        <v>139</v>
      </c>
      <c r="V29" s="304">
        <v>0</v>
      </c>
      <c r="W29" s="237"/>
    </row>
    <row r="30" spans="2:23" s="1" customFormat="1" ht="17.100000000000001" customHeight="1" x14ac:dyDescent="0.25">
      <c r="B30" s="13"/>
      <c r="C30" s="210">
        <v>73</v>
      </c>
      <c r="D30" s="209">
        <v>298833</v>
      </c>
      <c r="E30" s="209">
        <v>2261</v>
      </c>
      <c r="F30" s="292" t="s">
        <v>208</v>
      </c>
      <c r="G30" s="292" t="s">
        <v>209</v>
      </c>
      <c r="H30" s="293">
        <v>132</v>
      </c>
      <c r="I30" s="294">
        <f t="shared" si="0"/>
        <v>17.466000000000001</v>
      </c>
      <c r="J30" s="440">
        <v>42408.604861111111</v>
      </c>
      <c r="K30" s="441">
        <v>42408.618055555555</v>
      </c>
      <c r="L30" s="225">
        <f t="shared" si="1"/>
        <v>0.31666666665114462</v>
      </c>
      <c r="M30" s="295">
        <f t="shared" si="2"/>
        <v>19</v>
      </c>
      <c r="N30" s="227" t="s">
        <v>142</v>
      </c>
      <c r="O30" s="436" t="str">
        <f t="shared" si="3"/>
        <v>--</v>
      </c>
      <c r="P30" s="296">
        <f t="shared" si="4"/>
        <v>50</v>
      </c>
      <c r="Q30" s="297">
        <f t="shared" si="5"/>
        <v>27.945600000000002</v>
      </c>
      <c r="R30" s="298" t="str">
        <f t="shared" si="6"/>
        <v>--</v>
      </c>
      <c r="S30" s="299" t="str">
        <f t="shared" si="7"/>
        <v>--</v>
      </c>
      <c r="T30" s="300" t="str">
        <f t="shared" si="8"/>
        <v>--</v>
      </c>
      <c r="U30" s="437" t="s">
        <v>139</v>
      </c>
      <c r="V30" s="304">
        <v>0</v>
      </c>
      <c r="W30" s="237"/>
    </row>
    <row r="31" spans="2:23" s="1" customFormat="1" ht="16.5" customHeight="1" x14ac:dyDescent="0.25">
      <c r="B31" s="13"/>
      <c r="C31" s="210">
        <v>74</v>
      </c>
      <c r="D31" s="209">
        <v>298834</v>
      </c>
      <c r="E31" s="209">
        <v>3146</v>
      </c>
      <c r="F31" s="292" t="s">
        <v>213</v>
      </c>
      <c r="G31" s="292" t="s">
        <v>214</v>
      </c>
      <c r="H31" s="293">
        <v>132</v>
      </c>
      <c r="I31" s="294">
        <f t="shared" si="0"/>
        <v>17.466000000000001</v>
      </c>
      <c r="J31" s="440">
        <v>42409.36041666667</v>
      </c>
      <c r="K31" s="441">
        <v>42409.536111111112</v>
      </c>
      <c r="L31" s="225">
        <f t="shared" si="1"/>
        <v>4.21666666661622</v>
      </c>
      <c r="M31" s="295">
        <f t="shared" si="2"/>
        <v>253</v>
      </c>
      <c r="N31" s="227" t="s">
        <v>142</v>
      </c>
      <c r="O31" s="436" t="str">
        <f t="shared" si="3"/>
        <v>--</v>
      </c>
      <c r="P31" s="296">
        <f t="shared" si="4"/>
        <v>50</v>
      </c>
      <c r="Q31" s="297">
        <f t="shared" si="5"/>
        <v>368.5326</v>
      </c>
      <c r="R31" s="298" t="str">
        <f t="shared" si="6"/>
        <v>--</v>
      </c>
      <c r="S31" s="299" t="str">
        <f t="shared" si="7"/>
        <v>--</v>
      </c>
      <c r="T31" s="300" t="str">
        <f t="shared" si="8"/>
        <v>--</v>
      </c>
      <c r="U31" s="437" t="s">
        <v>139</v>
      </c>
      <c r="V31" s="304">
        <v>0</v>
      </c>
      <c r="W31" s="237"/>
    </row>
    <row r="32" spans="2:23" s="1" customFormat="1" ht="17.100000000000001" customHeight="1" x14ac:dyDescent="0.25">
      <c r="B32" s="13"/>
      <c r="C32" s="210">
        <v>75</v>
      </c>
      <c r="D32" s="209">
        <v>298853</v>
      </c>
      <c r="E32" s="209">
        <v>4447</v>
      </c>
      <c r="F32" s="292" t="s">
        <v>158</v>
      </c>
      <c r="G32" s="292" t="s">
        <v>215</v>
      </c>
      <c r="H32" s="293">
        <v>132</v>
      </c>
      <c r="I32" s="294">
        <f t="shared" si="0"/>
        <v>17.466000000000001</v>
      </c>
      <c r="J32" s="440">
        <v>42411.356944444444</v>
      </c>
      <c r="K32" s="441">
        <v>42411.518055555556</v>
      </c>
      <c r="L32" s="225">
        <f t="shared" si="1"/>
        <v>3.8666666666977108</v>
      </c>
      <c r="M32" s="295">
        <f t="shared" si="2"/>
        <v>232</v>
      </c>
      <c r="N32" s="227" t="s">
        <v>142</v>
      </c>
      <c r="O32" s="436" t="str">
        <f t="shared" si="3"/>
        <v>--</v>
      </c>
      <c r="P32" s="296">
        <f t="shared" si="4"/>
        <v>50</v>
      </c>
      <c r="Q32" s="297">
        <f t="shared" si="5"/>
        <v>337.96710000000007</v>
      </c>
      <c r="R32" s="298" t="str">
        <f t="shared" si="6"/>
        <v>--</v>
      </c>
      <c r="S32" s="299" t="str">
        <f t="shared" si="7"/>
        <v>--</v>
      </c>
      <c r="T32" s="300" t="str">
        <f t="shared" si="8"/>
        <v>--</v>
      </c>
      <c r="U32" s="437" t="s">
        <v>139</v>
      </c>
      <c r="V32" s="304">
        <v>0</v>
      </c>
      <c r="W32" s="237"/>
    </row>
    <row r="33" spans="2:23" s="1" customFormat="1" ht="17.100000000000001" customHeight="1" x14ac:dyDescent="0.25">
      <c r="B33" s="13"/>
      <c r="C33" s="210">
        <v>76</v>
      </c>
      <c r="D33" s="209">
        <v>298909</v>
      </c>
      <c r="E33" s="209">
        <v>2178</v>
      </c>
      <c r="F33" s="292" t="s">
        <v>157</v>
      </c>
      <c r="G33" s="292" t="s">
        <v>216</v>
      </c>
      <c r="H33" s="293">
        <v>33</v>
      </c>
      <c r="I33" s="294">
        <f t="shared" si="0"/>
        <v>13.097</v>
      </c>
      <c r="J33" s="440">
        <v>42412.5</v>
      </c>
      <c r="K33" s="441">
        <v>42412.526388888888</v>
      </c>
      <c r="L33" s="225">
        <f t="shared" si="1"/>
        <v>0.63333333330228925</v>
      </c>
      <c r="M33" s="295">
        <f t="shared" si="2"/>
        <v>38</v>
      </c>
      <c r="N33" s="227" t="s">
        <v>138</v>
      </c>
      <c r="O33" s="436" t="str">
        <f t="shared" si="3"/>
        <v>NO</v>
      </c>
      <c r="P33" s="296">
        <f t="shared" si="4"/>
        <v>50</v>
      </c>
      <c r="Q33" s="297" t="str">
        <f t="shared" si="5"/>
        <v>--</v>
      </c>
      <c r="R33" s="298">
        <f t="shared" si="6"/>
        <v>654.85</v>
      </c>
      <c r="S33" s="299">
        <f t="shared" si="7"/>
        <v>412.55549999999999</v>
      </c>
      <c r="T33" s="300" t="str">
        <f t="shared" si="8"/>
        <v>--</v>
      </c>
      <c r="U33" s="437" t="s">
        <v>139</v>
      </c>
      <c r="V33" s="304">
        <f t="shared" si="9"/>
        <v>1067.4055000000001</v>
      </c>
      <c r="W33" s="237"/>
    </row>
    <row r="34" spans="2:23" s="1" customFormat="1" ht="17.100000000000001" customHeight="1" x14ac:dyDescent="0.25">
      <c r="B34" s="13"/>
      <c r="C34" s="210"/>
      <c r="D34" s="209"/>
      <c r="E34" s="209"/>
      <c r="F34" s="292"/>
      <c r="G34" s="292"/>
      <c r="H34" s="293"/>
      <c r="I34" s="294"/>
      <c r="J34" s="440"/>
      <c r="K34" s="441"/>
      <c r="L34" s="225"/>
      <c r="M34" s="295"/>
      <c r="N34" s="227"/>
      <c r="O34" s="436"/>
      <c r="P34" s="296"/>
      <c r="Q34" s="297"/>
      <c r="R34" s="298"/>
      <c r="S34" s="299"/>
      <c r="T34" s="300"/>
      <c r="U34" s="437"/>
      <c r="V34" s="304"/>
      <c r="W34" s="237"/>
    </row>
    <row r="35" spans="2:23" s="1" customFormat="1" ht="17.100000000000001" customHeight="1" x14ac:dyDescent="0.25">
      <c r="B35" s="13"/>
      <c r="C35" s="210">
        <v>78</v>
      </c>
      <c r="D35" s="209">
        <v>298910</v>
      </c>
      <c r="E35" s="209">
        <v>2294</v>
      </c>
      <c r="F35" s="292" t="s">
        <v>194</v>
      </c>
      <c r="G35" s="292" t="s">
        <v>217</v>
      </c>
      <c r="H35" s="293">
        <v>13.2</v>
      </c>
      <c r="I35" s="294">
        <f t="shared" si="0"/>
        <v>13.097</v>
      </c>
      <c r="J35" s="440">
        <v>42412.5</v>
      </c>
      <c r="K35" s="441">
        <v>42412.521527777775</v>
      </c>
      <c r="L35" s="225">
        <f t="shared" si="1"/>
        <v>0.5166666666045785</v>
      </c>
      <c r="M35" s="295">
        <f t="shared" si="2"/>
        <v>31</v>
      </c>
      <c r="N35" s="227" t="s">
        <v>138</v>
      </c>
      <c r="O35" s="436" t="str">
        <f t="shared" si="3"/>
        <v>NO</v>
      </c>
      <c r="P35" s="296">
        <f t="shared" si="4"/>
        <v>40</v>
      </c>
      <c r="Q35" s="297" t="str">
        <f t="shared" si="5"/>
        <v>--</v>
      </c>
      <c r="R35" s="298">
        <f t="shared" si="6"/>
        <v>523.88</v>
      </c>
      <c r="S35" s="299">
        <f t="shared" si="7"/>
        <v>272.41759999999999</v>
      </c>
      <c r="T35" s="300" t="str">
        <f t="shared" si="8"/>
        <v>--</v>
      </c>
      <c r="U35" s="437" t="s">
        <v>139</v>
      </c>
      <c r="V35" s="304">
        <f t="shared" si="9"/>
        <v>796.29759999999999</v>
      </c>
      <c r="W35" s="237"/>
    </row>
    <row r="36" spans="2:23" s="1" customFormat="1" ht="17.100000000000001" customHeight="1" x14ac:dyDescent="0.25">
      <c r="B36" s="13"/>
      <c r="C36" s="210">
        <v>79</v>
      </c>
      <c r="D36" s="209">
        <v>298924</v>
      </c>
      <c r="E36" s="209">
        <v>2634</v>
      </c>
      <c r="F36" s="292" t="s">
        <v>218</v>
      </c>
      <c r="G36" s="292" t="s">
        <v>219</v>
      </c>
      <c r="H36" s="293">
        <v>33</v>
      </c>
      <c r="I36" s="294">
        <f t="shared" si="0"/>
        <v>13.097</v>
      </c>
      <c r="J36" s="440">
        <v>42413.315972222219</v>
      </c>
      <c r="K36" s="441">
        <v>42413.744444444441</v>
      </c>
      <c r="L36" s="225">
        <f t="shared" si="1"/>
        <v>10.283333333325572</v>
      </c>
      <c r="M36" s="295">
        <f t="shared" si="2"/>
        <v>617</v>
      </c>
      <c r="N36" s="227" t="s">
        <v>142</v>
      </c>
      <c r="O36" s="436" t="str">
        <f t="shared" si="3"/>
        <v>--</v>
      </c>
      <c r="P36" s="296">
        <f t="shared" si="4"/>
        <v>50</v>
      </c>
      <c r="Q36" s="297">
        <f t="shared" si="5"/>
        <v>673.18580000000009</v>
      </c>
      <c r="R36" s="298" t="str">
        <f t="shared" si="6"/>
        <v>--</v>
      </c>
      <c r="S36" s="299" t="str">
        <f t="shared" si="7"/>
        <v>--</v>
      </c>
      <c r="T36" s="300" t="str">
        <f t="shared" si="8"/>
        <v>--</v>
      </c>
      <c r="U36" s="437" t="s">
        <v>139</v>
      </c>
      <c r="V36" s="304">
        <f t="shared" si="9"/>
        <v>673.18580000000009</v>
      </c>
      <c r="W36" s="237"/>
    </row>
    <row r="37" spans="2:23" s="1" customFormat="1" ht="17.100000000000001" customHeight="1" x14ac:dyDescent="0.25">
      <c r="B37" s="13"/>
      <c r="C37" s="210"/>
      <c r="D37" s="209"/>
      <c r="E37" s="209"/>
      <c r="F37" s="292"/>
      <c r="G37" s="292"/>
      <c r="H37" s="293"/>
      <c r="I37" s="294"/>
      <c r="J37" s="440"/>
      <c r="K37" s="441"/>
      <c r="L37" s="225"/>
      <c r="M37" s="295"/>
      <c r="N37" s="227"/>
      <c r="O37" s="436"/>
      <c r="P37" s="296"/>
      <c r="Q37" s="297"/>
      <c r="R37" s="298"/>
      <c r="S37" s="299"/>
      <c r="T37" s="300"/>
      <c r="U37" s="437"/>
      <c r="V37" s="304"/>
      <c r="W37" s="237"/>
    </row>
    <row r="38" spans="2:23" s="1" customFormat="1" ht="17.100000000000001" customHeight="1" x14ac:dyDescent="0.25">
      <c r="B38" s="13"/>
      <c r="C38" s="210">
        <v>81</v>
      </c>
      <c r="D38" s="209">
        <v>299401</v>
      </c>
      <c r="E38" s="209">
        <v>2397</v>
      </c>
      <c r="F38" s="292" t="s">
        <v>155</v>
      </c>
      <c r="G38" s="292" t="s">
        <v>210</v>
      </c>
      <c r="H38" s="293">
        <v>33</v>
      </c>
      <c r="I38" s="294">
        <f t="shared" si="0"/>
        <v>13.097</v>
      </c>
      <c r="J38" s="440">
        <v>42416.400694444441</v>
      </c>
      <c r="K38" s="441">
        <v>42416.578472222223</v>
      </c>
      <c r="L38" s="225">
        <f t="shared" si="1"/>
        <v>4.2666666667792015</v>
      </c>
      <c r="M38" s="295">
        <f t="shared" si="2"/>
        <v>256</v>
      </c>
      <c r="N38" s="227" t="s">
        <v>142</v>
      </c>
      <c r="O38" s="436" t="str">
        <f t="shared" si="3"/>
        <v>--</v>
      </c>
      <c r="P38" s="296">
        <f t="shared" si="4"/>
        <v>50</v>
      </c>
      <c r="Q38" s="297">
        <f t="shared" si="5"/>
        <v>279.62094999999999</v>
      </c>
      <c r="R38" s="298" t="str">
        <f t="shared" si="6"/>
        <v>--</v>
      </c>
      <c r="S38" s="299" t="str">
        <f t="shared" si="7"/>
        <v>--</v>
      </c>
      <c r="T38" s="300" t="str">
        <f t="shared" si="8"/>
        <v>--</v>
      </c>
      <c r="U38" s="437" t="s">
        <v>139</v>
      </c>
      <c r="V38" s="304">
        <f t="shared" si="9"/>
        <v>279.62094999999999</v>
      </c>
      <c r="W38" s="237"/>
    </row>
    <row r="39" spans="2:23" s="1" customFormat="1" ht="17.100000000000001" customHeight="1" x14ac:dyDescent="0.25">
      <c r="B39" s="13"/>
      <c r="C39" s="210">
        <v>82</v>
      </c>
      <c r="D39" s="209">
        <v>299406</v>
      </c>
      <c r="E39" s="209">
        <v>2398</v>
      </c>
      <c r="F39" s="292" t="s">
        <v>155</v>
      </c>
      <c r="G39" s="292" t="s">
        <v>220</v>
      </c>
      <c r="H39" s="293">
        <v>33</v>
      </c>
      <c r="I39" s="294">
        <f t="shared" si="0"/>
        <v>13.097</v>
      </c>
      <c r="J39" s="440">
        <v>42417.482638888891</v>
      </c>
      <c r="K39" s="441">
        <v>42417.606249999997</v>
      </c>
      <c r="L39" s="225">
        <f t="shared" si="1"/>
        <v>2.9666666665580124</v>
      </c>
      <c r="M39" s="295">
        <f t="shared" si="2"/>
        <v>178</v>
      </c>
      <c r="N39" s="227" t="s">
        <v>142</v>
      </c>
      <c r="O39" s="436" t="str">
        <f t="shared" si="3"/>
        <v>--</v>
      </c>
      <c r="P39" s="296">
        <f t="shared" si="4"/>
        <v>50</v>
      </c>
      <c r="Q39" s="297">
        <f t="shared" si="5"/>
        <v>194.49045000000001</v>
      </c>
      <c r="R39" s="298" t="str">
        <f t="shared" si="6"/>
        <v>--</v>
      </c>
      <c r="S39" s="299" t="str">
        <f t="shared" si="7"/>
        <v>--</v>
      </c>
      <c r="T39" s="300" t="str">
        <f t="shared" si="8"/>
        <v>--</v>
      </c>
      <c r="U39" s="437" t="s">
        <v>139</v>
      </c>
      <c r="V39" s="304">
        <f t="shared" si="9"/>
        <v>194.49045000000001</v>
      </c>
      <c r="W39" s="237"/>
    </row>
    <row r="40" spans="2:23" s="1" customFormat="1" ht="17.100000000000001" customHeight="1" x14ac:dyDescent="0.25">
      <c r="B40" s="13"/>
      <c r="C40" s="210"/>
      <c r="D40" s="209"/>
      <c r="E40" s="209"/>
      <c r="F40" s="292"/>
      <c r="G40" s="292"/>
      <c r="H40" s="293"/>
      <c r="I40" s="294">
        <f t="shared" si="0"/>
        <v>13.097</v>
      </c>
      <c r="J40" s="440"/>
      <c r="K40" s="441"/>
      <c r="L40" s="225" t="str">
        <f t="shared" si="1"/>
        <v/>
      </c>
      <c r="M40" s="295" t="str">
        <f t="shared" si="2"/>
        <v/>
      </c>
      <c r="N40" s="227"/>
      <c r="O40" s="436" t="str">
        <f t="shared" si="3"/>
        <v/>
      </c>
      <c r="P40" s="296">
        <f t="shared" si="4"/>
        <v>40</v>
      </c>
      <c r="Q40" s="297" t="str">
        <f t="shared" si="5"/>
        <v>--</v>
      </c>
      <c r="R40" s="298" t="str">
        <f t="shared" si="6"/>
        <v>--</v>
      </c>
      <c r="S40" s="299" t="str">
        <f t="shared" si="7"/>
        <v>--</v>
      </c>
      <c r="T40" s="300" t="str">
        <f t="shared" si="8"/>
        <v>--</v>
      </c>
      <c r="U40" s="437" t="str">
        <f t="shared" ref="U40" si="10">IF(F40="","","SI")</f>
        <v/>
      </c>
      <c r="V40" s="304" t="str">
        <f t="shared" si="9"/>
        <v/>
      </c>
      <c r="W40" s="237"/>
    </row>
    <row r="41" spans="2:23" s="1" customFormat="1" ht="17.100000000000001" customHeight="1" thickBot="1" x14ac:dyDescent="0.3">
      <c r="B41" s="13"/>
      <c r="C41" s="317"/>
      <c r="D41" s="317"/>
      <c r="E41" s="317"/>
      <c r="F41" s="317"/>
      <c r="G41" s="317"/>
      <c r="H41" s="317"/>
      <c r="I41" s="305"/>
      <c r="J41" s="407"/>
      <c r="K41" s="407"/>
      <c r="L41" s="238"/>
      <c r="M41" s="238"/>
      <c r="N41" s="317"/>
      <c r="O41" s="317"/>
      <c r="P41" s="327"/>
      <c r="Q41" s="328"/>
      <c r="R41" s="329"/>
      <c r="S41" s="330"/>
      <c r="T41" s="331"/>
      <c r="U41" s="317"/>
      <c r="V41" s="306"/>
      <c r="W41" s="237"/>
    </row>
    <row r="42" spans="2:23" s="1" customFormat="1" ht="17.100000000000001" customHeight="1" thickTop="1" thickBot="1" x14ac:dyDescent="0.3">
      <c r="B42" s="13"/>
      <c r="C42" s="113" t="s">
        <v>67</v>
      </c>
      <c r="D42" s="443" t="s">
        <v>161</v>
      </c>
      <c r="E42" s="129"/>
      <c r="F42" s="114"/>
      <c r="G42" s="2"/>
      <c r="H42" s="2"/>
      <c r="I42" s="2"/>
      <c r="J42" s="2"/>
      <c r="K42" s="2"/>
      <c r="L42" s="2"/>
      <c r="M42" s="2"/>
      <c r="N42" s="2"/>
      <c r="O42" s="2"/>
      <c r="P42" s="2"/>
      <c r="Q42" s="307">
        <f>SUM(Q20:Q41)</f>
        <v>5583.465650000001</v>
      </c>
      <c r="R42" s="308">
        <f>SUM(R20:R41)</f>
        <v>1178.73</v>
      </c>
      <c r="S42" s="308">
        <f>SUM(S20:S41)</f>
        <v>684.97309999999993</v>
      </c>
      <c r="T42" s="309">
        <f>SUM(T20:T41)</f>
        <v>0</v>
      </c>
      <c r="U42" s="310"/>
      <c r="V42" s="413">
        <f>ROUND(SUM(V20:V41),2)</f>
        <v>5179.21</v>
      </c>
      <c r="W42" s="237"/>
    </row>
    <row r="43" spans="2:23" s="127" customFormat="1" ht="9.75" thickTop="1" x14ac:dyDescent="0.15">
      <c r="B43" s="128"/>
      <c r="C43" s="129"/>
      <c r="D43" s="129"/>
      <c r="E43" s="129"/>
      <c r="F43" s="13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1"/>
      <c r="V43" s="311"/>
      <c r="W43" s="253"/>
    </row>
    <row r="44" spans="2:23" s="1" customFormat="1" ht="17.100000000000001" customHeight="1" thickBot="1" x14ac:dyDescent="0.25">
      <c r="B44" s="140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6"/>
    </row>
    <row r="45" spans="2:23" ht="17.100000000000001" customHeight="1" thickTop="1" x14ac:dyDescent="0.2"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</row>
    <row r="46" spans="2:23" ht="17.100000000000001" customHeight="1" x14ac:dyDescent="0.2">
      <c r="C46" s="312"/>
      <c r="D46" s="312"/>
      <c r="E46" s="312"/>
      <c r="F46" s="312"/>
    </row>
    <row r="47" spans="2:23" ht="17.100000000000001" customHeight="1" x14ac:dyDescent="0.2"/>
    <row r="48" spans="2:23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</sheetData>
  <pageMargins left="0.39370078740157483" right="0.19685039370078741" top="0.78740157480314965" bottom="0.78740157480314965" header="0.51181102362204722" footer="0.51181102362204722"/>
  <pageSetup paperSize="9" scale="63" orientation="landscape" horizontalDpi="4294967292" r:id="rId1"/>
  <headerFooter alignWithMargins="0">
    <oddFooter>&amp;L&amp;"Times New Roman,Normal"&amp;8&amp;Z&amp;F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01" r:id="rId4" name="Button 1">
              <controlPr defaultSize="0" print="0" autoFill="0" autoPict="0" macro="[0]!Referencias_Salidas">
                <anchor moveWithCells="1" sizeWithCells="1">
                  <from>
                    <xdr:col>0</xdr:col>
                    <xdr:colOff>66675</xdr:colOff>
                    <xdr:row>41</xdr:row>
                    <xdr:rowOff>28575</xdr:rowOff>
                  </from>
                  <to>
                    <xdr:col>2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4">
    <pageSetUpPr fitToPage="1"/>
  </sheetPr>
  <dimension ref="A1:W52"/>
  <sheetViews>
    <sheetView topLeftCell="A16" zoomScale="80" zoomScaleNormal="80" workbookViewId="0">
      <selection activeCell="A39" sqref="A39"/>
    </sheetView>
  </sheetViews>
  <sheetFormatPr baseColWidth="10" defaultRowHeight="12.75" x14ac:dyDescent="0.2"/>
  <cols>
    <col min="1" max="1" width="17" style="5" customWidth="1"/>
    <col min="2" max="2" width="4.140625" style="5" customWidth="1"/>
    <col min="3" max="3" width="5.4257812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578125" style="5" hidden="1" customWidth="1"/>
    <col min="10" max="10" width="16.42578125" style="5" customWidth="1"/>
    <col min="11" max="11" width="16.2851562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" style="5" hidden="1" customWidth="1"/>
    <col min="18" max="18" width="15.140625" style="5" hidden="1" customWidth="1"/>
    <col min="19" max="20" width="15.570312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546875" style="5" customWidth="1"/>
    <col min="25" max="16384" width="11.42578125" style="5"/>
  </cols>
  <sheetData>
    <row r="1" spans="1:23" s="3" customFormat="1" ht="30.75" customHeight="1" x14ac:dyDescent="0.4">
      <c r="A1" s="259"/>
      <c r="W1" s="313"/>
    </row>
    <row r="2" spans="1:23" s="3" customFormat="1" ht="26.25" x14ac:dyDescent="0.4">
      <c r="A2" s="259"/>
      <c r="B2" s="16" t="str">
        <f>'TOT-0216'!B2</f>
        <v>ANEXO III al Memorándum D.T.E.E. N°   243 / 2017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x14ac:dyDescent="0.2">
      <c r="A3" s="26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9" customFormat="1" ht="11.25" x14ac:dyDescent="0.2">
      <c r="A4" s="8" t="s">
        <v>3</v>
      </c>
      <c r="B4" s="261"/>
    </row>
    <row r="5" spans="1:23" s="9" customFormat="1" ht="11.25" x14ac:dyDescent="0.2">
      <c r="A5" s="8" t="s">
        <v>4</v>
      </c>
      <c r="B5" s="261"/>
    </row>
    <row r="6" spans="1:23" s="1" customFormat="1" ht="17.100000000000001" customHeight="1" thickBot="1" x14ac:dyDescent="0.25"/>
    <row r="7" spans="1:23" s="1" customFormat="1" ht="17.100000000000001" customHeight="1" thickTop="1" x14ac:dyDescent="0.2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1:23" s="22" customFormat="1" ht="20.25" x14ac:dyDescent="0.3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1:23" s="1" customFormat="1" ht="17.100000000000001" customHeight="1" x14ac:dyDescent="0.2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1:23" s="22" customFormat="1" ht="20.25" x14ac:dyDescent="0.3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1:23" s="1" customFormat="1" ht="17.100000000000001" customHeight="1" x14ac:dyDescent="0.2">
      <c r="B11" s="13"/>
      <c r="C11" s="7"/>
      <c r="D11" s="7"/>
      <c r="E11" s="7"/>
      <c r="F11" s="262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1:23" s="10" customFormat="1" ht="19.5" x14ac:dyDescent="0.35">
      <c r="B12" s="11" t="str">
        <f>'TOT-0216'!B14</f>
        <v>Desde el 01 al 29 de Febrero de 2016</v>
      </c>
      <c r="C12" s="263"/>
      <c r="D12" s="263"/>
      <c r="E12" s="263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1:23" s="1" customFormat="1" ht="17.100000000000001" customHeight="1" thickBot="1" x14ac:dyDescent="0.25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1:23" s="1" customFormat="1" ht="17.100000000000001" customHeight="1" thickTop="1" thickBot="1" x14ac:dyDescent="0.25">
      <c r="B14" s="13"/>
      <c r="C14" s="7"/>
      <c r="D14" s="7"/>
      <c r="E14" s="7"/>
      <c r="F14" s="264" t="s">
        <v>48</v>
      </c>
      <c r="G14" s="316">
        <v>34.93</v>
      </c>
      <c r="H14" s="266">
        <f>60*'TOT-0216'!B13</f>
        <v>60</v>
      </c>
      <c r="I14" s="34"/>
      <c r="J14" s="177" t="str">
        <f>IF(H14=60," ",IF(H14=120,"    Coeficiente duplicado por tasa de falla &gt;4 Sal. x año/100 km.","    REVISAR COEFICIENTE"))</f>
        <v xml:space="preserve"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1:23" s="1" customFormat="1" ht="17.100000000000001" customHeight="1" thickTop="1" thickBot="1" x14ac:dyDescent="0.25">
      <c r="B15" s="13"/>
      <c r="C15" s="7"/>
      <c r="D15" s="7"/>
      <c r="E15" s="7"/>
      <c r="F15" s="264" t="s">
        <v>49</v>
      </c>
      <c r="G15" s="265">
        <v>17.466000000000001</v>
      </c>
      <c r="H15" s="266">
        <f>50*'TOT-0216'!B13</f>
        <v>50</v>
      </c>
      <c r="J15" s="177" t="str">
        <f>IF(H15=50," ",IF(H15=100,"    Coeficiente duplicado por tasa de falla &gt;4 Sal. x año/100 km.","    REVISAR COEFICIENTE"))</f>
        <v xml:space="preserve"> </v>
      </c>
      <c r="S15" s="7"/>
      <c r="T15" s="7"/>
      <c r="U15" s="7"/>
      <c r="V15" s="267"/>
      <c r="W15" s="14"/>
    </row>
    <row r="16" spans="1:23" s="1" customFormat="1" ht="17.100000000000001" customHeight="1" thickTop="1" thickBot="1" x14ac:dyDescent="0.25">
      <c r="B16" s="13"/>
      <c r="C16" s="7"/>
      <c r="D16" s="7"/>
      <c r="E16" s="7"/>
      <c r="F16" s="268" t="s">
        <v>50</v>
      </c>
      <c r="G16" s="269">
        <v>13.097</v>
      </c>
      <c r="H16" s="270">
        <f>50*'TOT-0216'!B13</f>
        <v>50</v>
      </c>
      <c r="J16" s="177" t="str">
        <f>IF(H16=50," ",IF(H16=100,"    Coeficiente duplicado por tasa de falla &gt;4 Sal. x año/100 km.","    REVISAR COEFICIENTE"))</f>
        <v xml:space="preserve"> </v>
      </c>
      <c r="K16" s="271"/>
      <c r="L16" s="271"/>
      <c r="M16" s="7"/>
      <c r="P16" s="272"/>
      <c r="Q16" s="273"/>
      <c r="R16" s="15"/>
      <c r="S16" s="7"/>
      <c r="T16" s="7"/>
      <c r="U16" s="7"/>
      <c r="V16" s="267"/>
      <c r="W16" s="14"/>
    </row>
    <row r="17" spans="2:23" s="1" customFormat="1" ht="17.100000000000001" customHeight="1" thickTop="1" thickBot="1" x14ac:dyDescent="0.25">
      <c r="B17" s="13"/>
      <c r="C17" s="7"/>
      <c r="D17" s="7"/>
      <c r="E17" s="7"/>
      <c r="F17" s="274" t="s">
        <v>51</v>
      </c>
      <c r="G17" s="269">
        <v>13.097</v>
      </c>
      <c r="H17" s="275">
        <f>40*'TOT-0216'!B13</f>
        <v>40</v>
      </c>
      <c r="J17" s="177" t="str">
        <f>IF(H17=40," ",IF(H17=80,"    Coeficiente duplicado por tasa de falla &gt;4 Sal. x año/100 km.","    REVISAR COEFICIENTE"))</f>
        <v xml:space="preserve"> </v>
      </c>
      <c r="K17" s="271"/>
      <c r="L17" s="271"/>
      <c r="M17" s="7"/>
      <c r="P17" s="272"/>
      <c r="Q17" s="273"/>
      <c r="R17" s="15"/>
      <c r="S17" s="7"/>
      <c r="T17" s="7"/>
      <c r="U17" s="7"/>
      <c r="V17" s="267"/>
      <c r="W17" s="14"/>
    </row>
    <row r="18" spans="2:23" s="1" customFormat="1" ht="17.100000000000001" customHeight="1" thickTop="1" thickBot="1" x14ac:dyDescent="0.25">
      <c r="B18" s="13"/>
      <c r="C18" s="430">
        <v>3</v>
      </c>
      <c r="D18" s="430">
        <v>4</v>
      </c>
      <c r="E18" s="430">
        <v>5</v>
      </c>
      <c r="F18" s="430">
        <v>6</v>
      </c>
      <c r="G18" s="430">
        <v>7</v>
      </c>
      <c r="H18" s="430">
        <v>8</v>
      </c>
      <c r="I18" s="430">
        <v>9</v>
      </c>
      <c r="J18" s="430">
        <v>10</v>
      </c>
      <c r="K18" s="430">
        <v>11</v>
      </c>
      <c r="L18" s="430">
        <v>12</v>
      </c>
      <c r="M18" s="430">
        <v>13</v>
      </c>
      <c r="N18" s="430">
        <v>14</v>
      </c>
      <c r="O18" s="430">
        <v>15</v>
      </c>
      <c r="P18" s="430">
        <v>16</v>
      </c>
      <c r="Q18" s="430">
        <v>17</v>
      </c>
      <c r="R18" s="430">
        <v>18</v>
      </c>
      <c r="S18" s="430">
        <v>19</v>
      </c>
      <c r="T18" s="430">
        <v>20</v>
      </c>
      <c r="U18" s="430">
        <v>21</v>
      </c>
      <c r="V18" s="430">
        <v>22</v>
      </c>
      <c r="W18" s="14"/>
    </row>
    <row r="19" spans="2:23" s="276" customFormat="1" ht="35.1" customHeight="1" thickTop="1" thickBot="1" x14ac:dyDescent="0.25">
      <c r="B19" s="277"/>
      <c r="C19" s="415" t="s">
        <v>13</v>
      </c>
      <c r="D19" s="415" t="s">
        <v>78</v>
      </c>
      <c r="E19" s="415" t="s">
        <v>79</v>
      </c>
      <c r="F19" s="181" t="s">
        <v>35</v>
      </c>
      <c r="G19" s="182" t="s">
        <v>36</v>
      </c>
      <c r="H19" s="184" t="s">
        <v>14</v>
      </c>
      <c r="I19" s="49" t="s">
        <v>16</v>
      </c>
      <c r="J19" s="182" t="s">
        <v>17</v>
      </c>
      <c r="K19" s="182" t="s">
        <v>18</v>
      </c>
      <c r="L19" s="181" t="s">
        <v>38</v>
      </c>
      <c r="M19" s="181" t="s">
        <v>39</v>
      </c>
      <c r="N19" s="48" t="s">
        <v>66</v>
      </c>
      <c r="O19" s="182" t="s">
        <v>40</v>
      </c>
      <c r="P19" s="278" t="s">
        <v>52</v>
      </c>
      <c r="Q19" s="279" t="s">
        <v>53</v>
      </c>
      <c r="R19" s="280" t="s">
        <v>43</v>
      </c>
      <c r="S19" s="281"/>
      <c r="T19" s="282" t="s">
        <v>27</v>
      </c>
      <c r="U19" s="184" t="s">
        <v>29</v>
      </c>
      <c r="V19" s="184" t="s">
        <v>30</v>
      </c>
      <c r="W19" s="283"/>
    </row>
    <row r="20" spans="2:23" s="1" customFormat="1" ht="17.100000000000001" customHeight="1" thickTop="1" x14ac:dyDescent="0.25">
      <c r="B20" s="13"/>
      <c r="C20" s="198"/>
      <c r="D20" s="414"/>
      <c r="E20" s="414"/>
      <c r="F20" s="196"/>
      <c r="G20" s="196"/>
      <c r="H20" s="284"/>
      <c r="I20" s="285"/>
      <c r="J20" s="405"/>
      <c r="K20" s="408"/>
      <c r="L20" s="200"/>
      <c r="M20" s="200"/>
      <c r="N20" s="197"/>
      <c r="O20" s="197"/>
      <c r="P20" s="286"/>
      <c r="Q20" s="287"/>
      <c r="R20" s="288"/>
      <c r="S20" s="289"/>
      <c r="T20" s="290"/>
      <c r="U20" s="291"/>
      <c r="V20" s="208">
        <f>'SA-02 (1)'!V42</f>
        <v>5179.21</v>
      </c>
      <c r="W20" s="159"/>
    </row>
    <row r="21" spans="2:23" s="1" customFormat="1" ht="17.100000000000001" customHeight="1" x14ac:dyDescent="0.25">
      <c r="B21" s="13"/>
      <c r="C21" s="210"/>
      <c r="D21" s="209"/>
      <c r="E21" s="209"/>
      <c r="F21" s="292"/>
      <c r="G21" s="292"/>
      <c r="H21" s="293"/>
      <c r="I21" s="294"/>
      <c r="J21" s="440"/>
      <c r="K21" s="441"/>
      <c r="L21" s="225"/>
      <c r="M21" s="295"/>
      <c r="N21" s="227"/>
      <c r="O21" s="227"/>
      <c r="P21" s="296"/>
      <c r="Q21" s="297"/>
      <c r="R21" s="298"/>
      <c r="S21" s="299"/>
      <c r="T21" s="300"/>
      <c r="U21" s="301"/>
      <c r="V21" s="302"/>
      <c r="W21" s="159"/>
    </row>
    <row r="22" spans="2:23" s="1" customFormat="1" ht="17.100000000000001" customHeight="1" x14ac:dyDescent="0.25">
      <c r="B22" s="13"/>
      <c r="C22" s="210">
        <v>83</v>
      </c>
      <c r="D22" s="209">
        <v>299407</v>
      </c>
      <c r="E22" s="209">
        <v>2324</v>
      </c>
      <c r="F22" s="292" t="s">
        <v>221</v>
      </c>
      <c r="G22" s="292" t="s">
        <v>222</v>
      </c>
      <c r="H22" s="303">
        <v>33</v>
      </c>
      <c r="I22" s="294">
        <f t="shared" ref="I22:I41" si="0">IF(H22=220,$G$14,IF(AND(H22&lt;=132,H22&gt;=66),$G$15,IF(AND(H22&lt;66,H22&gt;=33),$G$16,$G$17)))</f>
        <v>13.097</v>
      </c>
      <c r="J22" s="440">
        <v>42417.486111111109</v>
      </c>
      <c r="K22" s="441">
        <v>42417.604166666664</v>
      </c>
      <c r="L22" s="225">
        <f t="shared" ref="L22:L41" si="1">IF(F22="","",(K22-J22)*24)</f>
        <v>2.8333333333139308</v>
      </c>
      <c r="M22" s="295">
        <f t="shared" ref="M22:M41" si="2">IF(F22="","",ROUND((K22-J22)*24*60,0))</f>
        <v>170</v>
      </c>
      <c r="N22" s="227" t="s">
        <v>142</v>
      </c>
      <c r="O22" s="436" t="str">
        <f>IF(F22="","",IF(OR(N22="P",N22="RP"),"--","NO"))</f>
        <v>--</v>
      </c>
      <c r="P22" s="296">
        <f t="shared" ref="P22:P41" si="3">IF(H22=220,$H$14,IF(AND(H22&lt;=132,H22&gt;=66),$H$15,IF(AND(H22&lt;66,H22&gt;13.2),$H$16,$H$17)))</f>
        <v>50</v>
      </c>
      <c r="Q22" s="297">
        <f t="shared" ref="Q22:Q41" si="4">IF(N22="P",I22*P22*ROUND(M22/60,2)*0.1,"--")</f>
        <v>185.32255000000001</v>
      </c>
      <c r="R22" s="298" t="str">
        <f t="shared" ref="R22:R41" si="5">IF(AND(N22="F",O22="NO"),I22*P22,"--")</f>
        <v>--</v>
      </c>
      <c r="S22" s="299" t="str">
        <f t="shared" ref="S22:S41" si="6">IF(N22="F",I22*P22*ROUND(M22/60,2),"--")</f>
        <v>--</v>
      </c>
      <c r="T22" s="300" t="str">
        <f t="shared" ref="T22:T41" si="7">IF(N22="RF",I22*P22*ROUND(M22/60,2),"--")</f>
        <v>--</v>
      </c>
      <c r="U22" s="437" t="s">
        <v>139</v>
      </c>
      <c r="V22" s="304">
        <f t="shared" ref="V22:V41" si="8">IF(F22="","",SUM(Q22:T22)*IF(U22="SI",1,2)*IF(H22="500/220",0,1))</f>
        <v>185.32255000000001</v>
      </c>
      <c r="W22" s="237"/>
    </row>
    <row r="23" spans="2:23" s="1" customFormat="1" ht="17.100000000000001" customHeight="1" x14ac:dyDescent="0.25">
      <c r="B23" s="13"/>
      <c r="C23" s="210">
        <v>84</v>
      </c>
      <c r="D23" s="209">
        <v>299408</v>
      </c>
      <c r="E23" s="209">
        <v>2324</v>
      </c>
      <c r="F23" s="292" t="s">
        <v>221</v>
      </c>
      <c r="G23" s="292" t="s">
        <v>222</v>
      </c>
      <c r="H23" s="303">
        <v>33</v>
      </c>
      <c r="I23" s="294">
        <f t="shared" si="0"/>
        <v>13.097</v>
      </c>
      <c r="J23" s="440">
        <v>42418.31527777778</v>
      </c>
      <c r="K23" s="441">
        <v>42418.536805555559</v>
      </c>
      <c r="L23" s="225">
        <f t="shared" si="1"/>
        <v>5.3166666667093523</v>
      </c>
      <c r="M23" s="295">
        <f t="shared" si="2"/>
        <v>319</v>
      </c>
      <c r="N23" s="227" t="s">
        <v>142</v>
      </c>
      <c r="O23" s="436" t="str">
        <f t="shared" ref="O23:O41" si="9">IF(F23="","",IF(OR(N23="P",N23="RP"),"--","NO"))</f>
        <v>--</v>
      </c>
      <c r="P23" s="296">
        <f t="shared" si="3"/>
        <v>50</v>
      </c>
      <c r="Q23" s="297">
        <f t="shared" si="4"/>
        <v>348.38020000000006</v>
      </c>
      <c r="R23" s="298" t="str">
        <f t="shared" si="5"/>
        <v>--</v>
      </c>
      <c r="S23" s="299" t="str">
        <f t="shared" si="6"/>
        <v>--</v>
      </c>
      <c r="T23" s="300" t="str">
        <f t="shared" si="7"/>
        <v>--</v>
      </c>
      <c r="U23" s="437" t="s">
        <v>139</v>
      </c>
      <c r="V23" s="304">
        <f t="shared" si="8"/>
        <v>348.38020000000006</v>
      </c>
      <c r="W23" s="237"/>
    </row>
    <row r="24" spans="2:23" s="1" customFormat="1" ht="17.100000000000001" customHeight="1" x14ac:dyDescent="0.25">
      <c r="B24" s="13"/>
      <c r="C24" s="210">
        <v>85</v>
      </c>
      <c r="D24" s="209">
        <v>299409</v>
      </c>
      <c r="E24" s="209">
        <v>2398</v>
      </c>
      <c r="F24" s="292" t="s">
        <v>155</v>
      </c>
      <c r="G24" s="292" t="s">
        <v>220</v>
      </c>
      <c r="H24" s="293">
        <v>33</v>
      </c>
      <c r="I24" s="294">
        <f t="shared" si="0"/>
        <v>13.097</v>
      </c>
      <c r="J24" s="440">
        <v>42418.31527777778</v>
      </c>
      <c r="K24" s="441">
        <v>42418.527083333334</v>
      </c>
      <c r="L24" s="225">
        <f t="shared" si="1"/>
        <v>5.0833333333139308</v>
      </c>
      <c r="M24" s="295">
        <f t="shared" si="2"/>
        <v>305</v>
      </c>
      <c r="N24" s="227" t="s">
        <v>142</v>
      </c>
      <c r="O24" s="436" t="str">
        <f t="shared" si="9"/>
        <v>--</v>
      </c>
      <c r="P24" s="296">
        <f t="shared" si="3"/>
        <v>50</v>
      </c>
      <c r="Q24" s="297">
        <f t="shared" si="4"/>
        <v>332.66380000000004</v>
      </c>
      <c r="R24" s="298" t="str">
        <f t="shared" si="5"/>
        <v>--</v>
      </c>
      <c r="S24" s="299" t="str">
        <f t="shared" si="6"/>
        <v>--</v>
      </c>
      <c r="T24" s="300" t="str">
        <f t="shared" si="7"/>
        <v>--</v>
      </c>
      <c r="U24" s="437" t="s">
        <v>139</v>
      </c>
      <c r="V24" s="304">
        <f t="shared" si="8"/>
        <v>332.66380000000004</v>
      </c>
      <c r="W24" s="237"/>
    </row>
    <row r="25" spans="2:23" s="1" customFormat="1" ht="17.100000000000001" customHeight="1" x14ac:dyDescent="0.25">
      <c r="B25" s="13"/>
      <c r="C25" s="210">
        <v>86</v>
      </c>
      <c r="D25" s="209">
        <v>299412</v>
      </c>
      <c r="E25" s="209">
        <v>2502</v>
      </c>
      <c r="F25" s="292" t="s">
        <v>153</v>
      </c>
      <c r="G25" s="292" t="s">
        <v>223</v>
      </c>
      <c r="H25" s="293">
        <v>33</v>
      </c>
      <c r="I25" s="294">
        <f t="shared" si="0"/>
        <v>13.097</v>
      </c>
      <c r="J25" s="440">
        <v>42418.370833333334</v>
      </c>
      <c r="K25" s="441">
        <v>42418.693749999999</v>
      </c>
      <c r="L25" s="225">
        <f t="shared" si="1"/>
        <v>7.7499999999417923</v>
      </c>
      <c r="M25" s="295">
        <f t="shared" si="2"/>
        <v>465</v>
      </c>
      <c r="N25" s="227" t="s">
        <v>142</v>
      </c>
      <c r="O25" s="436" t="str">
        <f t="shared" si="9"/>
        <v>--</v>
      </c>
      <c r="P25" s="296">
        <f t="shared" si="3"/>
        <v>50</v>
      </c>
      <c r="Q25" s="297">
        <f t="shared" si="4"/>
        <v>507.50875000000008</v>
      </c>
      <c r="R25" s="298" t="str">
        <f t="shared" si="5"/>
        <v>--</v>
      </c>
      <c r="S25" s="299" t="str">
        <f t="shared" si="6"/>
        <v>--</v>
      </c>
      <c r="T25" s="300" t="str">
        <f t="shared" si="7"/>
        <v>--</v>
      </c>
      <c r="U25" s="437" t="s">
        <v>139</v>
      </c>
      <c r="V25" s="304">
        <f t="shared" si="8"/>
        <v>507.50875000000008</v>
      </c>
      <c r="W25" s="237"/>
    </row>
    <row r="26" spans="2:23" s="1" customFormat="1" ht="17.100000000000001" customHeight="1" x14ac:dyDescent="0.25">
      <c r="B26" s="13"/>
      <c r="C26" s="210">
        <v>87</v>
      </c>
      <c r="D26" s="209">
        <v>299413</v>
      </c>
      <c r="E26" s="209">
        <v>2504</v>
      </c>
      <c r="F26" s="292" t="s">
        <v>153</v>
      </c>
      <c r="G26" s="292" t="s">
        <v>224</v>
      </c>
      <c r="H26" s="293">
        <v>33</v>
      </c>
      <c r="I26" s="294">
        <f t="shared" si="0"/>
        <v>13.097</v>
      </c>
      <c r="J26" s="440">
        <v>42418.383333333331</v>
      </c>
      <c r="K26" s="441">
        <v>42418.669444444444</v>
      </c>
      <c r="L26" s="225">
        <f t="shared" si="1"/>
        <v>6.8666666666977108</v>
      </c>
      <c r="M26" s="295">
        <f t="shared" si="2"/>
        <v>412</v>
      </c>
      <c r="N26" s="227" t="s">
        <v>142</v>
      </c>
      <c r="O26" s="436" t="str">
        <f t="shared" si="9"/>
        <v>--</v>
      </c>
      <c r="P26" s="296">
        <f t="shared" si="3"/>
        <v>50</v>
      </c>
      <c r="Q26" s="297">
        <f t="shared" si="4"/>
        <v>449.88195000000007</v>
      </c>
      <c r="R26" s="298" t="str">
        <f t="shared" si="5"/>
        <v>--</v>
      </c>
      <c r="S26" s="299" t="str">
        <f t="shared" si="6"/>
        <v>--</v>
      </c>
      <c r="T26" s="300" t="str">
        <f t="shared" si="7"/>
        <v>--</v>
      </c>
      <c r="U26" s="437" t="s">
        <v>139</v>
      </c>
      <c r="V26" s="304">
        <f t="shared" si="8"/>
        <v>449.88195000000007</v>
      </c>
      <c r="W26" s="237"/>
    </row>
    <row r="27" spans="2:23" s="1" customFormat="1" ht="17.100000000000001" customHeight="1" x14ac:dyDescent="0.25">
      <c r="B27" s="13"/>
      <c r="C27" s="210">
        <v>88</v>
      </c>
      <c r="D27" s="209">
        <v>299415</v>
      </c>
      <c r="E27" s="209">
        <v>2142</v>
      </c>
      <c r="F27" s="292" t="s">
        <v>156</v>
      </c>
      <c r="G27" s="292" t="s">
        <v>225</v>
      </c>
      <c r="H27" s="293">
        <v>13.2</v>
      </c>
      <c r="I27" s="294">
        <f t="shared" si="0"/>
        <v>13.097</v>
      </c>
      <c r="J27" s="440">
        <v>42418.473611111112</v>
      </c>
      <c r="K27" s="441">
        <v>42418.56527777778</v>
      </c>
      <c r="L27" s="225">
        <f t="shared" si="1"/>
        <v>2.2000000000116415</v>
      </c>
      <c r="M27" s="295">
        <f t="shared" si="2"/>
        <v>132</v>
      </c>
      <c r="N27" s="227" t="s">
        <v>142</v>
      </c>
      <c r="O27" s="436" t="str">
        <f t="shared" si="9"/>
        <v>--</v>
      </c>
      <c r="P27" s="296">
        <f t="shared" si="3"/>
        <v>40</v>
      </c>
      <c r="Q27" s="297">
        <f t="shared" si="4"/>
        <v>115.25360000000001</v>
      </c>
      <c r="R27" s="298" t="str">
        <f t="shared" si="5"/>
        <v>--</v>
      </c>
      <c r="S27" s="299" t="str">
        <f t="shared" si="6"/>
        <v>--</v>
      </c>
      <c r="T27" s="300" t="str">
        <f t="shared" si="7"/>
        <v>--</v>
      </c>
      <c r="U27" s="437" t="s">
        <v>139</v>
      </c>
      <c r="V27" s="304">
        <f t="shared" si="8"/>
        <v>115.25360000000001</v>
      </c>
      <c r="W27" s="237"/>
    </row>
    <row r="28" spans="2:23" s="1" customFormat="1" ht="17.100000000000001" customHeight="1" x14ac:dyDescent="0.25">
      <c r="B28" s="13"/>
      <c r="C28" s="210"/>
      <c r="D28" s="209"/>
      <c r="E28" s="209"/>
      <c r="F28" s="292"/>
      <c r="G28" s="292"/>
      <c r="H28" s="293"/>
      <c r="I28" s="294"/>
      <c r="J28" s="440"/>
      <c r="K28" s="441"/>
      <c r="L28" s="225"/>
      <c r="M28" s="295"/>
      <c r="N28" s="227"/>
      <c r="O28" s="436"/>
      <c r="P28" s="296"/>
      <c r="Q28" s="297"/>
      <c r="R28" s="298"/>
      <c r="S28" s="299"/>
      <c r="T28" s="300"/>
      <c r="U28" s="437"/>
      <c r="V28" s="304"/>
      <c r="W28" s="237"/>
    </row>
    <row r="29" spans="2:23" s="1" customFormat="1" ht="17.100000000000001" customHeight="1" x14ac:dyDescent="0.25">
      <c r="B29" s="13"/>
      <c r="C29" s="210">
        <v>90</v>
      </c>
      <c r="D29" s="209">
        <v>299421</v>
      </c>
      <c r="E29" s="209">
        <v>2545</v>
      </c>
      <c r="F29" s="292" t="s">
        <v>226</v>
      </c>
      <c r="G29" s="292" t="s">
        <v>227</v>
      </c>
      <c r="H29" s="293">
        <v>33</v>
      </c>
      <c r="I29" s="294">
        <f t="shared" si="0"/>
        <v>13.097</v>
      </c>
      <c r="J29" s="440">
        <v>42419.361111111109</v>
      </c>
      <c r="K29" s="441">
        <v>42419.666666666664</v>
      </c>
      <c r="L29" s="225">
        <f t="shared" si="1"/>
        <v>7.3333333333139308</v>
      </c>
      <c r="M29" s="295">
        <f t="shared" si="2"/>
        <v>440</v>
      </c>
      <c r="N29" s="227" t="s">
        <v>142</v>
      </c>
      <c r="O29" s="436" t="str">
        <f t="shared" si="9"/>
        <v>--</v>
      </c>
      <c r="P29" s="296">
        <f t="shared" si="3"/>
        <v>50</v>
      </c>
      <c r="Q29" s="297">
        <f t="shared" si="4"/>
        <v>480.00505000000004</v>
      </c>
      <c r="R29" s="298" t="str">
        <f t="shared" si="5"/>
        <v>--</v>
      </c>
      <c r="S29" s="299" t="str">
        <f t="shared" si="6"/>
        <v>--</v>
      </c>
      <c r="T29" s="300" t="str">
        <f t="shared" si="7"/>
        <v>--</v>
      </c>
      <c r="U29" s="437" t="s">
        <v>139</v>
      </c>
      <c r="V29" s="304">
        <f t="shared" si="8"/>
        <v>480.00505000000004</v>
      </c>
      <c r="W29" s="237"/>
    </row>
    <row r="30" spans="2:23" s="1" customFormat="1" ht="17.100000000000001" customHeight="1" x14ac:dyDescent="0.25">
      <c r="B30" s="13"/>
      <c r="C30" s="210">
        <v>91</v>
      </c>
      <c r="D30" s="209">
        <v>299425</v>
      </c>
      <c r="E30" s="209">
        <v>2505</v>
      </c>
      <c r="F30" s="292" t="s">
        <v>153</v>
      </c>
      <c r="G30" s="292" t="s">
        <v>228</v>
      </c>
      <c r="H30" s="293">
        <v>33</v>
      </c>
      <c r="I30" s="294">
        <f t="shared" si="0"/>
        <v>13.097</v>
      </c>
      <c r="J30" s="440">
        <v>42419.393750000003</v>
      </c>
      <c r="K30" s="441">
        <v>42419.666666666664</v>
      </c>
      <c r="L30" s="225">
        <f t="shared" si="1"/>
        <v>6.5499999998719431</v>
      </c>
      <c r="M30" s="295">
        <f t="shared" si="2"/>
        <v>393</v>
      </c>
      <c r="N30" s="227" t="s">
        <v>142</v>
      </c>
      <c r="O30" s="436" t="str">
        <f t="shared" si="9"/>
        <v>--</v>
      </c>
      <c r="P30" s="296">
        <f t="shared" si="3"/>
        <v>50</v>
      </c>
      <c r="Q30" s="297">
        <f t="shared" si="4"/>
        <v>428.92675000000003</v>
      </c>
      <c r="R30" s="298" t="str">
        <f t="shared" si="5"/>
        <v>--</v>
      </c>
      <c r="S30" s="299" t="str">
        <f t="shared" si="6"/>
        <v>--</v>
      </c>
      <c r="T30" s="300" t="str">
        <f t="shared" si="7"/>
        <v>--</v>
      </c>
      <c r="U30" s="437" t="s">
        <v>139</v>
      </c>
      <c r="V30" s="304">
        <f t="shared" si="8"/>
        <v>428.92675000000003</v>
      </c>
      <c r="W30" s="237"/>
    </row>
    <row r="31" spans="2:23" s="1" customFormat="1" ht="17.100000000000001" customHeight="1" x14ac:dyDescent="0.25">
      <c r="B31" s="13"/>
      <c r="C31" s="210">
        <v>92</v>
      </c>
      <c r="D31" s="209">
        <v>299426</v>
      </c>
      <c r="E31" s="209">
        <v>2503</v>
      </c>
      <c r="F31" s="292" t="s">
        <v>153</v>
      </c>
      <c r="G31" s="292" t="s">
        <v>229</v>
      </c>
      <c r="H31" s="293">
        <v>13.199999809265137</v>
      </c>
      <c r="I31" s="294">
        <f t="shared" si="0"/>
        <v>13.097</v>
      </c>
      <c r="J31" s="440">
        <v>42419.397222222222</v>
      </c>
      <c r="K31" s="441">
        <v>42419.681250000001</v>
      </c>
      <c r="L31" s="225">
        <f t="shared" si="1"/>
        <v>6.8166666667093523</v>
      </c>
      <c r="M31" s="295">
        <f t="shared" si="2"/>
        <v>409</v>
      </c>
      <c r="N31" s="227" t="s">
        <v>142</v>
      </c>
      <c r="O31" s="436" t="str">
        <f t="shared" si="9"/>
        <v>--</v>
      </c>
      <c r="P31" s="296">
        <f t="shared" si="3"/>
        <v>40</v>
      </c>
      <c r="Q31" s="297">
        <f t="shared" si="4"/>
        <v>357.28616000000005</v>
      </c>
      <c r="R31" s="298" t="str">
        <f t="shared" si="5"/>
        <v>--</v>
      </c>
      <c r="S31" s="299" t="str">
        <f t="shared" si="6"/>
        <v>--</v>
      </c>
      <c r="T31" s="300" t="str">
        <f t="shared" si="7"/>
        <v>--</v>
      </c>
      <c r="U31" s="437" t="s">
        <v>139</v>
      </c>
      <c r="V31" s="304">
        <f t="shared" si="8"/>
        <v>357.28616000000005</v>
      </c>
      <c r="W31" s="237"/>
    </row>
    <row r="32" spans="2:23" s="1" customFormat="1" ht="17.100000000000001" customHeight="1" x14ac:dyDescent="0.25">
      <c r="B32" s="13"/>
      <c r="C32" s="210">
        <v>93</v>
      </c>
      <c r="D32" s="209">
        <v>299709</v>
      </c>
      <c r="E32" s="209">
        <v>4447</v>
      </c>
      <c r="F32" s="292" t="s">
        <v>158</v>
      </c>
      <c r="G32" s="292" t="s">
        <v>215</v>
      </c>
      <c r="H32" s="293">
        <v>132</v>
      </c>
      <c r="I32" s="294">
        <f t="shared" si="0"/>
        <v>17.466000000000001</v>
      </c>
      <c r="J32" s="440">
        <v>42424.201388888891</v>
      </c>
      <c r="K32" s="441">
        <v>42424.482638888891</v>
      </c>
      <c r="L32" s="225">
        <f t="shared" si="1"/>
        <v>6.75</v>
      </c>
      <c r="M32" s="295">
        <f t="shared" si="2"/>
        <v>405</v>
      </c>
      <c r="N32" s="227" t="s">
        <v>142</v>
      </c>
      <c r="O32" s="436" t="str">
        <f t="shared" si="9"/>
        <v>--</v>
      </c>
      <c r="P32" s="296">
        <f t="shared" si="3"/>
        <v>50</v>
      </c>
      <c r="Q32" s="297">
        <f t="shared" si="4"/>
        <v>589.47750000000008</v>
      </c>
      <c r="R32" s="298" t="str">
        <f t="shared" si="5"/>
        <v>--</v>
      </c>
      <c r="S32" s="299" t="str">
        <f t="shared" si="6"/>
        <v>--</v>
      </c>
      <c r="T32" s="300" t="str">
        <f t="shared" si="7"/>
        <v>--</v>
      </c>
      <c r="U32" s="437" t="s">
        <v>139</v>
      </c>
      <c r="V32" s="304">
        <v>0</v>
      </c>
      <c r="W32" s="237"/>
    </row>
    <row r="33" spans="2:23" s="1" customFormat="1" ht="17.100000000000001" customHeight="1" x14ac:dyDescent="0.25">
      <c r="B33" s="13"/>
      <c r="C33" s="210"/>
      <c r="D33" s="209"/>
      <c r="E33" s="209"/>
      <c r="F33" s="292"/>
      <c r="G33" s="292"/>
      <c r="H33" s="293"/>
      <c r="I33" s="294"/>
      <c r="J33" s="440"/>
      <c r="K33" s="441"/>
      <c r="L33" s="225"/>
      <c r="M33" s="295"/>
      <c r="N33" s="227"/>
      <c r="O33" s="436"/>
      <c r="P33" s="296"/>
      <c r="Q33" s="297"/>
      <c r="R33" s="298"/>
      <c r="S33" s="299"/>
      <c r="T33" s="300"/>
      <c r="U33" s="437"/>
      <c r="V33" s="304"/>
      <c r="W33" s="237"/>
    </row>
    <row r="34" spans="2:23" s="1" customFormat="1" ht="17.100000000000001" customHeight="1" x14ac:dyDescent="0.25">
      <c r="B34" s="13"/>
      <c r="C34" s="210"/>
      <c r="D34" s="209"/>
      <c r="E34" s="209"/>
      <c r="F34" s="292"/>
      <c r="G34" s="292"/>
      <c r="H34" s="293"/>
      <c r="I34" s="294"/>
      <c r="J34" s="440"/>
      <c r="K34" s="441"/>
      <c r="L34" s="225"/>
      <c r="M34" s="295"/>
      <c r="N34" s="227"/>
      <c r="O34" s="436"/>
      <c r="P34" s="296"/>
      <c r="Q34" s="297"/>
      <c r="R34" s="298"/>
      <c r="S34" s="299"/>
      <c r="T34" s="300"/>
      <c r="U34" s="437"/>
      <c r="V34" s="304"/>
      <c r="W34" s="237"/>
    </row>
    <row r="35" spans="2:23" s="1" customFormat="1" ht="17.100000000000001" customHeight="1" x14ac:dyDescent="0.25">
      <c r="B35" s="13"/>
      <c r="C35" s="210"/>
      <c r="D35" s="209"/>
      <c r="E35" s="209"/>
      <c r="F35" s="292"/>
      <c r="G35" s="292"/>
      <c r="H35" s="293"/>
      <c r="I35" s="294"/>
      <c r="J35" s="440"/>
      <c r="K35" s="441"/>
      <c r="L35" s="225"/>
      <c r="M35" s="295"/>
      <c r="N35" s="227"/>
      <c r="O35" s="436"/>
      <c r="P35" s="296"/>
      <c r="Q35" s="297"/>
      <c r="R35" s="298"/>
      <c r="S35" s="299"/>
      <c r="T35" s="300"/>
      <c r="U35" s="437"/>
      <c r="V35" s="304"/>
      <c r="W35" s="237"/>
    </row>
    <row r="36" spans="2:23" s="1" customFormat="1" ht="17.100000000000001" customHeight="1" x14ac:dyDescent="0.25">
      <c r="B36" s="13"/>
      <c r="C36" s="210">
        <v>97</v>
      </c>
      <c r="D36" s="209">
        <v>299718</v>
      </c>
      <c r="E36" s="209">
        <v>2384</v>
      </c>
      <c r="F36" s="292" t="s">
        <v>230</v>
      </c>
      <c r="G36" s="292" t="s">
        <v>231</v>
      </c>
      <c r="H36" s="293">
        <v>13.2</v>
      </c>
      <c r="I36" s="294">
        <f t="shared" si="0"/>
        <v>13.097</v>
      </c>
      <c r="J36" s="440">
        <v>42425.313888888886</v>
      </c>
      <c r="K36" s="441">
        <v>42425.364583333336</v>
      </c>
      <c r="L36" s="225">
        <f t="shared" si="1"/>
        <v>1.216666666790843</v>
      </c>
      <c r="M36" s="295">
        <f t="shared" si="2"/>
        <v>73</v>
      </c>
      <c r="N36" s="227" t="s">
        <v>142</v>
      </c>
      <c r="O36" s="436" t="str">
        <f t="shared" si="9"/>
        <v>--</v>
      </c>
      <c r="P36" s="296">
        <f t="shared" si="3"/>
        <v>40</v>
      </c>
      <c r="Q36" s="297">
        <f t="shared" si="4"/>
        <v>63.913360000000004</v>
      </c>
      <c r="R36" s="298" t="str">
        <f t="shared" si="5"/>
        <v>--</v>
      </c>
      <c r="S36" s="299" t="str">
        <f t="shared" si="6"/>
        <v>--</v>
      </c>
      <c r="T36" s="300" t="str">
        <f t="shared" si="7"/>
        <v>--</v>
      </c>
      <c r="U36" s="437" t="s">
        <v>139</v>
      </c>
      <c r="V36" s="304">
        <f t="shared" si="8"/>
        <v>63.913360000000004</v>
      </c>
      <c r="W36" s="237"/>
    </row>
    <row r="37" spans="2:23" s="1" customFormat="1" ht="17.100000000000001" customHeight="1" x14ac:dyDescent="0.25">
      <c r="B37" s="13"/>
      <c r="C37" s="210"/>
      <c r="D37" s="209"/>
      <c r="E37" s="209"/>
      <c r="F37" s="292"/>
      <c r="G37" s="292"/>
      <c r="H37" s="293"/>
      <c r="I37" s="294">
        <f t="shared" si="0"/>
        <v>13.097</v>
      </c>
      <c r="J37" s="440"/>
      <c r="K37" s="441"/>
      <c r="L37" s="225" t="str">
        <f t="shared" si="1"/>
        <v/>
      </c>
      <c r="M37" s="295" t="str">
        <f t="shared" si="2"/>
        <v/>
      </c>
      <c r="N37" s="227"/>
      <c r="O37" s="436" t="str">
        <f t="shared" si="9"/>
        <v/>
      </c>
      <c r="P37" s="296">
        <f t="shared" si="3"/>
        <v>40</v>
      </c>
      <c r="Q37" s="297" t="str">
        <f t="shared" si="4"/>
        <v>--</v>
      </c>
      <c r="R37" s="298" t="str">
        <f t="shared" si="5"/>
        <v>--</v>
      </c>
      <c r="S37" s="299" t="str">
        <f t="shared" si="6"/>
        <v>--</v>
      </c>
      <c r="T37" s="300" t="str">
        <f t="shared" si="7"/>
        <v>--</v>
      </c>
      <c r="U37" s="437"/>
      <c r="V37" s="304" t="str">
        <f t="shared" si="8"/>
        <v/>
      </c>
      <c r="W37" s="237"/>
    </row>
    <row r="38" spans="2:23" s="1" customFormat="1" ht="17.100000000000001" customHeight="1" x14ac:dyDescent="0.25">
      <c r="B38" s="13"/>
      <c r="C38" s="210"/>
      <c r="D38" s="209"/>
      <c r="E38" s="209"/>
      <c r="F38" s="292"/>
      <c r="G38" s="292"/>
      <c r="H38" s="293"/>
      <c r="I38" s="294">
        <f t="shared" si="0"/>
        <v>13.097</v>
      </c>
      <c r="J38" s="440"/>
      <c r="K38" s="441"/>
      <c r="L38" s="225" t="str">
        <f t="shared" si="1"/>
        <v/>
      </c>
      <c r="M38" s="295" t="str">
        <f t="shared" si="2"/>
        <v/>
      </c>
      <c r="N38" s="227"/>
      <c r="O38" s="436" t="str">
        <f t="shared" si="9"/>
        <v/>
      </c>
      <c r="P38" s="296">
        <f t="shared" si="3"/>
        <v>40</v>
      </c>
      <c r="Q38" s="297" t="str">
        <f t="shared" si="4"/>
        <v>--</v>
      </c>
      <c r="R38" s="298" t="str">
        <f t="shared" si="5"/>
        <v>--</v>
      </c>
      <c r="S38" s="299" t="str">
        <f t="shared" si="6"/>
        <v>--</v>
      </c>
      <c r="T38" s="300" t="str">
        <f t="shared" si="7"/>
        <v>--</v>
      </c>
      <c r="U38" s="437"/>
      <c r="V38" s="304" t="str">
        <f t="shared" si="8"/>
        <v/>
      </c>
      <c r="W38" s="237"/>
    </row>
    <row r="39" spans="2:23" s="1" customFormat="1" ht="17.100000000000001" customHeight="1" x14ac:dyDescent="0.25">
      <c r="B39" s="13"/>
      <c r="C39" s="210"/>
      <c r="D39" s="209"/>
      <c r="E39" s="209"/>
      <c r="F39" s="292"/>
      <c r="G39" s="292"/>
      <c r="H39" s="293"/>
      <c r="I39" s="294">
        <f t="shared" si="0"/>
        <v>13.097</v>
      </c>
      <c r="J39" s="440"/>
      <c r="K39" s="441"/>
      <c r="L39" s="225" t="str">
        <f t="shared" si="1"/>
        <v/>
      </c>
      <c r="M39" s="295" t="str">
        <f t="shared" si="2"/>
        <v/>
      </c>
      <c r="N39" s="227"/>
      <c r="O39" s="436" t="str">
        <f t="shared" si="9"/>
        <v/>
      </c>
      <c r="P39" s="296">
        <f t="shared" si="3"/>
        <v>40</v>
      </c>
      <c r="Q39" s="297" t="str">
        <f t="shared" si="4"/>
        <v>--</v>
      </c>
      <c r="R39" s="298" t="str">
        <f t="shared" si="5"/>
        <v>--</v>
      </c>
      <c r="S39" s="299" t="str">
        <f t="shared" si="6"/>
        <v>--</v>
      </c>
      <c r="T39" s="300" t="str">
        <f t="shared" si="7"/>
        <v>--</v>
      </c>
      <c r="U39" s="437"/>
      <c r="V39" s="304" t="str">
        <f t="shared" si="8"/>
        <v/>
      </c>
      <c r="W39" s="237"/>
    </row>
    <row r="40" spans="2:23" s="1" customFormat="1" ht="17.100000000000001" customHeight="1" x14ac:dyDescent="0.25">
      <c r="B40" s="13"/>
      <c r="C40" s="210"/>
      <c r="D40" s="209"/>
      <c r="E40" s="209"/>
      <c r="F40" s="292"/>
      <c r="G40" s="292"/>
      <c r="H40" s="293"/>
      <c r="I40" s="294">
        <f t="shared" si="0"/>
        <v>13.097</v>
      </c>
      <c r="J40" s="440"/>
      <c r="K40" s="441"/>
      <c r="L40" s="225" t="str">
        <f t="shared" si="1"/>
        <v/>
      </c>
      <c r="M40" s="295" t="str">
        <f t="shared" si="2"/>
        <v/>
      </c>
      <c r="N40" s="227"/>
      <c r="O40" s="436" t="str">
        <f t="shared" si="9"/>
        <v/>
      </c>
      <c r="P40" s="296">
        <f t="shared" si="3"/>
        <v>40</v>
      </c>
      <c r="Q40" s="297" t="str">
        <f t="shared" si="4"/>
        <v>--</v>
      </c>
      <c r="R40" s="298" t="str">
        <f t="shared" si="5"/>
        <v>--</v>
      </c>
      <c r="S40" s="299" t="str">
        <f t="shared" si="6"/>
        <v>--</v>
      </c>
      <c r="T40" s="300" t="str">
        <f t="shared" si="7"/>
        <v>--</v>
      </c>
      <c r="U40" s="437"/>
      <c r="V40" s="304" t="str">
        <f t="shared" si="8"/>
        <v/>
      </c>
      <c r="W40" s="237"/>
    </row>
    <row r="41" spans="2:23" s="1" customFormat="1" ht="17.100000000000001" customHeight="1" x14ac:dyDescent="0.25">
      <c r="B41" s="13"/>
      <c r="C41" s="210"/>
      <c r="D41" s="209"/>
      <c r="E41" s="209"/>
      <c r="F41" s="292"/>
      <c r="G41" s="292"/>
      <c r="H41" s="293"/>
      <c r="I41" s="294">
        <f t="shared" si="0"/>
        <v>13.097</v>
      </c>
      <c r="J41" s="440"/>
      <c r="K41" s="441"/>
      <c r="L41" s="225" t="str">
        <f t="shared" si="1"/>
        <v/>
      </c>
      <c r="M41" s="295" t="str">
        <f t="shared" si="2"/>
        <v/>
      </c>
      <c r="N41" s="227"/>
      <c r="O41" s="436" t="str">
        <f t="shared" si="9"/>
        <v/>
      </c>
      <c r="P41" s="296">
        <f t="shared" si="3"/>
        <v>40</v>
      </c>
      <c r="Q41" s="297" t="str">
        <f t="shared" si="4"/>
        <v>--</v>
      </c>
      <c r="R41" s="298" t="str">
        <f t="shared" si="5"/>
        <v>--</v>
      </c>
      <c r="S41" s="299" t="str">
        <f t="shared" si="6"/>
        <v>--</v>
      </c>
      <c r="T41" s="300" t="str">
        <f t="shared" si="7"/>
        <v>--</v>
      </c>
      <c r="U41" s="437" t="str">
        <f t="shared" ref="U41" si="10">IF(F41="","","SI")</f>
        <v/>
      </c>
      <c r="V41" s="304" t="str">
        <f t="shared" si="8"/>
        <v/>
      </c>
      <c r="W41" s="237"/>
    </row>
    <row r="42" spans="2:23" s="1" customFormat="1" ht="17.100000000000001" customHeight="1" thickBot="1" x14ac:dyDescent="0.3">
      <c r="B42" s="13"/>
      <c r="C42" s="317"/>
      <c r="D42" s="317"/>
      <c r="E42" s="317"/>
      <c r="F42" s="317"/>
      <c r="G42" s="317"/>
      <c r="H42" s="317"/>
      <c r="I42" s="305"/>
      <c r="J42" s="407"/>
      <c r="K42" s="407"/>
      <c r="L42" s="238"/>
      <c r="M42" s="238"/>
      <c r="N42" s="317"/>
      <c r="O42" s="317"/>
      <c r="P42" s="327"/>
      <c r="Q42" s="328"/>
      <c r="R42" s="329"/>
      <c r="S42" s="330"/>
      <c r="T42" s="331"/>
      <c r="U42" s="317"/>
      <c r="V42" s="306"/>
      <c r="W42" s="237"/>
    </row>
    <row r="43" spans="2:23" s="1" customFormat="1" ht="17.100000000000001" customHeight="1" thickTop="1" thickBot="1" x14ac:dyDescent="0.3">
      <c r="B43" s="13"/>
      <c r="C43" s="113" t="s">
        <v>67</v>
      </c>
      <c r="D43" s="443" t="s">
        <v>161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307">
        <f>SUM(Q20:Q42)</f>
        <v>3858.6196700000005</v>
      </c>
      <c r="R43" s="308">
        <f>SUM(R20:R42)</f>
        <v>0</v>
      </c>
      <c r="S43" s="308">
        <f>SUM(S20:S42)</f>
        <v>0</v>
      </c>
      <c r="T43" s="309">
        <f>SUM(T20:T42)</f>
        <v>0</v>
      </c>
      <c r="U43" s="310"/>
      <c r="V43" s="413">
        <f>ROUND(SUM(V20:V42),2)</f>
        <v>8448.35</v>
      </c>
      <c r="W43" s="237"/>
    </row>
    <row r="44" spans="2:23" s="127" customFormat="1" ht="9.75" thickTop="1" x14ac:dyDescent="0.15">
      <c r="B44" s="128"/>
      <c r="C44" s="129"/>
      <c r="D44" s="129"/>
      <c r="E44" s="129"/>
      <c r="F44" s="13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1"/>
      <c r="V44" s="311"/>
      <c r="W44" s="253"/>
    </row>
    <row r="45" spans="2:23" s="1" customFormat="1" ht="17.100000000000001" customHeight="1" thickBot="1" x14ac:dyDescent="0.25">
      <c r="B45" s="140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6"/>
    </row>
    <row r="46" spans="2:23" ht="17.100000000000001" customHeight="1" thickTop="1" x14ac:dyDescent="0.2"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</row>
    <row r="47" spans="2:23" ht="17.100000000000001" customHeight="1" x14ac:dyDescent="0.2">
      <c r="C47" s="312"/>
      <c r="D47" s="312"/>
      <c r="E47" s="312"/>
      <c r="F47" s="312"/>
    </row>
    <row r="48" spans="2:23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</sheetData>
  <pageMargins left="0.39370078740157483" right="0.19685039370078741" top="0.78740157480314965" bottom="0.78740157480314965" header="0.51181102362204722" footer="0.51181102362204722"/>
  <pageSetup paperSize="9" scale="62" orientation="landscape" horizontalDpi="4294967292" r:id="rId1"/>
  <headerFooter alignWithMargins="0">
    <oddFooter>&amp;L&amp;"Times New Roman,Normal"&amp;8&amp;Z&amp;F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25" r:id="rId4" name="Button 1">
              <controlPr defaultSize="0" print="0" autoFill="0" autoPict="0" macro="[0]!Referencias_Salidas">
                <anchor moveWithCells="1" sizeWithCells="1">
                  <from>
                    <xdr:col>0</xdr:col>
                    <xdr:colOff>66675</xdr:colOff>
                    <xdr:row>42</xdr:row>
                    <xdr:rowOff>28575</xdr:rowOff>
                  </from>
                  <to>
                    <xdr:col>2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7">
    <pageSetUpPr fitToPage="1"/>
  </sheetPr>
  <dimension ref="A1:AE62"/>
  <sheetViews>
    <sheetView zoomScale="85" zoomScaleNormal="85" workbookViewId="0">
      <selection activeCell="A39" sqref="A39"/>
    </sheetView>
  </sheetViews>
  <sheetFormatPr baseColWidth="10" defaultRowHeight="12.75" x14ac:dyDescent="0.2"/>
  <cols>
    <col min="1" max="1" width="19.85546875" style="5" customWidth="1"/>
    <col min="2" max="2" width="4" style="5" customWidth="1"/>
    <col min="3" max="3" width="5.5703125" style="5" customWidth="1"/>
    <col min="4" max="5" width="13.7109375" style="5" customWidth="1"/>
    <col min="6" max="6" width="25.7109375" style="5" customWidth="1"/>
    <col min="7" max="7" width="21.140625" style="5" customWidth="1"/>
    <col min="8" max="8" width="7.28515625" style="5" customWidth="1"/>
    <col min="9" max="9" width="9.140625" style="5" bestFit="1" customWidth="1"/>
    <col min="10" max="10" width="12" style="5" customWidth="1"/>
    <col min="11" max="11" width="6.42578125" style="5" hidden="1" customWidth="1"/>
    <col min="12" max="13" width="15.7109375" style="5" customWidth="1"/>
    <col min="14" max="16" width="9.7109375" style="5" customWidth="1"/>
    <col min="17" max="19" width="7.7109375" style="5" customWidth="1"/>
    <col min="20" max="20" width="10.85546875" style="5" hidden="1" customWidth="1"/>
    <col min="21" max="22" width="11.28515625" style="5" hidden="1" customWidth="1"/>
    <col min="23" max="23" width="8.42578125" style="5" hidden="1" customWidth="1"/>
    <col min="24" max="24" width="9.85546875" style="5" hidden="1" customWidth="1"/>
    <col min="25" max="26" width="6.42578125" style="5" hidden="1" customWidth="1"/>
    <col min="27" max="28" width="11.5703125" style="5" hidden="1" customWidth="1"/>
    <col min="29" max="29" width="9.7109375" style="5" customWidth="1"/>
    <col min="30" max="30" width="15.7109375" style="5" customWidth="1"/>
    <col min="31" max="31" width="4" style="5" customWidth="1"/>
    <col min="32" max="32" width="13" style="5" customWidth="1"/>
    <col min="33" max="256" width="11.42578125" style="5"/>
    <col min="257" max="257" width="19.85546875" style="5" customWidth="1"/>
    <col min="258" max="258" width="4" style="5" customWidth="1"/>
    <col min="259" max="259" width="5.5703125" style="5" customWidth="1"/>
    <col min="260" max="261" width="13.7109375" style="5" customWidth="1"/>
    <col min="262" max="262" width="25.7109375" style="5" customWidth="1"/>
    <col min="263" max="263" width="21.140625" style="5" customWidth="1"/>
    <col min="264" max="264" width="7.28515625" style="5" customWidth="1"/>
    <col min="265" max="265" width="9.140625" style="5" bestFit="1" customWidth="1"/>
    <col min="266" max="266" width="12" style="5" customWidth="1"/>
    <col min="267" max="267" width="0" style="5" hidden="1" customWidth="1"/>
    <col min="268" max="269" width="15.7109375" style="5" customWidth="1"/>
    <col min="270" max="272" width="9.7109375" style="5" customWidth="1"/>
    <col min="273" max="275" width="7.7109375" style="5" customWidth="1"/>
    <col min="276" max="284" width="0" style="5" hidden="1" customWidth="1"/>
    <col min="285" max="285" width="9.7109375" style="5" customWidth="1"/>
    <col min="286" max="286" width="15.7109375" style="5" customWidth="1"/>
    <col min="287" max="287" width="4" style="5" customWidth="1"/>
    <col min="288" max="288" width="13" style="5" customWidth="1"/>
    <col min="289" max="512" width="11.42578125" style="5"/>
    <col min="513" max="513" width="19.85546875" style="5" customWidth="1"/>
    <col min="514" max="514" width="4" style="5" customWidth="1"/>
    <col min="515" max="515" width="5.5703125" style="5" customWidth="1"/>
    <col min="516" max="517" width="13.7109375" style="5" customWidth="1"/>
    <col min="518" max="518" width="25.7109375" style="5" customWidth="1"/>
    <col min="519" max="519" width="21.140625" style="5" customWidth="1"/>
    <col min="520" max="520" width="7.28515625" style="5" customWidth="1"/>
    <col min="521" max="521" width="9.140625" style="5" bestFit="1" customWidth="1"/>
    <col min="522" max="522" width="12" style="5" customWidth="1"/>
    <col min="523" max="523" width="0" style="5" hidden="1" customWidth="1"/>
    <col min="524" max="525" width="15.7109375" style="5" customWidth="1"/>
    <col min="526" max="528" width="9.7109375" style="5" customWidth="1"/>
    <col min="529" max="531" width="7.7109375" style="5" customWidth="1"/>
    <col min="532" max="540" width="0" style="5" hidden="1" customWidth="1"/>
    <col min="541" max="541" width="9.7109375" style="5" customWidth="1"/>
    <col min="542" max="542" width="15.7109375" style="5" customWidth="1"/>
    <col min="543" max="543" width="4" style="5" customWidth="1"/>
    <col min="544" max="544" width="13" style="5" customWidth="1"/>
    <col min="545" max="768" width="11.42578125" style="5"/>
    <col min="769" max="769" width="19.85546875" style="5" customWidth="1"/>
    <col min="770" max="770" width="4" style="5" customWidth="1"/>
    <col min="771" max="771" width="5.5703125" style="5" customWidth="1"/>
    <col min="772" max="773" width="13.7109375" style="5" customWidth="1"/>
    <col min="774" max="774" width="25.7109375" style="5" customWidth="1"/>
    <col min="775" max="775" width="21.140625" style="5" customWidth="1"/>
    <col min="776" max="776" width="7.28515625" style="5" customWidth="1"/>
    <col min="777" max="777" width="9.140625" style="5" bestFit="1" customWidth="1"/>
    <col min="778" max="778" width="12" style="5" customWidth="1"/>
    <col min="779" max="779" width="0" style="5" hidden="1" customWidth="1"/>
    <col min="780" max="781" width="15.7109375" style="5" customWidth="1"/>
    <col min="782" max="784" width="9.7109375" style="5" customWidth="1"/>
    <col min="785" max="787" width="7.7109375" style="5" customWidth="1"/>
    <col min="788" max="796" width="0" style="5" hidden="1" customWidth="1"/>
    <col min="797" max="797" width="9.7109375" style="5" customWidth="1"/>
    <col min="798" max="798" width="15.7109375" style="5" customWidth="1"/>
    <col min="799" max="799" width="4" style="5" customWidth="1"/>
    <col min="800" max="800" width="13" style="5" customWidth="1"/>
    <col min="801" max="1024" width="11.42578125" style="5"/>
    <col min="1025" max="1025" width="19.85546875" style="5" customWidth="1"/>
    <col min="1026" max="1026" width="4" style="5" customWidth="1"/>
    <col min="1027" max="1027" width="5.5703125" style="5" customWidth="1"/>
    <col min="1028" max="1029" width="13.7109375" style="5" customWidth="1"/>
    <col min="1030" max="1030" width="25.7109375" style="5" customWidth="1"/>
    <col min="1031" max="1031" width="21.140625" style="5" customWidth="1"/>
    <col min="1032" max="1032" width="7.28515625" style="5" customWidth="1"/>
    <col min="1033" max="1033" width="9.140625" style="5" bestFit="1" customWidth="1"/>
    <col min="1034" max="1034" width="12" style="5" customWidth="1"/>
    <col min="1035" max="1035" width="0" style="5" hidden="1" customWidth="1"/>
    <col min="1036" max="1037" width="15.7109375" style="5" customWidth="1"/>
    <col min="1038" max="1040" width="9.7109375" style="5" customWidth="1"/>
    <col min="1041" max="1043" width="7.7109375" style="5" customWidth="1"/>
    <col min="1044" max="1052" width="0" style="5" hidden="1" customWidth="1"/>
    <col min="1053" max="1053" width="9.7109375" style="5" customWidth="1"/>
    <col min="1054" max="1054" width="15.7109375" style="5" customWidth="1"/>
    <col min="1055" max="1055" width="4" style="5" customWidth="1"/>
    <col min="1056" max="1056" width="13" style="5" customWidth="1"/>
    <col min="1057" max="1280" width="11.42578125" style="5"/>
    <col min="1281" max="1281" width="19.85546875" style="5" customWidth="1"/>
    <col min="1282" max="1282" width="4" style="5" customWidth="1"/>
    <col min="1283" max="1283" width="5.5703125" style="5" customWidth="1"/>
    <col min="1284" max="1285" width="13.7109375" style="5" customWidth="1"/>
    <col min="1286" max="1286" width="25.7109375" style="5" customWidth="1"/>
    <col min="1287" max="1287" width="21.140625" style="5" customWidth="1"/>
    <col min="1288" max="1288" width="7.28515625" style="5" customWidth="1"/>
    <col min="1289" max="1289" width="9.140625" style="5" bestFit="1" customWidth="1"/>
    <col min="1290" max="1290" width="12" style="5" customWidth="1"/>
    <col min="1291" max="1291" width="0" style="5" hidden="1" customWidth="1"/>
    <col min="1292" max="1293" width="15.7109375" style="5" customWidth="1"/>
    <col min="1294" max="1296" width="9.7109375" style="5" customWidth="1"/>
    <col min="1297" max="1299" width="7.7109375" style="5" customWidth="1"/>
    <col min="1300" max="1308" width="0" style="5" hidden="1" customWidth="1"/>
    <col min="1309" max="1309" width="9.7109375" style="5" customWidth="1"/>
    <col min="1310" max="1310" width="15.7109375" style="5" customWidth="1"/>
    <col min="1311" max="1311" width="4" style="5" customWidth="1"/>
    <col min="1312" max="1312" width="13" style="5" customWidth="1"/>
    <col min="1313" max="1536" width="11.42578125" style="5"/>
    <col min="1537" max="1537" width="19.85546875" style="5" customWidth="1"/>
    <col min="1538" max="1538" width="4" style="5" customWidth="1"/>
    <col min="1539" max="1539" width="5.5703125" style="5" customWidth="1"/>
    <col min="1540" max="1541" width="13.7109375" style="5" customWidth="1"/>
    <col min="1542" max="1542" width="25.7109375" style="5" customWidth="1"/>
    <col min="1543" max="1543" width="21.140625" style="5" customWidth="1"/>
    <col min="1544" max="1544" width="7.28515625" style="5" customWidth="1"/>
    <col min="1545" max="1545" width="9.140625" style="5" bestFit="1" customWidth="1"/>
    <col min="1546" max="1546" width="12" style="5" customWidth="1"/>
    <col min="1547" max="1547" width="0" style="5" hidden="1" customWidth="1"/>
    <col min="1548" max="1549" width="15.7109375" style="5" customWidth="1"/>
    <col min="1550" max="1552" width="9.7109375" style="5" customWidth="1"/>
    <col min="1553" max="1555" width="7.7109375" style="5" customWidth="1"/>
    <col min="1556" max="1564" width="0" style="5" hidden="1" customWidth="1"/>
    <col min="1565" max="1565" width="9.7109375" style="5" customWidth="1"/>
    <col min="1566" max="1566" width="15.7109375" style="5" customWidth="1"/>
    <col min="1567" max="1567" width="4" style="5" customWidth="1"/>
    <col min="1568" max="1568" width="13" style="5" customWidth="1"/>
    <col min="1569" max="1792" width="11.42578125" style="5"/>
    <col min="1793" max="1793" width="19.85546875" style="5" customWidth="1"/>
    <col min="1794" max="1794" width="4" style="5" customWidth="1"/>
    <col min="1795" max="1795" width="5.5703125" style="5" customWidth="1"/>
    <col min="1796" max="1797" width="13.7109375" style="5" customWidth="1"/>
    <col min="1798" max="1798" width="25.7109375" style="5" customWidth="1"/>
    <col min="1799" max="1799" width="21.140625" style="5" customWidth="1"/>
    <col min="1800" max="1800" width="7.28515625" style="5" customWidth="1"/>
    <col min="1801" max="1801" width="9.140625" style="5" bestFit="1" customWidth="1"/>
    <col min="1802" max="1802" width="12" style="5" customWidth="1"/>
    <col min="1803" max="1803" width="0" style="5" hidden="1" customWidth="1"/>
    <col min="1804" max="1805" width="15.7109375" style="5" customWidth="1"/>
    <col min="1806" max="1808" width="9.7109375" style="5" customWidth="1"/>
    <col min="1809" max="1811" width="7.7109375" style="5" customWidth="1"/>
    <col min="1812" max="1820" width="0" style="5" hidden="1" customWidth="1"/>
    <col min="1821" max="1821" width="9.7109375" style="5" customWidth="1"/>
    <col min="1822" max="1822" width="15.7109375" style="5" customWidth="1"/>
    <col min="1823" max="1823" width="4" style="5" customWidth="1"/>
    <col min="1824" max="1824" width="13" style="5" customWidth="1"/>
    <col min="1825" max="2048" width="11.42578125" style="5"/>
    <col min="2049" max="2049" width="19.85546875" style="5" customWidth="1"/>
    <col min="2050" max="2050" width="4" style="5" customWidth="1"/>
    <col min="2051" max="2051" width="5.5703125" style="5" customWidth="1"/>
    <col min="2052" max="2053" width="13.7109375" style="5" customWidth="1"/>
    <col min="2054" max="2054" width="25.7109375" style="5" customWidth="1"/>
    <col min="2055" max="2055" width="21.140625" style="5" customWidth="1"/>
    <col min="2056" max="2056" width="7.28515625" style="5" customWidth="1"/>
    <col min="2057" max="2057" width="9.140625" style="5" bestFit="1" customWidth="1"/>
    <col min="2058" max="2058" width="12" style="5" customWidth="1"/>
    <col min="2059" max="2059" width="0" style="5" hidden="1" customWidth="1"/>
    <col min="2060" max="2061" width="15.7109375" style="5" customWidth="1"/>
    <col min="2062" max="2064" width="9.7109375" style="5" customWidth="1"/>
    <col min="2065" max="2067" width="7.7109375" style="5" customWidth="1"/>
    <col min="2068" max="2076" width="0" style="5" hidden="1" customWidth="1"/>
    <col min="2077" max="2077" width="9.7109375" style="5" customWidth="1"/>
    <col min="2078" max="2078" width="15.7109375" style="5" customWidth="1"/>
    <col min="2079" max="2079" width="4" style="5" customWidth="1"/>
    <col min="2080" max="2080" width="13" style="5" customWidth="1"/>
    <col min="2081" max="2304" width="11.42578125" style="5"/>
    <col min="2305" max="2305" width="19.85546875" style="5" customWidth="1"/>
    <col min="2306" max="2306" width="4" style="5" customWidth="1"/>
    <col min="2307" max="2307" width="5.5703125" style="5" customWidth="1"/>
    <col min="2308" max="2309" width="13.7109375" style="5" customWidth="1"/>
    <col min="2310" max="2310" width="25.7109375" style="5" customWidth="1"/>
    <col min="2311" max="2311" width="21.140625" style="5" customWidth="1"/>
    <col min="2312" max="2312" width="7.28515625" style="5" customWidth="1"/>
    <col min="2313" max="2313" width="9.140625" style="5" bestFit="1" customWidth="1"/>
    <col min="2314" max="2314" width="12" style="5" customWidth="1"/>
    <col min="2315" max="2315" width="0" style="5" hidden="1" customWidth="1"/>
    <col min="2316" max="2317" width="15.7109375" style="5" customWidth="1"/>
    <col min="2318" max="2320" width="9.7109375" style="5" customWidth="1"/>
    <col min="2321" max="2323" width="7.7109375" style="5" customWidth="1"/>
    <col min="2324" max="2332" width="0" style="5" hidden="1" customWidth="1"/>
    <col min="2333" max="2333" width="9.7109375" style="5" customWidth="1"/>
    <col min="2334" max="2334" width="15.7109375" style="5" customWidth="1"/>
    <col min="2335" max="2335" width="4" style="5" customWidth="1"/>
    <col min="2336" max="2336" width="13" style="5" customWidth="1"/>
    <col min="2337" max="2560" width="11.42578125" style="5"/>
    <col min="2561" max="2561" width="19.85546875" style="5" customWidth="1"/>
    <col min="2562" max="2562" width="4" style="5" customWidth="1"/>
    <col min="2563" max="2563" width="5.5703125" style="5" customWidth="1"/>
    <col min="2564" max="2565" width="13.7109375" style="5" customWidth="1"/>
    <col min="2566" max="2566" width="25.7109375" style="5" customWidth="1"/>
    <col min="2567" max="2567" width="21.140625" style="5" customWidth="1"/>
    <col min="2568" max="2568" width="7.28515625" style="5" customWidth="1"/>
    <col min="2569" max="2569" width="9.140625" style="5" bestFit="1" customWidth="1"/>
    <col min="2570" max="2570" width="12" style="5" customWidth="1"/>
    <col min="2571" max="2571" width="0" style="5" hidden="1" customWidth="1"/>
    <col min="2572" max="2573" width="15.7109375" style="5" customWidth="1"/>
    <col min="2574" max="2576" width="9.7109375" style="5" customWidth="1"/>
    <col min="2577" max="2579" width="7.7109375" style="5" customWidth="1"/>
    <col min="2580" max="2588" width="0" style="5" hidden="1" customWidth="1"/>
    <col min="2589" max="2589" width="9.7109375" style="5" customWidth="1"/>
    <col min="2590" max="2590" width="15.7109375" style="5" customWidth="1"/>
    <col min="2591" max="2591" width="4" style="5" customWidth="1"/>
    <col min="2592" max="2592" width="13" style="5" customWidth="1"/>
    <col min="2593" max="2816" width="11.42578125" style="5"/>
    <col min="2817" max="2817" width="19.85546875" style="5" customWidth="1"/>
    <col min="2818" max="2818" width="4" style="5" customWidth="1"/>
    <col min="2819" max="2819" width="5.5703125" style="5" customWidth="1"/>
    <col min="2820" max="2821" width="13.7109375" style="5" customWidth="1"/>
    <col min="2822" max="2822" width="25.7109375" style="5" customWidth="1"/>
    <col min="2823" max="2823" width="21.140625" style="5" customWidth="1"/>
    <col min="2824" max="2824" width="7.28515625" style="5" customWidth="1"/>
    <col min="2825" max="2825" width="9.140625" style="5" bestFit="1" customWidth="1"/>
    <col min="2826" max="2826" width="12" style="5" customWidth="1"/>
    <col min="2827" max="2827" width="0" style="5" hidden="1" customWidth="1"/>
    <col min="2828" max="2829" width="15.7109375" style="5" customWidth="1"/>
    <col min="2830" max="2832" width="9.7109375" style="5" customWidth="1"/>
    <col min="2833" max="2835" width="7.7109375" style="5" customWidth="1"/>
    <col min="2836" max="2844" width="0" style="5" hidden="1" customWidth="1"/>
    <col min="2845" max="2845" width="9.7109375" style="5" customWidth="1"/>
    <col min="2846" max="2846" width="15.7109375" style="5" customWidth="1"/>
    <col min="2847" max="2847" width="4" style="5" customWidth="1"/>
    <col min="2848" max="2848" width="13" style="5" customWidth="1"/>
    <col min="2849" max="3072" width="11.42578125" style="5"/>
    <col min="3073" max="3073" width="19.85546875" style="5" customWidth="1"/>
    <col min="3074" max="3074" width="4" style="5" customWidth="1"/>
    <col min="3075" max="3075" width="5.5703125" style="5" customWidth="1"/>
    <col min="3076" max="3077" width="13.7109375" style="5" customWidth="1"/>
    <col min="3078" max="3078" width="25.7109375" style="5" customWidth="1"/>
    <col min="3079" max="3079" width="21.140625" style="5" customWidth="1"/>
    <col min="3080" max="3080" width="7.28515625" style="5" customWidth="1"/>
    <col min="3081" max="3081" width="9.140625" style="5" bestFit="1" customWidth="1"/>
    <col min="3082" max="3082" width="12" style="5" customWidth="1"/>
    <col min="3083" max="3083" width="0" style="5" hidden="1" customWidth="1"/>
    <col min="3084" max="3085" width="15.7109375" style="5" customWidth="1"/>
    <col min="3086" max="3088" width="9.7109375" style="5" customWidth="1"/>
    <col min="3089" max="3091" width="7.7109375" style="5" customWidth="1"/>
    <col min="3092" max="3100" width="0" style="5" hidden="1" customWidth="1"/>
    <col min="3101" max="3101" width="9.7109375" style="5" customWidth="1"/>
    <col min="3102" max="3102" width="15.7109375" style="5" customWidth="1"/>
    <col min="3103" max="3103" width="4" style="5" customWidth="1"/>
    <col min="3104" max="3104" width="13" style="5" customWidth="1"/>
    <col min="3105" max="3328" width="11.42578125" style="5"/>
    <col min="3329" max="3329" width="19.85546875" style="5" customWidth="1"/>
    <col min="3330" max="3330" width="4" style="5" customWidth="1"/>
    <col min="3331" max="3331" width="5.5703125" style="5" customWidth="1"/>
    <col min="3332" max="3333" width="13.7109375" style="5" customWidth="1"/>
    <col min="3334" max="3334" width="25.7109375" style="5" customWidth="1"/>
    <col min="3335" max="3335" width="21.140625" style="5" customWidth="1"/>
    <col min="3336" max="3336" width="7.28515625" style="5" customWidth="1"/>
    <col min="3337" max="3337" width="9.140625" style="5" bestFit="1" customWidth="1"/>
    <col min="3338" max="3338" width="12" style="5" customWidth="1"/>
    <col min="3339" max="3339" width="0" style="5" hidden="1" customWidth="1"/>
    <col min="3340" max="3341" width="15.7109375" style="5" customWidth="1"/>
    <col min="3342" max="3344" width="9.7109375" style="5" customWidth="1"/>
    <col min="3345" max="3347" width="7.7109375" style="5" customWidth="1"/>
    <col min="3348" max="3356" width="0" style="5" hidden="1" customWidth="1"/>
    <col min="3357" max="3357" width="9.7109375" style="5" customWidth="1"/>
    <col min="3358" max="3358" width="15.7109375" style="5" customWidth="1"/>
    <col min="3359" max="3359" width="4" style="5" customWidth="1"/>
    <col min="3360" max="3360" width="13" style="5" customWidth="1"/>
    <col min="3361" max="3584" width="11.42578125" style="5"/>
    <col min="3585" max="3585" width="19.85546875" style="5" customWidth="1"/>
    <col min="3586" max="3586" width="4" style="5" customWidth="1"/>
    <col min="3587" max="3587" width="5.5703125" style="5" customWidth="1"/>
    <col min="3588" max="3589" width="13.7109375" style="5" customWidth="1"/>
    <col min="3590" max="3590" width="25.7109375" style="5" customWidth="1"/>
    <col min="3591" max="3591" width="21.140625" style="5" customWidth="1"/>
    <col min="3592" max="3592" width="7.28515625" style="5" customWidth="1"/>
    <col min="3593" max="3593" width="9.140625" style="5" bestFit="1" customWidth="1"/>
    <col min="3594" max="3594" width="12" style="5" customWidth="1"/>
    <col min="3595" max="3595" width="0" style="5" hidden="1" customWidth="1"/>
    <col min="3596" max="3597" width="15.7109375" style="5" customWidth="1"/>
    <col min="3598" max="3600" width="9.7109375" style="5" customWidth="1"/>
    <col min="3601" max="3603" width="7.7109375" style="5" customWidth="1"/>
    <col min="3604" max="3612" width="0" style="5" hidden="1" customWidth="1"/>
    <col min="3613" max="3613" width="9.7109375" style="5" customWidth="1"/>
    <col min="3614" max="3614" width="15.7109375" style="5" customWidth="1"/>
    <col min="3615" max="3615" width="4" style="5" customWidth="1"/>
    <col min="3616" max="3616" width="13" style="5" customWidth="1"/>
    <col min="3617" max="3840" width="11.42578125" style="5"/>
    <col min="3841" max="3841" width="19.85546875" style="5" customWidth="1"/>
    <col min="3842" max="3842" width="4" style="5" customWidth="1"/>
    <col min="3843" max="3843" width="5.5703125" style="5" customWidth="1"/>
    <col min="3844" max="3845" width="13.7109375" style="5" customWidth="1"/>
    <col min="3846" max="3846" width="25.7109375" style="5" customWidth="1"/>
    <col min="3847" max="3847" width="21.140625" style="5" customWidth="1"/>
    <col min="3848" max="3848" width="7.28515625" style="5" customWidth="1"/>
    <col min="3849" max="3849" width="9.140625" style="5" bestFit="1" customWidth="1"/>
    <col min="3850" max="3850" width="12" style="5" customWidth="1"/>
    <col min="3851" max="3851" width="0" style="5" hidden="1" customWidth="1"/>
    <col min="3852" max="3853" width="15.7109375" style="5" customWidth="1"/>
    <col min="3854" max="3856" width="9.7109375" style="5" customWidth="1"/>
    <col min="3857" max="3859" width="7.7109375" style="5" customWidth="1"/>
    <col min="3860" max="3868" width="0" style="5" hidden="1" customWidth="1"/>
    <col min="3869" max="3869" width="9.7109375" style="5" customWidth="1"/>
    <col min="3870" max="3870" width="15.7109375" style="5" customWidth="1"/>
    <col min="3871" max="3871" width="4" style="5" customWidth="1"/>
    <col min="3872" max="3872" width="13" style="5" customWidth="1"/>
    <col min="3873" max="4096" width="11.42578125" style="5"/>
    <col min="4097" max="4097" width="19.85546875" style="5" customWidth="1"/>
    <col min="4098" max="4098" width="4" style="5" customWidth="1"/>
    <col min="4099" max="4099" width="5.5703125" style="5" customWidth="1"/>
    <col min="4100" max="4101" width="13.7109375" style="5" customWidth="1"/>
    <col min="4102" max="4102" width="25.7109375" style="5" customWidth="1"/>
    <col min="4103" max="4103" width="21.140625" style="5" customWidth="1"/>
    <col min="4104" max="4104" width="7.28515625" style="5" customWidth="1"/>
    <col min="4105" max="4105" width="9.140625" style="5" bestFit="1" customWidth="1"/>
    <col min="4106" max="4106" width="12" style="5" customWidth="1"/>
    <col min="4107" max="4107" width="0" style="5" hidden="1" customWidth="1"/>
    <col min="4108" max="4109" width="15.7109375" style="5" customWidth="1"/>
    <col min="4110" max="4112" width="9.7109375" style="5" customWidth="1"/>
    <col min="4113" max="4115" width="7.7109375" style="5" customWidth="1"/>
    <col min="4116" max="4124" width="0" style="5" hidden="1" customWidth="1"/>
    <col min="4125" max="4125" width="9.7109375" style="5" customWidth="1"/>
    <col min="4126" max="4126" width="15.7109375" style="5" customWidth="1"/>
    <col min="4127" max="4127" width="4" style="5" customWidth="1"/>
    <col min="4128" max="4128" width="13" style="5" customWidth="1"/>
    <col min="4129" max="4352" width="11.42578125" style="5"/>
    <col min="4353" max="4353" width="19.85546875" style="5" customWidth="1"/>
    <col min="4354" max="4354" width="4" style="5" customWidth="1"/>
    <col min="4355" max="4355" width="5.5703125" style="5" customWidth="1"/>
    <col min="4356" max="4357" width="13.7109375" style="5" customWidth="1"/>
    <col min="4358" max="4358" width="25.7109375" style="5" customWidth="1"/>
    <col min="4359" max="4359" width="21.140625" style="5" customWidth="1"/>
    <col min="4360" max="4360" width="7.28515625" style="5" customWidth="1"/>
    <col min="4361" max="4361" width="9.140625" style="5" bestFit="1" customWidth="1"/>
    <col min="4362" max="4362" width="12" style="5" customWidth="1"/>
    <col min="4363" max="4363" width="0" style="5" hidden="1" customWidth="1"/>
    <col min="4364" max="4365" width="15.7109375" style="5" customWidth="1"/>
    <col min="4366" max="4368" width="9.7109375" style="5" customWidth="1"/>
    <col min="4369" max="4371" width="7.7109375" style="5" customWidth="1"/>
    <col min="4372" max="4380" width="0" style="5" hidden="1" customWidth="1"/>
    <col min="4381" max="4381" width="9.7109375" style="5" customWidth="1"/>
    <col min="4382" max="4382" width="15.7109375" style="5" customWidth="1"/>
    <col min="4383" max="4383" width="4" style="5" customWidth="1"/>
    <col min="4384" max="4384" width="13" style="5" customWidth="1"/>
    <col min="4385" max="4608" width="11.42578125" style="5"/>
    <col min="4609" max="4609" width="19.85546875" style="5" customWidth="1"/>
    <col min="4610" max="4610" width="4" style="5" customWidth="1"/>
    <col min="4611" max="4611" width="5.5703125" style="5" customWidth="1"/>
    <col min="4612" max="4613" width="13.7109375" style="5" customWidth="1"/>
    <col min="4614" max="4614" width="25.7109375" style="5" customWidth="1"/>
    <col min="4615" max="4615" width="21.140625" style="5" customWidth="1"/>
    <col min="4616" max="4616" width="7.28515625" style="5" customWidth="1"/>
    <col min="4617" max="4617" width="9.140625" style="5" bestFit="1" customWidth="1"/>
    <col min="4618" max="4618" width="12" style="5" customWidth="1"/>
    <col min="4619" max="4619" width="0" style="5" hidden="1" customWidth="1"/>
    <col min="4620" max="4621" width="15.7109375" style="5" customWidth="1"/>
    <col min="4622" max="4624" width="9.7109375" style="5" customWidth="1"/>
    <col min="4625" max="4627" width="7.7109375" style="5" customWidth="1"/>
    <col min="4628" max="4636" width="0" style="5" hidden="1" customWidth="1"/>
    <col min="4637" max="4637" width="9.7109375" style="5" customWidth="1"/>
    <col min="4638" max="4638" width="15.7109375" style="5" customWidth="1"/>
    <col min="4639" max="4639" width="4" style="5" customWidth="1"/>
    <col min="4640" max="4640" width="13" style="5" customWidth="1"/>
    <col min="4641" max="4864" width="11.42578125" style="5"/>
    <col min="4865" max="4865" width="19.85546875" style="5" customWidth="1"/>
    <col min="4866" max="4866" width="4" style="5" customWidth="1"/>
    <col min="4867" max="4867" width="5.5703125" style="5" customWidth="1"/>
    <col min="4868" max="4869" width="13.7109375" style="5" customWidth="1"/>
    <col min="4870" max="4870" width="25.7109375" style="5" customWidth="1"/>
    <col min="4871" max="4871" width="21.140625" style="5" customWidth="1"/>
    <col min="4872" max="4872" width="7.28515625" style="5" customWidth="1"/>
    <col min="4873" max="4873" width="9.140625" style="5" bestFit="1" customWidth="1"/>
    <col min="4874" max="4874" width="12" style="5" customWidth="1"/>
    <col min="4875" max="4875" width="0" style="5" hidden="1" customWidth="1"/>
    <col min="4876" max="4877" width="15.7109375" style="5" customWidth="1"/>
    <col min="4878" max="4880" width="9.7109375" style="5" customWidth="1"/>
    <col min="4881" max="4883" width="7.7109375" style="5" customWidth="1"/>
    <col min="4884" max="4892" width="0" style="5" hidden="1" customWidth="1"/>
    <col min="4893" max="4893" width="9.7109375" style="5" customWidth="1"/>
    <col min="4894" max="4894" width="15.7109375" style="5" customWidth="1"/>
    <col min="4895" max="4895" width="4" style="5" customWidth="1"/>
    <col min="4896" max="4896" width="13" style="5" customWidth="1"/>
    <col min="4897" max="5120" width="11.42578125" style="5"/>
    <col min="5121" max="5121" width="19.85546875" style="5" customWidth="1"/>
    <col min="5122" max="5122" width="4" style="5" customWidth="1"/>
    <col min="5123" max="5123" width="5.5703125" style="5" customWidth="1"/>
    <col min="5124" max="5125" width="13.7109375" style="5" customWidth="1"/>
    <col min="5126" max="5126" width="25.7109375" style="5" customWidth="1"/>
    <col min="5127" max="5127" width="21.140625" style="5" customWidth="1"/>
    <col min="5128" max="5128" width="7.28515625" style="5" customWidth="1"/>
    <col min="5129" max="5129" width="9.140625" style="5" bestFit="1" customWidth="1"/>
    <col min="5130" max="5130" width="12" style="5" customWidth="1"/>
    <col min="5131" max="5131" width="0" style="5" hidden="1" customWidth="1"/>
    <col min="5132" max="5133" width="15.7109375" style="5" customWidth="1"/>
    <col min="5134" max="5136" width="9.7109375" style="5" customWidth="1"/>
    <col min="5137" max="5139" width="7.7109375" style="5" customWidth="1"/>
    <col min="5140" max="5148" width="0" style="5" hidden="1" customWidth="1"/>
    <col min="5149" max="5149" width="9.7109375" style="5" customWidth="1"/>
    <col min="5150" max="5150" width="15.7109375" style="5" customWidth="1"/>
    <col min="5151" max="5151" width="4" style="5" customWidth="1"/>
    <col min="5152" max="5152" width="13" style="5" customWidth="1"/>
    <col min="5153" max="5376" width="11.42578125" style="5"/>
    <col min="5377" max="5377" width="19.85546875" style="5" customWidth="1"/>
    <col min="5378" max="5378" width="4" style="5" customWidth="1"/>
    <col min="5379" max="5379" width="5.5703125" style="5" customWidth="1"/>
    <col min="5380" max="5381" width="13.7109375" style="5" customWidth="1"/>
    <col min="5382" max="5382" width="25.7109375" style="5" customWidth="1"/>
    <col min="5383" max="5383" width="21.140625" style="5" customWidth="1"/>
    <col min="5384" max="5384" width="7.28515625" style="5" customWidth="1"/>
    <col min="5385" max="5385" width="9.140625" style="5" bestFit="1" customWidth="1"/>
    <col min="5386" max="5386" width="12" style="5" customWidth="1"/>
    <col min="5387" max="5387" width="0" style="5" hidden="1" customWidth="1"/>
    <col min="5388" max="5389" width="15.7109375" style="5" customWidth="1"/>
    <col min="5390" max="5392" width="9.7109375" style="5" customWidth="1"/>
    <col min="5393" max="5395" width="7.7109375" style="5" customWidth="1"/>
    <col min="5396" max="5404" width="0" style="5" hidden="1" customWidth="1"/>
    <col min="5405" max="5405" width="9.7109375" style="5" customWidth="1"/>
    <col min="5406" max="5406" width="15.7109375" style="5" customWidth="1"/>
    <col min="5407" max="5407" width="4" style="5" customWidth="1"/>
    <col min="5408" max="5408" width="13" style="5" customWidth="1"/>
    <col min="5409" max="5632" width="11.42578125" style="5"/>
    <col min="5633" max="5633" width="19.85546875" style="5" customWidth="1"/>
    <col min="5634" max="5634" width="4" style="5" customWidth="1"/>
    <col min="5635" max="5635" width="5.5703125" style="5" customWidth="1"/>
    <col min="5636" max="5637" width="13.7109375" style="5" customWidth="1"/>
    <col min="5638" max="5638" width="25.7109375" style="5" customWidth="1"/>
    <col min="5639" max="5639" width="21.140625" style="5" customWidth="1"/>
    <col min="5640" max="5640" width="7.28515625" style="5" customWidth="1"/>
    <col min="5641" max="5641" width="9.140625" style="5" bestFit="1" customWidth="1"/>
    <col min="5642" max="5642" width="12" style="5" customWidth="1"/>
    <col min="5643" max="5643" width="0" style="5" hidden="1" customWidth="1"/>
    <col min="5644" max="5645" width="15.7109375" style="5" customWidth="1"/>
    <col min="5646" max="5648" width="9.7109375" style="5" customWidth="1"/>
    <col min="5649" max="5651" width="7.7109375" style="5" customWidth="1"/>
    <col min="5652" max="5660" width="0" style="5" hidden="1" customWidth="1"/>
    <col min="5661" max="5661" width="9.7109375" style="5" customWidth="1"/>
    <col min="5662" max="5662" width="15.7109375" style="5" customWidth="1"/>
    <col min="5663" max="5663" width="4" style="5" customWidth="1"/>
    <col min="5664" max="5664" width="13" style="5" customWidth="1"/>
    <col min="5665" max="5888" width="11.42578125" style="5"/>
    <col min="5889" max="5889" width="19.85546875" style="5" customWidth="1"/>
    <col min="5890" max="5890" width="4" style="5" customWidth="1"/>
    <col min="5891" max="5891" width="5.5703125" style="5" customWidth="1"/>
    <col min="5892" max="5893" width="13.7109375" style="5" customWidth="1"/>
    <col min="5894" max="5894" width="25.7109375" style="5" customWidth="1"/>
    <col min="5895" max="5895" width="21.140625" style="5" customWidth="1"/>
    <col min="5896" max="5896" width="7.28515625" style="5" customWidth="1"/>
    <col min="5897" max="5897" width="9.140625" style="5" bestFit="1" customWidth="1"/>
    <col min="5898" max="5898" width="12" style="5" customWidth="1"/>
    <col min="5899" max="5899" width="0" style="5" hidden="1" customWidth="1"/>
    <col min="5900" max="5901" width="15.7109375" style="5" customWidth="1"/>
    <col min="5902" max="5904" width="9.7109375" style="5" customWidth="1"/>
    <col min="5905" max="5907" width="7.7109375" style="5" customWidth="1"/>
    <col min="5908" max="5916" width="0" style="5" hidden="1" customWidth="1"/>
    <col min="5917" max="5917" width="9.7109375" style="5" customWidth="1"/>
    <col min="5918" max="5918" width="15.7109375" style="5" customWidth="1"/>
    <col min="5919" max="5919" width="4" style="5" customWidth="1"/>
    <col min="5920" max="5920" width="13" style="5" customWidth="1"/>
    <col min="5921" max="6144" width="11.42578125" style="5"/>
    <col min="6145" max="6145" width="19.85546875" style="5" customWidth="1"/>
    <col min="6146" max="6146" width="4" style="5" customWidth="1"/>
    <col min="6147" max="6147" width="5.5703125" style="5" customWidth="1"/>
    <col min="6148" max="6149" width="13.7109375" style="5" customWidth="1"/>
    <col min="6150" max="6150" width="25.7109375" style="5" customWidth="1"/>
    <col min="6151" max="6151" width="21.140625" style="5" customWidth="1"/>
    <col min="6152" max="6152" width="7.28515625" style="5" customWidth="1"/>
    <col min="6153" max="6153" width="9.140625" style="5" bestFit="1" customWidth="1"/>
    <col min="6154" max="6154" width="12" style="5" customWidth="1"/>
    <col min="6155" max="6155" width="0" style="5" hidden="1" customWidth="1"/>
    <col min="6156" max="6157" width="15.7109375" style="5" customWidth="1"/>
    <col min="6158" max="6160" width="9.7109375" style="5" customWidth="1"/>
    <col min="6161" max="6163" width="7.7109375" style="5" customWidth="1"/>
    <col min="6164" max="6172" width="0" style="5" hidden="1" customWidth="1"/>
    <col min="6173" max="6173" width="9.7109375" style="5" customWidth="1"/>
    <col min="6174" max="6174" width="15.7109375" style="5" customWidth="1"/>
    <col min="6175" max="6175" width="4" style="5" customWidth="1"/>
    <col min="6176" max="6176" width="13" style="5" customWidth="1"/>
    <col min="6177" max="6400" width="11.42578125" style="5"/>
    <col min="6401" max="6401" width="19.85546875" style="5" customWidth="1"/>
    <col min="6402" max="6402" width="4" style="5" customWidth="1"/>
    <col min="6403" max="6403" width="5.5703125" style="5" customWidth="1"/>
    <col min="6404" max="6405" width="13.7109375" style="5" customWidth="1"/>
    <col min="6406" max="6406" width="25.7109375" style="5" customWidth="1"/>
    <col min="6407" max="6407" width="21.140625" style="5" customWidth="1"/>
    <col min="6408" max="6408" width="7.28515625" style="5" customWidth="1"/>
    <col min="6409" max="6409" width="9.140625" style="5" bestFit="1" customWidth="1"/>
    <col min="6410" max="6410" width="12" style="5" customWidth="1"/>
    <col min="6411" max="6411" width="0" style="5" hidden="1" customWidth="1"/>
    <col min="6412" max="6413" width="15.7109375" style="5" customWidth="1"/>
    <col min="6414" max="6416" width="9.7109375" style="5" customWidth="1"/>
    <col min="6417" max="6419" width="7.7109375" style="5" customWidth="1"/>
    <col min="6420" max="6428" width="0" style="5" hidden="1" customWidth="1"/>
    <col min="6429" max="6429" width="9.7109375" style="5" customWidth="1"/>
    <col min="6430" max="6430" width="15.7109375" style="5" customWidth="1"/>
    <col min="6431" max="6431" width="4" style="5" customWidth="1"/>
    <col min="6432" max="6432" width="13" style="5" customWidth="1"/>
    <col min="6433" max="6656" width="11.42578125" style="5"/>
    <col min="6657" max="6657" width="19.85546875" style="5" customWidth="1"/>
    <col min="6658" max="6658" width="4" style="5" customWidth="1"/>
    <col min="6659" max="6659" width="5.5703125" style="5" customWidth="1"/>
    <col min="6660" max="6661" width="13.7109375" style="5" customWidth="1"/>
    <col min="6662" max="6662" width="25.7109375" style="5" customWidth="1"/>
    <col min="6663" max="6663" width="21.140625" style="5" customWidth="1"/>
    <col min="6664" max="6664" width="7.28515625" style="5" customWidth="1"/>
    <col min="6665" max="6665" width="9.140625" style="5" bestFit="1" customWidth="1"/>
    <col min="6666" max="6666" width="12" style="5" customWidth="1"/>
    <col min="6667" max="6667" width="0" style="5" hidden="1" customWidth="1"/>
    <col min="6668" max="6669" width="15.7109375" style="5" customWidth="1"/>
    <col min="6670" max="6672" width="9.7109375" style="5" customWidth="1"/>
    <col min="6673" max="6675" width="7.7109375" style="5" customWidth="1"/>
    <col min="6676" max="6684" width="0" style="5" hidden="1" customWidth="1"/>
    <col min="6685" max="6685" width="9.7109375" style="5" customWidth="1"/>
    <col min="6686" max="6686" width="15.7109375" style="5" customWidth="1"/>
    <col min="6687" max="6687" width="4" style="5" customWidth="1"/>
    <col min="6688" max="6688" width="13" style="5" customWidth="1"/>
    <col min="6689" max="6912" width="11.42578125" style="5"/>
    <col min="6913" max="6913" width="19.85546875" style="5" customWidth="1"/>
    <col min="6914" max="6914" width="4" style="5" customWidth="1"/>
    <col min="6915" max="6915" width="5.5703125" style="5" customWidth="1"/>
    <col min="6916" max="6917" width="13.7109375" style="5" customWidth="1"/>
    <col min="6918" max="6918" width="25.7109375" style="5" customWidth="1"/>
    <col min="6919" max="6919" width="21.140625" style="5" customWidth="1"/>
    <col min="6920" max="6920" width="7.28515625" style="5" customWidth="1"/>
    <col min="6921" max="6921" width="9.140625" style="5" bestFit="1" customWidth="1"/>
    <col min="6922" max="6922" width="12" style="5" customWidth="1"/>
    <col min="6923" max="6923" width="0" style="5" hidden="1" customWidth="1"/>
    <col min="6924" max="6925" width="15.7109375" style="5" customWidth="1"/>
    <col min="6926" max="6928" width="9.7109375" style="5" customWidth="1"/>
    <col min="6929" max="6931" width="7.7109375" style="5" customWidth="1"/>
    <col min="6932" max="6940" width="0" style="5" hidden="1" customWidth="1"/>
    <col min="6941" max="6941" width="9.7109375" style="5" customWidth="1"/>
    <col min="6942" max="6942" width="15.7109375" style="5" customWidth="1"/>
    <col min="6943" max="6943" width="4" style="5" customWidth="1"/>
    <col min="6944" max="6944" width="13" style="5" customWidth="1"/>
    <col min="6945" max="7168" width="11.42578125" style="5"/>
    <col min="7169" max="7169" width="19.85546875" style="5" customWidth="1"/>
    <col min="7170" max="7170" width="4" style="5" customWidth="1"/>
    <col min="7171" max="7171" width="5.5703125" style="5" customWidth="1"/>
    <col min="7172" max="7173" width="13.7109375" style="5" customWidth="1"/>
    <col min="7174" max="7174" width="25.7109375" style="5" customWidth="1"/>
    <col min="7175" max="7175" width="21.140625" style="5" customWidth="1"/>
    <col min="7176" max="7176" width="7.28515625" style="5" customWidth="1"/>
    <col min="7177" max="7177" width="9.140625" style="5" bestFit="1" customWidth="1"/>
    <col min="7178" max="7178" width="12" style="5" customWidth="1"/>
    <col min="7179" max="7179" width="0" style="5" hidden="1" customWidth="1"/>
    <col min="7180" max="7181" width="15.7109375" style="5" customWidth="1"/>
    <col min="7182" max="7184" width="9.7109375" style="5" customWidth="1"/>
    <col min="7185" max="7187" width="7.7109375" style="5" customWidth="1"/>
    <col min="7188" max="7196" width="0" style="5" hidden="1" customWidth="1"/>
    <col min="7197" max="7197" width="9.7109375" style="5" customWidth="1"/>
    <col min="7198" max="7198" width="15.7109375" style="5" customWidth="1"/>
    <col min="7199" max="7199" width="4" style="5" customWidth="1"/>
    <col min="7200" max="7200" width="13" style="5" customWidth="1"/>
    <col min="7201" max="7424" width="11.42578125" style="5"/>
    <col min="7425" max="7425" width="19.85546875" style="5" customWidth="1"/>
    <col min="7426" max="7426" width="4" style="5" customWidth="1"/>
    <col min="7427" max="7427" width="5.5703125" style="5" customWidth="1"/>
    <col min="7428" max="7429" width="13.7109375" style="5" customWidth="1"/>
    <col min="7430" max="7430" width="25.7109375" style="5" customWidth="1"/>
    <col min="7431" max="7431" width="21.140625" style="5" customWidth="1"/>
    <col min="7432" max="7432" width="7.28515625" style="5" customWidth="1"/>
    <col min="7433" max="7433" width="9.140625" style="5" bestFit="1" customWidth="1"/>
    <col min="7434" max="7434" width="12" style="5" customWidth="1"/>
    <col min="7435" max="7435" width="0" style="5" hidden="1" customWidth="1"/>
    <col min="7436" max="7437" width="15.7109375" style="5" customWidth="1"/>
    <col min="7438" max="7440" width="9.7109375" style="5" customWidth="1"/>
    <col min="7441" max="7443" width="7.7109375" style="5" customWidth="1"/>
    <col min="7444" max="7452" width="0" style="5" hidden="1" customWidth="1"/>
    <col min="7453" max="7453" width="9.7109375" style="5" customWidth="1"/>
    <col min="7454" max="7454" width="15.7109375" style="5" customWidth="1"/>
    <col min="7455" max="7455" width="4" style="5" customWidth="1"/>
    <col min="7456" max="7456" width="13" style="5" customWidth="1"/>
    <col min="7457" max="7680" width="11.42578125" style="5"/>
    <col min="7681" max="7681" width="19.85546875" style="5" customWidth="1"/>
    <col min="7682" max="7682" width="4" style="5" customWidth="1"/>
    <col min="7683" max="7683" width="5.5703125" style="5" customWidth="1"/>
    <col min="7684" max="7685" width="13.7109375" style="5" customWidth="1"/>
    <col min="7686" max="7686" width="25.7109375" style="5" customWidth="1"/>
    <col min="7687" max="7687" width="21.140625" style="5" customWidth="1"/>
    <col min="7688" max="7688" width="7.28515625" style="5" customWidth="1"/>
    <col min="7689" max="7689" width="9.140625" style="5" bestFit="1" customWidth="1"/>
    <col min="7690" max="7690" width="12" style="5" customWidth="1"/>
    <col min="7691" max="7691" width="0" style="5" hidden="1" customWidth="1"/>
    <col min="7692" max="7693" width="15.7109375" style="5" customWidth="1"/>
    <col min="7694" max="7696" width="9.7109375" style="5" customWidth="1"/>
    <col min="7697" max="7699" width="7.7109375" style="5" customWidth="1"/>
    <col min="7700" max="7708" width="0" style="5" hidden="1" customWidth="1"/>
    <col min="7709" max="7709" width="9.7109375" style="5" customWidth="1"/>
    <col min="7710" max="7710" width="15.7109375" style="5" customWidth="1"/>
    <col min="7711" max="7711" width="4" style="5" customWidth="1"/>
    <col min="7712" max="7712" width="13" style="5" customWidth="1"/>
    <col min="7713" max="7936" width="11.42578125" style="5"/>
    <col min="7937" max="7937" width="19.85546875" style="5" customWidth="1"/>
    <col min="7938" max="7938" width="4" style="5" customWidth="1"/>
    <col min="7939" max="7939" width="5.5703125" style="5" customWidth="1"/>
    <col min="7940" max="7941" width="13.7109375" style="5" customWidth="1"/>
    <col min="7942" max="7942" width="25.7109375" style="5" customWidth="1"/>
    <col min="7943" max="7943" width="21.140625" style="5" customWidth="1"/>
    <col min="7944" max="7944" width="7.28515625" style="5" customWidth="1"/>
    <col min="7945" max="7945" width="9.140625" style="5" bestFit="1" customWidth="1"/>
    <col min="7946" max="7946" width="12" style="5" customWidth="1"/>
    <col min="7947" max="7947" width="0" style="5" hidden="1" customWidth="1"/>
    <col min="7948" max="7949" width="15.7109375" style="5" customWidth="1"/>
    <col min="7950" max="7952" width="9.7109375" style="5" customWidth="1"/>
    <col min="7953" max="7955" width="7.7109375" style="5" customWidth="1"/>
    <col min="7956" max="7964" width="0" style="5" hidden="1" customWidth="1"/>
    <col min="7965" max="7965" width="9.7109375" style="5" customWidth="1"/>
    <col min="7966" max="7966" width="15.7109375" style="5" customWidth="1"/>
    <col min="7967" max="7967" width="4" style="5" customWidth="1"/>
    <col min="7968" max="7968" width="13" style="5" customWidth="1"/>
    <col min="7969" max="8192" width="11.42578125" style="5"/>
    <col min="8193" max="8193" width="19.85546875" style="5" customWidth="1"/>
    <col min="8194" max="8194" width="4" style="5" customWidth="1"/>
    <col min="8195" max="8195" width="5.5703125" style="5" customWidth="1"/>
    <col min="8196" max="8197" width="13.7109375" style="5" customWidth="1"/>
    <col min="8198" max="8198" width="25.7109375" style="5" customWidth="1"/>
    <col min="8199" max="8199" width="21.140625" style="5" customWidth="1"/>
    <col min="8200" max="8200" width="7.28515625" style="5" customWidth="1"/>
    <col min="8201" max="8201" width="9.140625" style="5" bestFit="1" customWidth="1"/>
    <col min="8202" max="8202" width="12" style="5" customWidth="1"/>
    <col min="8203" max="8203" width="0" style="5" hidden="1" customWidth="1"/>
    <col min="8204" max="8205" width="15.7109375" style="5" customWidth="1"/>
    <col min="8206" max="8208" width="9.7109375" style="5" customWidth="1"/>
    <col min="8209" max="8211" width="7.7109375" style="5" customWidth="1"/>
    <col min="8212" max="8220" width="0" style="5" hidden="1" customWidth="1"/>
    <col min="8221" max="8221" width="9.7109375" style="5" customWidth="1"/>
    <col min="8222" max="8222" width="15.7109375" style="5" customWidth="1"/>
    <col min="8223" max="8223" width="4" style="5" customWidth="1"/>
    <col min="8224" max="8224" width="13" style="5" customWidth="1"/>
    <col min="8225" max="8448" width="11.42578125" style="5"/>
    <col min="8449" max="8449" width="19.85546875" style="5" customWidth="1"/>
    <col min="8450" max="8450" width="4" style="5" customWidth="1"/>
    <col min="8451" max="8451" width="5.5703125" style="5" customWidth="1"/>
    <col min="8452" max="8453" width="13.7109375" style="5" customWidth="1"/>
    <col min="8454" max="8454" width="25.7109375" style="5" customWidth="1"/>
    <col min="8455" max="8455" width="21.140625" style="5" customWidth="1"/>
    <col min="8456" max="8456" width="7.28515625" style="5" customWidth="1"/>
    <col min="8457" max="8457" width="9.140625" style="5" bestFit="1" customWidth="1"/>
    <col min="8458" max="8458" width="12" style="5" customWidth="1"/>
    <col min="8459" max="8459" width="0" style="5" hidden="1" customWidth="1"/>
    <col min="8460" max="8461" width="15.7109375" style="5" customWidth="1"/>
    <col min="8462" max="8464" width="9.7109375" style="5" customWidth="1"/>
    <col min="8465" max="8467" width="7.7109375" style="5" customWidth="1"/>
    <col min="8468" max="8476" width="0" style="5" hidden="1" customWidth="1"/>
    <col min="8477" max="8477" width="9.7109375" style="5" customWidth="1"/>
    <col min="8478" max="8478" width="15.7109375" style="5" customWidth="1"/>
    <col min="8479" max="8479" width="4" style="5" customWidth="1"/>
    <col min="8480" max="8480" width="13" style="5" customWidth="1"/>
    <col min="8481" max="8704" width="11.42578125" style="5"/>
    <col min="8705" max="8705" width="19.85546875" style="5" customWidth="1"/>
    <col min="8706" max="8706" width="4" style="5" customWidth="1"/>
    <col min="8707" max="8707" width="5.5703125" style="5" customWidth="1"/>
    <col min="8708" max="8709" width="13.7109375" style="5" customWidth="1"/>
    <col min="8710" max="8710" width="25.7109375" style="5" customWidth="1"/>
    <col min="8711" max="8711" width="21.140625" style="5" customWidth="1"/>
    <col min="8712" max="8712" width="7.28515625" style="5" customWidth="1"/>
    <col min="8713" max="8713" width="9.140625" style="5" bestFit="1" customWidth="1"/>
    <col min="8714" max="8714" width="12" style="5" customWidth="1"/>
    <col min="8715" max="8715" width="0" style="5" hidden="1" customWidth="1"/>
    <col min="8716" max="8717" width="15.7109375" style="5" customWidth="1"/>
    <col min="8718" max="8720" width="9.7109375" style="5" customWidth="1"/>
    <col min="8721" max="8723" width="7.7109375" style="5" customWidth="1"/>
    <col min="8724" max="8732" width="0" style="5" hidden="1" customWidth="1"/>
    <col min="8733" max="8733" width="9.7109375" style="5" customWidth="1"/>
    <col min="8734" max="8734" width="15.7109375" style="5" customWidth="1"/>
    <col min="8735" max="8735" width="4" style="5" customWidth="1"/>
    <col min="8736" max="8736" width="13" style="5" customWidth="1"/>
    <col min="8737" max="8960" width="11.42578125" style="5"/>
    <col min="8961" max="8961" width="19.85546875" style="5" customWidth="1"/>
    <col min="8962" max="8962" width="4" style="5" customWidth="1"/>
    <col min="8963" max="8963" width="5.5703125" style="5" customWidth="1"/>
    <col min="8964" max="8965" width="13.7109375" style="5" customWidth="1"/>
    <col min="8966" max="8966" width="25.7109375" style="5" customWidth="1"/>
    <col min="8967" max="8967" width="21.140625" style="5" customWidth="1"/>
    <col min="8968" max="8968" width="7.28515625" style="5" customWidth="1"/>
    <col min="8969" max="8969" width="9.140625" style="5" bestFit="1" customWidth="1"/>
    <col min="8970" max="8970" width="12" style="5" customWidth="1"/>
    <col min="8971" max="8971" width="0" style="5" hidden="1" customWidth="1"/>
    <col min="8972" max="8973" width="15.7109375" style="5" customWidth="1"/>
    <col min="8974" max="8976" width="9.7109375" style="5" customWidth="1"/>
    <col min="8977" max="8979" width="7.7109375" style="5" customWidth="1"/>
    <col min="8980" max="8988" width="0" style="5" hidden="1" customWidth="1"/>
    <col min="8989" max="8989" width="9.7109375" style="5" customWidth="1"/>
    <col min="8990" max="8990" width="15.7109375" style="5" customWidth="1"/>
    <col min="8991" max="8991" width="4" style="5" customWidth="1"/>
    <col min="8992" max="8992" width="13" style="5" customWidth="1"/>
    <col min="8993" max="9216" width="11.42578125" style="5"/>
    <col min="9217" max="9217" width="19.85546875" style="5" customWidth="1"/>
    <col min="9218" max="9218" width="4" style="5" customWidth="1"/>
    <col min="9219" max="9219" width="5.5703125" style="5" customWidth="1"/>
    <col min="9220" max="9221" width="13.7109375" style="5" customWidth="1"/>
    <col min="9222" max="9222" width="25.7109375" style="5" customWidth="1"/>
    <col min="9223" max="9223" width="21.140625" style="5" customWidth="1"/>
    <col min="9224" max="9224" width="7.28515625" style="5" customWidth="1"/>
    <col min="9225" max="9225" width="9.140625" style="5" bestFit="1" customWidth="1"/>
    <col min="9226" max="9226" width="12" style="5" customWidth="1"/>
    <col min="9227" max="9227" width="0" style="5" hidden="1" customWidth="1"/>
    <col min="9228" max="9229" width="15.7109375" style="5" customWidth="1"/>
    <col min="9230" max="9232" width="9.7109375" style="5" customWidth="1"/>
    <col min="9233" max="9235" width="7.7109375" style="5" customWidth="1"/>
    <col min="9236" max="9244" width="0" style="5" hidden="1" customWidth="1"/>
    <col min="9245" max="9245" width="9.7109375" style="5" customWidth="1"/>
    <col min="9246" max="9246" width="15.7109375" style="5" customWidth="1"/>
    <col min="9247" max="9247" width="4" style="5" customWidth="1"/>
    <col min="9248" max="9248" width="13" style="5" customWidth="1"/>
    <col min="9249" max="9472" width="11.42578125" style="5"/>
    <col min="9473" max="9473" width="19.85546875" style="5" customWidth="1"/>
    <col min="9474" max="9474" width="4" style="5" customWidth="1"/>
    <col min="9475" max="9475" width="5.5703125" style="5" customWidth="1"/>
    <col min="9476" max="9477" width="13.7109375" style="5" customWidth="1"/>
    <col min="9478" max="9478" width="25.7109375" style="5" customWidth="1"/>
    <col min="9479" max="9479" width="21.140625" style="5" customWidth="1"/>
    <col min="9480" max="9480" width="7.28515625" style="5" customWidth="1"/>
    <col min="9481" max="9481" width="9.140625" style="5" bestFit="1" customWidth="1"/>
    <col min="9482" max="9482" width="12" style="5" customWidth="1"/>
    <col min="9483" max="9483" width="0" style="5" hidden="1" customWidth="1"/>
    <col min="9484" max="9485" width="15.7109375" style="5" customWidth="1"/>
    <col min="9486" max="9488" width="9.7109375" style="5" customWidth="1"/>
    <col min="9489" max="9491" width="7.7109375" style="5" customWidth="1"/>
    <col min="9492" max="9500" width="0" style="5" hidden="1" customWidth="1"/>
    <col min="9501" max="9501" width="9.7109375" style="5" customWidth="1"/>
    <col min="9502" max="9502" width="15.7109375" style="5" customWidth="1"/>
    <col min="9503" max="9503" width="4" style="5" customWidth="1"/>
    <col min="9504" max="9504" width="13" style="5" customWidth="1"/>
    <col min="9505" max="9728" width="11.42578125" style="5"/>
    <col min="9729" max="9729" width="19.85546875" style="5" customWidth="1"/>
    <col min="9730" max="9730" width="4" style="5" customWidth="1"/>
    <col min="9731" max="9731" width="5.5703125" style="5" customWidth="1"/>
    <col min="9732" max="9733" width="13.7109375" style="5" customWidth="1"/>
    <col min="9734" max="9734" width="25.7109375" style="5" customWidth="1"/>
    <col min="9735" max="9735" width="21.140625" style="5" customWidth="1"/>
    <col min="9736" max="9736" width="7.28515625" style="5" customWidth="1"/>
    <col min="9737" max="9737" width="9.140625" style="5" bestFit="1" customWidth="1"/>
    <col min="9738" max="9738" width="12" style="5" customWidth="1"/>
    <col min="9739" max="9739" width="0" style="5" hidden="1" customWidth="1"/>
    <col min="9740" max="9741" width="15.7109375" style="5" customWidth="1"/>
    <col min="9742" max="9744" width="9.7109375" style="5" customWidth="1"/>
    <col min="9745" max="9747" width="7.7109375" style="5" customWidth="1"/>
    <col min="9748" max="9756" width="0" style="5" hidden="1" customWidth="1"/>
    <col min="9757" max="9757" width="9.7109375" style="5" customWidth="1"/>
    <col min="9758" max="9758" width="15.7109375" style="5" customWidth="1"/>
    <col min="9759" max="9759" width="4" style="5" customWidth="1"/>
    <col min="9760" max="9760" width="13" style="5" customWidth="1"/>
    <col min="9761" max="9984" width="11.42578125" style="5"/>
    <col min="9985" max="9985" width="19.85546875" style="5" customWidth="1"/>
    <col min="9986" max="9986" width="4" style="5" customWidth="1"/>
    <col min="9987" max="9987" width="5.5703125" style="5" customWidth="1"/>
    <col min="9988" max="9989" width="13.7109375" style="5" customWidth="1"/>
    <col min="9990" max="9990" width="25.7109375" style="5" customWidth="1"/>
    <col min="9991" max="9991" width="21.140625" style="5" customWidth="1"/>
    <col min="9992" max="9992" width="7.28515625" style="5" customWidth="1"/>
    <col min="9993" max="9993" width="9.140625" style="5" bestFit="1" customWidth="1"/>
    <col min="9994" max="9994" width="12" style="5" customWidth="1"/>
    <col min="9995" max="9995" width="0" style="5" hidden="1" customWidth="1"/>
    <col min="9996" max="9997" width="15.7109375" style="5" customWidth="1"/>
    <col min="9998" max="10000" width="9.7109375" style="5" customWidth="1"/>
    <col min="10001" max="10003" width="7.7109375" style="5" customWidth="1"/>
    <col min="10004" max="10012" width="0" style="5" hidden="1" customWidth="1"/>
    <col min="10013" max="10013" width="9.7109375" style="5" customWidth="1"/>
    <col min="10014" max="10014" width="15.7109375" style="5" customWidth="1"/>
    <col min="10015" max="10015" width="4" style="5" customWidth="1"/>
    <col min="10016" max="10016" width="13" style="5" customWidth="1"/>
    <col min="10017" max="10240" width="11.42578125" style="5"/>
    <col min="10241" max="10241" width="19.85546875" style="5" customWidth="1"/>
    <col min="10242" max="10242" width="4" style="5" customWidth="1"/>
    <col min="10243" max="10243" width="5.5703125" style="5" customWidth="1"/>
    <col min="10244" max="10245" width="13.7109375" style="5" customWidth="1"/>
    <col min="10246" max="10246" width="25.7109375" style="5" customWidth="1"/>
    <col min="10247" max="10247" width="21.140625" style="5" customWidth="1"/>
    <col min="10248" max="10248" width="7.28515625" style="5" customWidth="1"/>
    <col min="10249" max="10249" width="9.140625" style="5" bestFit="1" customWidth="1"/>
    <col min="10250" max="10250" width="12" style="5" customWidth="1"/>
    <col min="10251" max="10251" width="0" style="5" hidden="1" customWidth="1"/>
    <col min="10252" max="10253" width="15.7109375" style="5" customWidth="1"/>
    <col min="10254" max="10256" width="9.7109375" style="5" customWidth="1"/>
    <col min="10257" max="10259" width="7.7109375" style="5" customWidth="1"/>
    <col min="10260" max="10268" width="0" style="5" hidden="1" customWidth="1"/>
    <col min="10269" max="10269" width="9.7109375" style="5" customWidth="1"/>
    <col min="10270" max="10270" width="15.7109375" style="5" customWidth="1"/>
    <col min="10271" max="10271" width="4" style="5" customWidth="1"/>
    <col min="10272" max="10272" width="13" style="5" customWidth="1"/>
    <col min="10273" max="10496" width="11.42578125" style="5"/>
    <col min="10497" max="10497" width="19.85546875" style="5" customWidth="1"/>
    <col min="10498" max="10498" width="4" style="5" customWidth="1"/>
    <col min="10499" max="10499" width="5.5703125" style="5" customWidth="1"/>
    <col min="10500" max="10501" width="13.7109375" style="5" customWidth="1"/>
    <col min="10502" max="10502" width="25.7109375" style="5" customWidth="1"/>
    <col min="10503" max="10503" width="21.140625" style="5" customWidth="1"/>
    <col min="10504" max="10504" width="7.28515625" style="5" customWidth="1"/>
    <col min="10505" max="10505" width="9.140625" style="5" bestFit="1" customWidth="1"/>
    <col min="10506" max="10506" width="12" style="5" customWidth="1"/>
    <col min="10507" max="10507" width="0" style="5" hidden="1" customWidth="1"/>
    <col min="10508" max="10509" width="15.7109375" style="5" customWidth="1"/>
    <col min="10510" max="10512" width="9.7109375" style="5" customWidth="1"/>
    <col min="10513" max="10515" width="7.7109375" style="5" customWidth="1"/>
    <col min="10516" max="10524" width="0" style="5" hidden="1" customWidth="1"/>
    <col min="10525" max="10525" width="9.7109375" style="5" customWidth="1"/>
    <col min="10526" max="10526" width="15.7109375" style="5" customWidth="1"/>
    <col min="10527" max="10527" width="4" style="5" customWidth="1"/>
    <col min="10528" max="10528" width="13" style="5" customWidth="1"/>
    <col min="10529" max="10752" width="11.42578125" style="5"/>
    <col min="10753" max="10753" width="19.85546875" style="5" customWidth="1"/>
    <col min="10754" max="10754" width="4" style="5" customWidth="1"/>
    <col min="10755" max="10755" width="5.5703125" style="5" customWidth="1"/>
    <col min="10756" max="10757" width="13.7109375" style="5" customWidth="1"/>
    <col min="10758" max="10758" width="25.7109375" style="5" customWidth="1"/>
    <col min="10759" max="10759" width="21.140625" style="5" customWidth="1"/>
    <col min="10760" max="10760" width="7.28515625" style="5" customWidth="1"/>
    <col min="10761" max="10761" width="9.140625" style="5" bestFit="1" customWidth="1"/>
    <col min="10762" max="10762" width="12" style="5" customWidth="1"/>
    <col min="10763" max="10763" width="0" style="5" hidden="1" customWidth="1"/>
    <col min="10764" max="10765" width="15.7109375" style="5" customWidth="1"/>
    <col min="10766" max="10768" width="9.7109375" style="5" customWidth="1"/>
    <col min="10769" max="10771" width="7.7109375" style="5" customWidth="1"/>
    <col min="10772" max="10780" width="0" style="5" hidden="1" customWidth="1"/>
    <col min="10781" max="10781" width="9.7109375" style="5" customWidth="1"/>
    <col min="10782" max="10782" width="15.7109375" style="5" customWidth="1"/>
    <col min="10783" max="10783" width="4" style="5" customWidth="1"/>
    <col min="10784" max="10784" width="13" style="5" customWidth="1"/>
    <col min="10785" max="11008" width="11.42578125" style="5"/>
    <col min="11009" max="11009" width="19.85546875" style="5" customWidth="1"/>
    <col min="11010" max="11010" width="4" style="5" customWidth="1"/>
    <col min="11011" max="11011" width="5.5703125" style="5" customWidth="1"/>
    <col min="11012" max="11013" width="13.7109375" style="5" customWidth="1"/>
    <col min="11014" max="11014" width="25.7109375" style="5" customWidth="1"/>
    <col min="11015" max="11015" width="21.140625" style="5" customWidth="1"/>
    <col min="11016" max="11016" width="7.28515625" style="5" customWidth="1"/>
    <col min="11017" max="11017" width="9.140625" style="5" bestFit="1" customWidth="1"/>
    <col min="11018" max="11018" width="12" style="5" customWidth="1"/>
    <col min="11019" max="11019" width="0" style="5" hidden="1" customWidth="1"/>
    <col min="11020" max="11021" width="15.7109375" style="5" customWidth="1"/>
    <col min="11022" max="11024" width="9.7109375" style="5" customWidth="1"/>
    <col min="11025" max="11027" width="7.7109375" style="5" customWidth="1"/>
    <col min="11028" max="11036" width="0" style="5" hidden="1" customWidth="1"/>
    <col min="11037" max="11037" width="9.7109375" style="5" customWidth="1"/>
    <col min="11038" max="11038" width="15.7109375" style="5" customWidth="1"/>
    <col min="11039" max="11039" width="4" style="5" customWidth="1"/>
    <col min="11040" max="11040" width="13" style="5" customWidth="1"/>
    <col min="11041" max="11264" width="11.42578125" style="5"/>
    <col min="11265" max="11265" width="19.85546875" style="5" customWidth="1"/>
    <col min="11266" max="11266" width="4" style="5" customWidth="1"/>
    <col min="11267" max="11267" width="5.5703125" style="5" customWidth="1"/>
    <col min="11268" max="11269" width="13.7109375" style="5" customWidth="1"/>
    <col min="11270" max="11270" width="25.7109375" style="5" customWidth="1"/>
    <col min="11271" max="11271" width="21.140625" style="5" customWidth="1"/>
    <col min="11272" max="11272" width="7.28515625" style="5" customWidth="1"/>
    <col min="11273" max="11273" width="9.140625" style="5" bestFit="1" customWidth="1"/>
    <col min="11274" max="11274" width="12" style="5" customWidth="1"/>
    <col min="11275" max="11275" width="0" style="5" hidden="1" customWidth="1"/>
    <col min="11276" max="11277" width="15.7109375" style="5" customWidth="1"/>
    <col min="11278" max="11280" width="9.7109375" style="5" customWidth="1"/>
    <col min="11281" max="11283" width="7.7109375" style="5" customWidth="1"/>
    <col min="11284" max="11292" width="0" style="5" hidden="1" customWidth="1"/>
    <col min="11293" max="11293" width="9.7109375" style="5" customWidth="1"/>
    <col min="11294" max="11294" width="15.7109375" style="5" customWidth="1"/>
    <col min="11295" max="11295" width="4" style="5" customWidth="1"/>
    <col min="11296" max="11296" width="13" style="5" customWidth="1"/>
    <col min="11297" max="11520" width="11.42578125" style="5"/>
    <col min="11521" max="11521" width="19.85546875" style="5" customWidth="1"/>
    <col min="11522" max="11522" width="4" style="5" customWidth="1"/>
    <col min="11523" max="11523" width="5.5703125" style="5" customWidth="1"/>
    <col min="11524" max="11525" width="13.7109375" style="5" customWidth="1"/>
    <col min="11526" max="11526" width="25.7109375" style="5" customWidth="1"/>
    <col min="11527" max="11527" width="21.140625" style="5" customWidth="1"/>
    <col min="11528" max="11528" width="7.28515625" style="5" customWidth="1"/>
    <col min="11529" max="11529" width="9.140625" style="5" bestFit="1" customWidth="1"/>
    <col min="11530" max="11530" width="12" style="5" customWidth="1"/>
    <col min="11531" max="11531" width="0" style="5" hidden="1" customWidth="1"/>
    <col min="11532" max="11533" width="15.7109375" style="5" customWidth="1"/>
    <col min="11534" max="11536" width="9.7109375" style="5" customWidth="1"/>
    <col min="11537" max="11539" width="7.7109375" style="5" customWidth="1"/>
    <col min="11540" max="11548" width="0" style="5" hidden="1" customWidth="1"/>
    <col min="11549" max="11549" width="9.7109375" style="5" customWidth="1"/>
    <col min="11550" max="11550" width="15.7109375" style="5" customWidth="1"/>
    <col min="11551" max="11551" width="4" style="5" customWidth="1"/>
    <col min="11552" max="11552" width="13" style="5" customWidth="1"/>
    <col min="11553" max="11776" width="11.42578125" style="5"/>
    <col min="11777" max="11777" width="19.85546875" style="5" customWidth="1"/>
    <col min="11778" max="11778" width="4" style="5" customWidth="1"/>
    <col min="11779" max="11779" width="5.5703125" style="5" customWidth="1"/>
    <col min="11780" max="11781" width="13.7109375" style="5" customWidth="1"/>
    <col min="11782" max="11782" width="25.7109375" style="5" customWidth="1"/>
    <col min="11783" max="11783" width="21.140625" style="5" customWidth="1"/>
    <col min="11784" max="11784" width="7.28515625" style="5" customWidth="1"/>
    <col min="11785" max="11785" width="9.140625" style="5" bestFit="1" customWidth="1"/>
    <col min="11786" max="11786" width="12" style="5" customWidth="1"/>
    <col min="11787" max="11787" width="0" style="5" hidden="1" customWidth="1"/>
    <col min="11788" max="11789" width="15.7109375" style="5" customWidth="1"/>
    <col min="11790" max="11792" width="9.7109375" style="5" customWidth="1"/>
    <col min="11793" max="11795" width="7.7109375" style="5" customWidth="1"/>
    <col min="11796" max="11804" width="0" style="5" hidden="1" customWidth="1"/>
    <col min="11805" max="11805" width="9.7109375" style="5" customWidth="1"/>
    <col min="11806" max="11806" width="15.7109375" style="5" customWidth="1"/>
    <col min="11807" max="11807" width="4" style="5" customWidth="1"/>
    <col min="11808" max="11808" width="13" style="5" customWidth="1"/>
    <col min="11809" max="12032" width="11.42578125" style="5"/>
    <col min="12033" max="12033" width="19.85546875" style="5" customWidth="1"/>
    <col min="12034" max="12034" width="4" style="5" customWidth="1"/>
    <col min="12035" max="12035" width="5.5703125" style="5" customWidth="1"/>
    <col min="12036" max="12037" width="13.7109375" style="5" customWidth="1"/>
    <col min="12038" max="12038" width="25.7109375" style="5" customWidth="1"/>
    <col min="12039" max="12039" width="21.140625" style="5" customWidth="1"/>
    <col min="12040" max="12040" width="7.28515625" style="5" customWidth="1"/>
    <col min="12041" max="12041" width="9.140625" style="5" bestFit="1" customWidth="1"/>
    <col min="12042" max="12042" width="12" style="5" customWidth="1"/>
    <col min="12043" max="12043" width="0" style="5" hidden="1" customWidth="1"/>
    <col min="12044" max="12045" width="15.7109375" style="5" customWidth="1"/>
    <col min="12046" max="12048" width="9.7109375" style="5" customWidth="1"/>
    <col min="12049" max="12051" width="7.7109375" style="5" customWidth="1"/>
    <col min="12052" max="12060" width="0" style="5" hidden="1" customWidth="1"/>
    <col min="12061" max="12061" width="9.7109375" style="5" customWidth="1"/>
    <col min="12062" max="12062" width="15.7109375" style="5" customWidth="1"/>
    <col min="12063" max="12063" width="4" style="5" customWidth="1"/>
    <col min="12064" max="12064" width="13" style="5" customWidth="1"/>
    <col min="12065" max="12288" width="11.42578125" style="5"/>
    <col min="12289" max="12289" width="19.85546875" style="5" customWidth="1"/>
    <col min="12290" max="12290" width="4" style="5" customWidth="1"/>
    <col min="12291" max="12291" width="5.5703125" style="5" customWidth="1"/>
    <col min="12292" max="12293" width="13.7109375" style="5" customWidth="1"/>
    <col min="12294" max="12294" width="25.7109375" style="5" customWidth="1"/>
    <col min="12295" max="12295" width="21.140625" style="5" customWidth="1"/>
    <col min="12296" max="12296" width="7.28515625" style="5" customWidth="1"/>
    <col min="12297" max="12297" width="9.140625" style="5" bestFit="1" customWidth="1"/>
    <col min="12298" max="12298" width="12" style="5" customWidth="1"/>
    <col min="12299" max="12299" width="0" style="5" hidden="1" customWidth="1"/>
    <col min="12300" max="12301" width="15.7109375" style="5" customWidth="1"/>
    <col min="12302" max="12304" width="9.7109375" style="5" customWidth="1"/>
    <col min="12305" max="12307" width="7.7109375" style="5" customWidth="1"/>
    <col min="12308" max="12316" width="0" style="5" hidden="1" customWidth="1"/>
    <col min="12317" max="12317" width="9.7109375" style="5" customWidth="1"/>
    <col min="12318" max="12318" width="15.7109375" style="5" customWidth="1"/>
    <col min="12319" max="12319" width="4" style="5" customWidth="1"/>
    <col min="12320" max="12320" width="13" style="5" customWidth="1"/>
    <col min="12321" max="12544" width="11.42578125" style="5"/>
    <col min="12545" max="12545" width="19.85546875" style="5" customWidth="1"/>
    <col min="12546" max="12546" width="4" style="5" customWidth="1"/>
    <col min="12547" max="12547" width="5.5703125" style="5" customWidth="1"/>
    <col min="12548" max="12549" width="13.7109375" style="5" customWidth="1"/>
    <col min="12550" max="12550" width="25.7109375" style="5" customWidth="1"/>
    <col min="12551" max="12551" width="21.140625" style="5" customWidth="1"/>
    <col min="12552" max="12552" width="7.28515625" style="5" customWidth="1"/>
    <col min="12553" max="12553" width="9.140625" style="5" bestFit="1" customWidth="1"/>
    <col min="12554" max="12554" width="12" style="5" customWidth="1"/>
    <col min="12555" max="12555" width="0" style="5" hidden="1" customWidth="1"/>
    <col min="12556" max="12557" width="15.7109375" style="5" customWidth="1"/>
    <col min="12558" max="12560" width="9.7109375" style="5" customWidth="1"/>
    <col min="12561" max="12563" width="7.7109375" style="5" customWidth="1"/>
    <col min="12564" max="12572" width="0" style="5" hidden="1" customWidth="1"/>
    <col min="12573" max="12573" width="9.7109375" style="5" customWidth="1"/>
    <col min="12574" max="12574" width="15.7109375" style="5" customWidth="1"/>
    <col min="12575" max="12575" width="4" style="5" customWidth="1"/>
    <col min="12576" max="12576" width="13" style="5" customWidth="1"/>
    <col min="12577" max="12800" width="11.42578125" style="5"/>
    <col min="12801" max="12801" width="19.85546875" style="5" customWidth="1"/>
    <col min="12802" max="12802" width="4" style="5" customWidth="1"/>
    <col min="12803" max="12803" width="5.5703125" style="5" customWidth="1"/>
    <col min="12804" max="12805" width="13.7109375" style="5" customWidth="1"/>
    <col min="12806" max="12806" width="25.7109375" style="5" customWidth="1"/>
    <col min="12807" max="12807" width="21.140625" style="5" customWidth="1"/>
    <col min="12808" max="12808" width="7.28515625" style="5" customWidth="1"/>
    <col min="12809" max="12809" width="9.140625" style="5" bestFit="1" customWidth="1"/>
    <col min="12810" max="12810" width="12" style="5" customWidth="1"/>
    <col min="12811" max="12811" width="0" style="5" hidden="1" customWidth="1"/>
    <col min="12812" max="12813" width="15.7109375" style="5" customWidth="1"/>
    <col min="12814" max="12816" width="9.7109375" style="5" customWidth="1"/>
    <col min="12817" max="12819" width="7.7109375" style="5" customWidth="1"/>
    <col min="12820" max="12828" width="0" style="5" hidden="1" customWidth="1"/>
    <col min="12829" max="12829" width="9.7109375" style="5" customWidth="1"/>
    <col min="12830" max="12830" width="15.7109375" style="5" customWidth="1"/>
    <col min="12831" max="12831" width="4" style="5" customWidth="1"/>
    <col min="12832" max="12832" width="13" style="5" customWidth="1"/>
    <col min="12833" max="13056" width="11.42578125" style="5"/>
    <col min="13057" max="13057" width="19.85546875" style="5" customWidth="1"/>
    <col min="13058" max="13058" width="4" style="5" customWidth="1"/>
    <col min="13059" max="13059" width="5.5703125" style="5" customWidth="1"/>
    <col min="13060" max="13061" width="13.7109375" style="5" customWidth="1"/>
    <col min="13062" max="13062" width="25.7109375" style="5" customWidth="1"/>
    <col min="13063" max="13063" width="21.140625" style="5" customWidth="1"/>
    <col min="13064" max="13064" width="7.28515625" style="5" customWidth="1"/>
    <col min="13065" max="13065" width="9.140625" style="5" bestFit="1" customWidth="1"/>
    <col min="13066" max="13066" width="12" style="5" customWidth="1"/>
    <col min="13067" max="13067" width="0" style="5" hidden="1" customWidth="1"/>
    <col min="13068" max="13069" width="15.7109375" style="5" customWidth="1"/>
    <col min="13070" max="13072" width="9.7109375" style="5" customWidth="1"/>
    <col min="13073" max="13075" width="7.7109375" style="5" customWidth="1"/>
    <col min="13076" max="13084" width="0" style="5" hidden="1" customWidth="1"/>
    <col min="13085" max="13085" width="9.7109375" style="5" customWidth="1"/>
    <col min="13086" max="13086" width="15.7109375" style="5" customWidth="1"/>
    <col min="13087" max="13087" width="4" style="5" customWidth="1"/>
    <col min="13088" max="13088" width="13" style="5" customWidth="1"/>
    <col min="13089" max="13312" width="11.42578125" style="5"/>
    <col min="13313" max="13313" width="19.85546875" style="5" customWidth="1"/>
    <col min="13314" max="13314" width="4" style="5" customWidth="1"/>
    <col min="13315" max="13315" width="5.5703125" style="5" customWidth="1"/>
    <col min="13316" max="13317" width="13.7109375" style="5" customWidth="1"/>
    <col min="13318" max="13318" width="25.7109375" style="5" customWidth="1"/>
    <col min="13319" max="13319" width="21.140625" style="5" customWidth="1"/>
    <col min="13320" max="13320" width="7.28515625" style="5" customWidth="1"/>
    <col min="13321" max="13321" width="9.140625" style="5" bestFit="1" customWidth="1"/>
    <col min="13322" max="13322" width="12" style="5" customWidth="1"/>
    <col min="13323" max="13323" width="0" style="5" hidden="1" customWidth="1"/>
    <col min="13324" max="13325" width="15.7109375" style="5" customWidth="1"/>
    <col min="13326" max="13328" width="9.7109375" style="5" customWidth="1"/>
    <col min="13329" max="13331" width="7.7109375" style="5" customWidth="1"/>
    <col min="13332" max="13340" width="0" style="5" hidden="1" customWidth="1"/>
    <col min="13341" max="13341" width="9.7109375" style="5" customWidth="1"/>
    <col min="13342" max="13342" width="15.7109375" style="5" customWidth="1"/>
    <col min="13343" max="13343" width="4" style="5" customWidth="1"/>
    <col min="13344" max="13344" width="13" style="5" customWidth="1"/>
    <col min="13345" max="13568" width="11.42578125" style="5"/>
    <col min="13569" max="13569" width="19.85546875" style="5" customWidth="1"/>
    <col min="13570" max="13570" width="4" style="5" customWidth="1"/>
    <col min="13571" max="13571" width="5.5703125" style="5" customWidth="1"/>
    <col min="13572" max="13573" width="13.7109375" style="5" customWidth="1"/>
    <col min="13574" max="13574" width="25.7109375" style="5" customWidth="1"/>
    <col min="13575" max="13575" width="21.140625" style="5" customWidth="1"/>
    <col min="13576" max="13576" width="7.28515625" style="5" customWidth="1"/>
    <col min="13577" max="13577" width="9.140625" style="5" bestFit="1" customWidth="1"/>
    <col min="13578" max="13578" width="12" style="5" customWidth="1"/>
    <col min="13579" max="13579" width="0" style="5" hidden="1" customWidth="1"/>
    <col min="13580" max="13581" width="15.7109375" style="5" customWidth="1"/>
    <col min="13582" max="13584" width="9.7109375" style="5" customWidth="1"/>
    <col min="13585" max="13587" width="7.7109375" style="5" customWidth="1"/>
    <col min="13588" max="13596" width="0" style="5" hidden="1" customWidth="1"/>
    <col min="13597" max="13597" width="9.7109375" style="5" customWidth="1"/>
    <col min="13598" max="13598" width="15.7109375" style="5" customWidth="1"/>
    <col min="13599" max="13599" width="4" style="5" customWidth="1"/>
    <col min="13600" max="13600" width="13" style="5" customWidth="1"/>
    <col min="13601" max="13824" width="11.42578125" style="5"/>
    <col min="13825" max="13825" width="19.85546875" style="5" customWidth="1"/>
    <col min="13826" max="13826" width="4" style="5" customWidth="1"/>
    <col min="13827" max="13827" width="5.5703125" style="5" customWidth="1"/>
    <col min="13828" max="13829" width="13.7109375" style="5" customWidth="1"/>
    <col min="13830" max="13830" width="25.7109375" style="5" customWidth="1"/>
    <col min="13831" max="13831" width="21.140625" style="5" customWidth="1"/>
    <col min="13832" max="13832" width="7.28515625" style="5" customWidth="1"/>
    <col min="13833" max="13833" width="9.140625" style="5" bestFit="1" customWidth="1"/>
    <col min="13834" max="13834" width="12" style="5" customWidth="1"/>
    <col min="13835" max="13835" width="0" style="5" hidden="1" customWidth="1"/>
    <col min="13836" max="13837" width="15.7109375" style="5" customWidth="1"/>
    <col min="13838" max="13840" width="9.7109375" style="5" customWidth="1"/>
    <col min="13841" max="13843" width="7.7109375" style="5" customWidth="1"/>
    <col min="13844" max="13852" width="0" style="5" hidden="1" customWidth="1"/>
    <col min="13853" max="13853" width="9.7109375" style="5" customWidth="1"/>
    <col min="13854" max="13854" width="15.7109375" style="5" customWidth="1"/>
    <col min="13855" max="13855" width="4" style="5" customWidth="1"/>
    <col min="13856" max="13856" width="13" style="5" customWidth="1"/>
    <col min="13857" max="14080" width="11.42578125" style="5"/>
    <col min="14081" max="14081" width="19.85546875" style="5" customWidth="1"/>
    <col min="14082" max="14082" width="4" style="5" customWidth="1"/>
    <col min="14083" max="14083" width="5.5703125" style="5" customWidth="1"/>
    <col min="14084" max="14085" width="13.7109375" style="5" customWidth="1"/>
    <col min="14086" max="14086" width="25.7109375" style="5" customWidth="1"/>
    <col min="14087" max="14087" width="21.140625" style="5" customWidth="1"/>
    <col min="14088" max="14088" width="7.28515625" style="5" customWidth="1"/>
    <col min="14089" max="14089" width="9.140625" style="5" bestFit="1" customWidth="1"/>
    <col min="14090" max="14090" width="12" style="5" customWidth="1"/>
    <col min="14091" max="14091" width="0" style="5" hidden="1" customWidth="1"/>
    <col min="14092" max="14093" width="15.7109375" style="5" customWidth="1"/>
    <col min="14094" max="14096" width="9.7109375" style="5" customWidth="1"/>
    <col min="14097" max="14099" width="7.7109375" style="5" customWidth="1"/>
    <col min="14100" max="14108" width="0" style="5" hidden="1" customWidth="1"/>
    <col min="14109" max="14109" width="9.7109375" style="5" customWidth="1"/>
    <col min="14110" max="14110" width="15.7109375" style="5" customWidth="1"/>
    <col min="14111" max="14111" width="4" style="5" customWidth="1"/>
    <col min="14112" max="14112" width="13" style="5" customWidth="1"/>
    <col min="14113" max="14336" width="11.42578125" style="5"/>
    <col min="14337" max="14337" width="19.85546875" style="5" customWidth="1"/>
    <col min="14338" max="14338" width="4" style="5" customWidth="1"/>
    <col min="14339" max="14339" width="5.5703125" style="5" customWidth="1"/>
    <col min="14340" max="14341" width="13.7109375" style="5" customWidth="1"/>
    <col min="14342" max="14342" width="25.7109375" style="5" customWidth="1"/>
    <col min="14343" max="14343" width="21.140625" style="5" customWidth="1"/>
    <col min="14344" max="14344" width="7.28515625" style="5" customWidth="1"/>
    <col min="14345" max="14345" width="9.140625" style="5" bestFit="1" customWidth="1"/>
    <col min="14346" max="14346" width="12" style="5" customWidth="1"/>
    <col min="14347" max="14347" width="0" style="5" hidden="1" customWidth="1"/>
    <col min="14348" max="14349" width="15.7109375" style="5" customWidth="1"/>
    <col min="14350" max="14352" width="9.7109375" style="5" customWidth="1"/>
    <col min="14353" max="14355" width="7.7109375" style="5" customWidth="1"/>
    <col min="14356" max="14364" width="0" style="5" hidden="1" customWidth="1"/>
    <col min="14365" max="14365" width="9.7109375" style="5" customWidth="1"/>
    <col min="14366" max="14366" width="15.7109375" style="5" customWidth="1"/>
    <col min="14367" max="14367" width="4" style="5" customWidth="1"/>
    <col min="14368" max="14368" width="13" style="5" customWidth="1"/>
    <col min="14369" max="14592" width="11.42578125" style="5"/>
    <col min="14593" max="14593" width="19.85546875" style="5" customWidth="1"/>
    <col min="14594" max="14594" width="4" style="5" customWidth="1"/>
    <col min="14595" max="14595" width="5.5703125" style="5" customWidth="1"/>
    <col min="14596" max="14597" width="13.7109375" style="5" customWidth="1"/>
    <col min="14598" max="14598" width="25.7109375" style="5" customWidth="1"/>
    <col min="14599" max="14599" width="21.140625" style="5" customWidth="1"/>
    <col min="14600" max="14600" width="7.28515625" style="5" customWidth="1"/>
    <col min="14601" max="14601" width="9.140625" style="5" bestFit="1" customWidth="1"/>
    <col min="14602" max="14602" width="12" style="5" customWidth="1"/>
    <col min="14603" max="14603" width="0" style="5" hidden="1" customWidth="1"/>
    <col min="14604" max="14605" width="15.7109375" style="5" customWidth="1"/>
    <col min="14606" max="14608" width="9.7109375" style="5" customWidth="1"/>
    <col min="14609" max="14611" width="7.7109375" style="5" customWidth="1"/>
    <col min="14612" max="14620" width="0" style="5" hidden="1" customWidth="1"/>
    <col min="14621" max="14621" width="9.7109375" style="5" customWidth="1"/>
    <col min="14622" max="14622" width="15.7109375" style="5" customWidth="1"/>
    <col min="14623" max="14623" width="4" style="5" customWidth="1"/>
    <col min="14624" max="14624" width="13" style="5" customWidth="1"/>
    <col min="14625" max="14848" width="11.42578125" style="5"/>
    <col min="14849" max="14849" width="19.85546875" style="5" customWidth="1"/>
    <col min="14850" max="14850" width="4" style="5" customWidth="1"/>
    <col min="14851" max="14851" width="5.5703125" style="5" customWidth="1"/>
    <col min="14852" max="14853" width="13.7109375" style="5" customWidth="1"/>
    <col min="14854" max="14854" width="25.7109375" style="5" customWidth="1"/>
    <col min="14855" max="14855" width="21.140625" style="5" customWidth="1"/>
    <col min="14856" max="14856" width="7.28515625" style="5" customWidth="1"/>
    <col min="14857" max="14857" width="9.140625" style="5" bestFit="1" customWidth="1"/>
    <col min="14858" max="14858" width="12" style="5" customWidth="1"/>
    <col min="14859" max="14859" width="0" style="5" hidden="1" customWidth="1"/>
    <col min="14860" max="14861" width="15.7109375" style="5" customWidth="1"/>
    <col min="14862" max="14864" width="9.7109375" style="5" customWidth="1"/>
    <col min="14865" max="14867" width="7.7109375" style="5" customWidth="1"/>
    <col min="14868" max="14876" width="0" style="5" hidden="1" customWidth="1"/>
    <col min="14877" max="14877" width="9.7109375" style="5" customWidth="1"/>
    <col min="14878" max="14878" width="15.7109375" style="5" customWidth="1"/>
    <col min="14879" max="14879" width="4" style="5" customWidth="1"/>
    <col min="14880" max="14880" width="13" style="5" customWidth="1"/>
    <col min="14881" max="15104" width="11.42578125" style="5"/>
    <col min="15105" max="15105" width="19.85546875" style="5" customWidth="1"/>
    <col min="15106" max="15106" width="4" style="5" customWidth="1"/>
    <col min="15107" max="15107" width="5.5703125" style="5" customWidth="1"/>
    <col min="15108" max="15109" width="13.7109375" style="5" customWidth="1"/>
    <col min="15110" max="15110" width="25.7109375" style="5" customWidth="1"/>
    <col min="15111" max="15111" width="21.140625" style="5" customWidth="1"/>
    <col min="15112" max="15112" width="7.28515625" style="5" customWidth="1"/>
    <col min="15113" max="15113" width="9.140625" style="5" bestFit="1" customWidth="1"/>
    <col min="15114" max="15114" width="12" style="5" customWidth="1"/>
    <col min="15115" max="15115" width="0" style="5" hidden="1" customWidth="1"/>
    <col min="15116" max="15117" width="15.7109375" style="5" customWidth="1"/>
    <col min="15118" max="15120" width="9.7109375" style="5" customWidth="1"/>
    <col min="15121" max="15123" width="7.7109375" style="5" customWidth="1"/>
    <col min="15124" max="15132" width="0" style="5" hidden="1" customWidth="1"/>
    <col min="15133" max="15133" width="9.7109375" style="5" customWidth="1"/>
    <col min="15134" max="15134" width="15.7109375" style="5" customWidth="1"/>
    <col min="15135" max="15135" width="4" style="5" customWidth="1"/>
    <col min="15136" max="15136" width="13" style="5" customWidth="1"/>
    <col min="15137" max="15360" width="11.42578125" style="5"/>
    <col min="15361" max="15361" width="19.85546875" style="5" customWidth="1"/>
    <col min="15362" max="15362" width="4" style="5" customWidth="1"/>
    <col min="15363" max="15363" width="5.5703125" style="5" customWidth="1"/>
    <col min="15364" max="15365" width="13.7109375" style="5" customWidth="1"/>
    <col min="15366" max="15366" width="25.7109375" style="5" customWidth="1"/>
    <col min="15367" max="15367" width="21.140625" style="5" customWidth="1"/>
    <col min="15368" max="15368" width="7.28515625" style="5" customWidth="1"/>
    <col min="15369" max="15369" width="9.140625" style="5" bestFit="1" customWidth="1"/>
    <col min="15370" max="15370" width="12" style="5" customWidth="1"/>
    <col min="15371" max="15371" width="0" style="5" hidden="1" customWidth="1"/>
    <col min="15372" max="15373" width="15.7109375" style="5" customWidth="1"/>
    <col min="15374" max="15376" width="9.7109375" style="5" customWidth="1"/>
    <col min="15377" max="15379" width="7.7109375" style="5" customWidth="1"/>
    <col min="15380" max="15388" width="0" style="5" hidden="1" customWidth="1"/>
    <col min="15389" max="15389" width="9.7109375" style="5" customWidth="1"/>
    <col min="15390" max="15390" width="15.7109375" style="5" customWidth="1"/>
    <col min="15391" max="15391" width="4" style="5" customWidth="1"/>
    <col min="15392" max="15392" width="13" style="5" customWidth="1"/>
    <col min="15393" max="15616" width="11.42578125" style="5"/>
    <col min="15617" max="15617" width="19.85546875" style="5" customWidth="1"/>
    <col min="15618" max="15618" width="4" style="5" customWidth="1"/>
    <col min="15619" max="15619" width="5.5703125" style="5" customWidth="1"/>
    <col min="15620" max="15621" width="13.7109375" style="5" customWidth="1"/>
    <col min="15622" max="15622" width="25.7109375" style="5" customWidth="1"/>
    <col min="15623" max="15623" width="21.140625" style="5" customWidth="1"/>
    <col min="15624" max="15624" width="7.28515625" style="5" customWidth="1"/>
    <col min="15625" max="15625" width="9.140625" style="5" bestFit="1" customWidth="1"/>
    <col min="15626" max="15626" width="12" style="5" customWidth="1"/>
    <col min="15627" max="15627" width="0" style="5" hidden="1" customWidth="1"/>
    <col min="15628" max="15629" width="15.7109375" style="5" customWidth="1"/>
    <col min="15630" max="15632" width="9.7109375" style="5" customWidth="1"/>
    <col min="15633" max="15635" width="7.7109375" style="5" customWidth="1"/>
    <col min="15636" max="15644" width="0" style="5" hidden="1" customWidth="1"/>
    <col min="15645" max="15645" width="9.7109375" style="5" customWidth="1"/>
    <col min="15646" max="15646" width="15.7109375" style="5" customWidth="1"/>
    <col min="15647" max="15647" width="4" style="5" customWidth="1"/>
    <col min="15648" max="15648" width="13" style="5" customWidth="1"/>
    <col min="15649" max="15872" width="11.42578125" style="5"/>
    <col min="15873" max="15873" width="19.85546875" style="5" customWidth="1"/>
    <col min="15874" max="15874" width="4" style="5" customWidth="1"/>
    <col min="15875" max="15875" width="5.5703125" style="5" customWidth="1"/>
    <col min="15876" max="15877" width="13.7109375" style="5" customWidth="1"/>
    <col min="15878" max="15878" width="25.7109375" style="5" customWidth="1"/>
    <col min="15879" max="15879" width="21.140625" style="5" customWidth="1"/>
    <col min="15880" max="15880" width="7.28515625" style="5" customWidth="1"/>
    <col min="15881" max="15881" width="9.140625" style="5" bestFit="1" customWidth="1"/>
    <col min="15882" max="15882" width="12" style="5" customWidth="1"/>
    <col min="15883" max="15883" width="0" style="5" hidden="1" customWidth="1"/>
    <col min="15884" max="15885" width="15.7109375" style="5" customWidth="1"/>
    <col min="15886" max="15888" width="9.7109375" style="5" customWidth="1"/>
    <col min="15889" max="15891" width="7.7109375" style="5" customWidth="1"/>
    <col min="15892" max="15900" width="0" style="5" hidden="1" customWidth="1"/>
    <col min="15901" max="15901" width="9.7109375" style="5" customWidth="1"/>
    <col min="15902" max="15902" width="15.7109375" style="5" customWidth="1"/>
    <col min="15903" max="15903" width="4" style="5" customWidth="1"/>
    <col min="15904" max="15904" width="13" style="5" customWidth="1"/>
    <col min="15905" max="16128" width="11.42578125" style="5"/>
    <col min="16129" max="16129" width="19.85546875" style="5" customWidth="1"/>
    <col min="16130" max="16130" width="4" style="5" customWidth="1"/>
    <col min="16131" max="16131" width="5.5703125" style="5" customWidth="1"/>
    <col min="16132" max="16133" width="13.7109375" style="5" customWidth="1"/>
    <col min="16134" max="16134" width="25.7109375" style="5" customWidth="1"/>
    <col min="16135" max="16135" width="21.140625" style="5" customWidth="1"/>
    <col min="16136" max="16136" width="7.28515625" style="5" customWidth="1"/>
    <col min="16137" max="16137" width="9.140625" style="5" bestFit="1" customWidth="1"/>
    <col min="16138" max="16138" width="12" style="5" customWidth="1"/>
    <col min="16139" max="16139" width="0" style="5" hidden="1" customWidth="1"/>
    <col min="16140" max="16141" width="15.7109375" style="5" customWidth="1"/>
    <col min="16142" max="16144" width="9.7109375" style="5" customWidth="1"/>
    <col min="16145" max="16147" width="7.7109375" style="5" customWidth="1"/>
    <col min="16148" max="16156" width="0" style="5" hidden="1" customWidth="1"/>
    <col min="16157" max="16157" width="9.7109375" style="5" customWidth="1"/>
    <col min="16158" max="16158" width="15.7109375" style="5" customWidth="1"/>
    <col min="16159" max="16159" width="4" style="5" customWidth="1"/>
    <col min="16160" max="16160" width="13" style="5" customWidth="1"/>
    <col min="16161" max="16384" width="11.42578125" style="5"/>
  </cols>
  <sheetData>
    <row r="1" spans="1:31" s="3" customFormat="1" ht="32.25" customHeight="1" x14ac:dyDescent="0.4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314"/>
    </row>
    <row r="2" spans="1:31" s="3" customFormat="1" ht="26.25" x14ac:dyDescent="0.4">
      <c r="B2" s="16" t="str">
        <f>'TOT-0216'!B2</f>
        <v>ANEXO III al Memorándum D.T.E.E. N°   243 / 2017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</row>
    <row r="3" spans="1:31" s="1" customFormat="1" ht="12" customHeight="1" x14ac:dyDescent="0.2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</row>
    <row r="4" spans="1:31" s="9" customFormat="1" ht="11.25" x14ac:dyDescent="0.2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</row>
    <row r="5" spans="1:31" s="9" customFormat="1" ht="11.25" x14ac:dyDescent="0.2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</row>
    <row r="6" spans="1:31" s="1" customFormat="1" ht="17.100000000000001" customHeight="1" thickBot="1" x14ac:dyDescent="0.25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</row>
    <row r="7" spans="1:31" s="1" customFormat="1" ht="17.100000000000001" customHeight="1" thickTop="1" x14ac:dyDescent="0.2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2"/>
    </row>
    <row r="8" spans="1:31" s="22" customFormat="1" ht="20.25" x14ac:dyDescent="0.3">
      <c r="B8" s="153"/>
      <c r="C8" s="154"/>
      <c r="D8" s="154"/>
      <c r="E8" s="154"/>
      <c r="F8" s="155" t="s">
        <v>5</v>
      </c>
      <c r="H8" s="154"/>
      <c r="I8" s="154"/>
      <c r="J8" s="156"/>
      <c r="K8" s="156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7"/>
    </row>
    <row r="9" spans="1:31" s="1" customFormat="1" ht="17.100000000000001" customHeight="1" x14ac:dyDescent="0.2">
      <c r="B9" s="158"/>
      <c r="C9" s="2"/>
      <c r="D9" s="2"/>
      <c r="E9" s="2"/>
      <c r="F9" s="2"/>
      <c r="G9" s="2"/>
      <c r="H9" s="2"/>
      <c r="I9" s="2"/>
      <c r="J9" s="14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59"/>
    </row>
    <row r="10" spans="1:31" s="22" customFormat="1" ht="20.25" x14ac:dyDescent="0.3">
      <c r="B10" s="153"/>
      <c r="C10" s="154"/>
      <c r="D10" s="154"/>
      <c r="E10" s="154"/>
      <c r="F10" s="155" t="s">
        <v>232</v>
      </c>
      <c r="G10" s="154"/>
      <c r="H10" s="154"/>
      <c r="I10" s="154"/>
      <c r="J10" s="156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7"/>
    </row>
    <row r="11" spans="1:31" s="1" customFormat="1" ht="17.100000000000001" customHeight="1" x14ac:dyDescent="0.2">
      <c r="B11" s="158"/>
      <c r="C11" s="2"/>
      <c r="D11" s="2"/>
      <c r="E11" s="2"/>
      <c r="F11" s="462"/>
      <c r="G11" s="2"/>
      <c r="H11" s="2"/>
      <c r="I11" s="2"/>
      <c r="J11" s="14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59"/>
    </row>
    <row r="12" spans="1:31" s="22" customFormat="1" ht="20.25" x14ac:dyDescent="0.3">
      <c r="B12" s="153"/>
      <c r="C12" s="154"/>
      <c r="D12" s="154"/>
      <c r="E12" s="154"/>
      <c r="F12" s="463" t="s">
        <v>243</v>
      </c>
      <c r="G12" s="155"/>
      <c r="H12" s="156"/>
      <c r="I12" s="156"/>
      <c r="J12" s="156"/>
      <c r="K12" s="162"/>
      <c r="L12" s="154"/>
      <c r="M12" s="156"/>
      <c r="N12" s="156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7"/>
    </row>
    <row r="13" spans="1:31" s="1" customFormat="1" ht="17.100000000000001" customHeight="1" x14ac:dyDescent="0.2">
      <c r="B13" s="158"/>
      <c r="C13" s="2"/>
      <c r="D13" s="2"/>
      <c r="E13" s="2"/>
      <c r="F13" s="163"/>
      <c r="G13" s="163"/>
      <c r="H13" s="163"/>
      <c r="I13" s="163"/>
      <c r="J13" s="164"/>
      <c r="K13" s="16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59"/>
    </row>
    <row r="14" spans="1:31" s="10" customFormat="1" ht="19.5" x14ac:dyDescent="0.35">
      <c r="B14" s="166" t="str">
        <f>'TOT-0216'!B14</f>
        <v>Desde el 01 al 29 de Febrero de 2016</v>
      </c>
      <c r="C14" s="28"/>
      <c r="D14" s="28"/>
      <c r="E14" s="28"/>
      <c r="F14" s="167"/>
      <c r="G14" s="167"/>
      <c r="H14" s="167"/>
      <c r="I14" s="167"/>
      <c r="J14" s="167"/>
      <c r="K14" s="167"/>
      <c r="L14" s="29"/>
      <c r="M14" s="29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8"/>
    </row>
    <row r="15" spans="1:31" s="1" customFormat="1" ht="17.100000000000001" customHeight="1" thickBot="1" x14ac:dyDescent="0.3">
      <c r="B15" s="158"/>
      <c r="C15" s="2"/>
      <c r="D15" s="2"/>
      <c r="E15" s="2"/>
      <c r="F15" s="2"/>
      <c r="G15" s="2"/>
      <c r="H15" s="2"/>
      <c r="I15" s="2"/>
      <c r="J15" s="169"/>
      <c r="K15" s="2"/>
      <c r="L15" s="17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59"/>
    </row>
    <row r="16" spans="1:31" s="1" customFormat="1" ht="17.100000000000001" customHeight="1" thickTop="1" thickBot="1" x14ac:dyDescent="0.25">
      <c r="B16" s="158"/>
      <c r="C16" s="2"/>
      <c r="D16" s="2"/>
      <c r="E16" s="2"/>
      <c r="F16" s="464" t="s">
        <v>34</v>
      </c>
      <c r="G16" s="465"/>
      <c r="H16" s="465"/>
      <c r="I16" s="465"/>
      <c r="J16" s="466">
        <f>60*'TOT-0216'!B13</f>
        <v>60</v>
      </c>
      <c r="K16" s="177"/>
      <c r="L16" s="177" t="str">
        <f>IF(J16=60," ",IF(J16=120,"    Coeficiente duplicado por tasa de falla &gt;4 Sal. x año/100 km.","    REVISAR COEFICIENTE"))</f>
        <v xml:space="preserve"> 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78"/>
      <c r="Y16" s="2"/>
      <c r="Z16" s="178"/>
      <c r="AA16" s="178"/>
      <c r="AB16" s="178"/>
      <c r="AC16" s="178"/>
      <c r="AD16" s="178"/>
      <c r="AE16" s="159"/>
    </row>
    <row r="17" spans="2:31" s="1" customFormat="1" ht="17.100000000000001" customHeight="1" thickTop="1" thickBot="1" x14ac:dyDescent="0.25">
      <c r="B17" s="158"/>
      <c r="C17" s="431">
        <v>3</v>
      </c>
      <c r="D17" s="431">
        <v>4</v>
      </c>
      <c r="E17" s="431">
        <v>5</v>
      </c>
      <c r="F17" s="431">
        <v>6</v>
      </c>
      <c r="G17" s="431">
        <v>7</v>
      </c>
      <c r="H17" s="431">
        <v>8</v>
      </c>
      <c r="I17" s="431">
        <v>9</v>
      </c>
      <c r="J17" s="431">
        <v>10</v>
      </c>
      <c r="K17" s="431">
        <v>11</v>
      </c>
      <c r="L17" s="431">
        <v>12</v>
      </c>
      <c r="M17" s="431">
        <v>13</v>
      </c>
      <c r="N17" s="431">
        <v>14</v>
      </c>
      <c r="O17" s="431">
        <v>15</v>
      </c>
      <c r="P17" s="431">
        <v>16</v>
      </c>
      <c r="Q17" s="431">
        <v>17</v>
      </c>
      <c r="R17" s="431">
        <v>18</v>
      </c>
      <c r="S17" s="431">
        <v>19</v>
      </c>
      <c r="T17" s="431">
        <v>20</v>
      </c>
      <c r="U17" s="431">
        <v>21</v>
      </c>
      <c r="V17" s="431">
        <v>22</v>
      </c>
      <c r="W17" s="431">
        <v>23</v>
      </c>
      <c r="X17" s="431">
        <v>24</v>
      </c>
      <c r="Y17" s="431">
        <v>25</v>
      </c>
      <c r="Z17" s="431">
        <v>26</v>
      </c>
      <c r="AA17" s="431">
        <v>27</v>
      </c>
      <c r="AB17" s="431">
        <v>28</v>
      </c>
      <c r="AC17" s="431">
        <v>29</v>
      </c>
      <c r="AD17" s="431">
        <v>30</v>
      </c>
      <c r="AE17" s="159"/>
    </row>
    <row r="18" spans="2:31" s="179" customFormat="1" ht="35.1" customHeight="1" thickTop="1" thickBot="1" x14ac:dyDescent="0.25">
      <c r="B18" s="180"/>
      <c r="C18" s="467" t="s">
        <v>13</v>
      </c>
      <c r="D18" s="467" t="s">
        <v>78</v>
      </c>
      <c r="E18" s="467" t="s">
        <v>79</v>
      </c>
      <c r="F18" s="181" t="s">
        <v>35</v>
      </c>
      <c r="G18" s="182" t="s">
        <v>36</v>
      </c>
      <c r="H18" s="183" t="s">
        <v>37</v>
      </c>
      <c r="I18" s="183" t="s">
        <v>233</v>
      </c>
      <c r="J18" s="184" t="s">
        <v>14</v>
      </c>
      <c r="K18" s="49" t="s">
        <v>16</v>
      </c>
      <c r="L18" s="182" t="s">
        <v>17</v>
      </c>
      <c r="M18" s="182" t="s">
        <v>18</v>
      </c>
      <c r="N18" s="181" t="s">
        <v>38</v>
      </c>
      <c r="O18" s="181" t="s">
        <v>39</v>
      </c>
      <c r="P18" s="48" t="s">
        <v>66</v>
      </c>
      <c r="Q18" s="182" t="s">
        <v>40</v>
      </c>
      <c r="R18" s="181" t="s">
        <v>21</v>
      </c>
      <c r="S18" s="182" t="s">
        <v>41</v>
      </c>
      <c r="T18" s="186" t="s">
        <v>42</v>
      </c>
      <c r="U18" s="187" t="s">
        <v>23</v>
      </c>
      <c r="V18" s="188" t="s">
        <v>24</v>
      </c>
      <c r="W18" s="189" t="s">
        <v>43</v>
      </c>
      <c r="X18" s="190"/>
      <c r="Y18" s="191" t="s">
        <v>44</v>
      </c>
      <c r="Z18" s="192"/>
      <c r="AA18" s="193" t="s">
        <v>27</v>
      </c>
      <c r="AB18" s="194" t="s">
        <v>28</v>
      </c>
      <c r="AC18" s="184" t="s">
        <v>45</v>
      </c>
      <c r="AD18" s="184" t="s">
        <v>30</v>
      </c>
      <c r="AE18" s="195"/>
    </row>
    <row r="19" spans="2:31" s="1" customFormat="1" ht="17.100000000000001" customHeight="1" thickTop="1" x14ac:dyDescent="0.25">
      <c r="B19" s="158"/>
      <c r="C19" s="196"/>
      <c r="D19" s="196"/>
      <c r="E19" s="196"/>
      <c r="F19" s="197"/>
      <c r="G19" s="198"/>
      <c r="H19" s="198"/>
      <c r="I19" s="468"/>
      <c r="J19" s="198"/>
      <c r="K19" s="199"/>
      <c r="L19" s="405"/>
      <c r="M19" s="406"/>
      <c r="N19" s="200"/>
      <c r="O19" s="200"/>
      <c r="P19" s="198"/>
      <c r="Q19" s="198"/>
      <c r="R19" s="198"/>
      <c r="S19" s="198"/>
      <c r="T19" s="74"/>
      <c r="U19" s="72"/>
      <c r="V19" s="469"/>
      <c r="W19" s="470"/>
      <c r="X19" s="471"/>
      <c r="Y19" s="204"/>
      <c r="Z19" s="205"/>
      <c r="AA19" s="206"/>
      <c r="AB19" s="472"/>
      <c r="AC19" s="198"/>
      <c r="AD19" s="208"/>
      <c r="AE19" s="159"/>
    </row>
    <row r="20" spans="2:31" s="1" customFormat="1" ht="17.100000000000001" customHeight="1" x14ac:dyDescent="0.25">
      <c r="B20" s="158"/>
      <c r="C20" s="209"/>
      <c r="D20" s="209"/>
      <c r="E20" s="209"/>
      <c r="F20" s="77"/>
      <c r="G20" s="79"/>
      <c r="H20" s="222"/>
      <c r="I20" s="473"/>
      <c r="J20" s="223"/>
      <c r="K20" s="224">
        <f>H20*I20</f>
        <v>0</v>
      </c>
      <c r="L20" s="438"/>
      <c r="M20" s="438"/>
      <c r="N20" s="225" t="str">
        <f t="shared" ref="N20:N42" si="0">IF(F20="","",(M20-L20)*24)</f>
        <v/>
      </c>
      <c r="O20" s="226" t="str">
        <f t="shared" ref="O20:O42" si="1">IF(F20="","",ROUND((M20-L20)*24*60,0))</f>
        <v/>
      </c>
      <c r="P20" s="227"/>
      <c r="Q20" s="227"/>
      <c r="R20" s="474"/>
      <c r="S20" s="227"/>
      <c r="T20" s="105">
        <f t="shared" ref="T20:T42" si="2">$J$16*IF(OR(P20="P",P20="RP"),0.1,1)*IF(S20="SI",1,0.1)</f>
        <v>6</v>
      </c>
      <c r="U20" s="228" t="str">
        <f t="shared" ref="U20:U42" si="3">IF(P20="P",K20*T20*ROUND(O20/60,2),"--")</f>
        <v>--</v>
      </c>
      <c r="V20" s="475" t="str">
        <f t="shared" ref="V20:V42" si="4">IF(P20="RP",K20*T20*ROUND(O20/60,2)*R20/100,"--")</f>
        <v>--</v>
      </c>
      <c r="W20" s="476" t="str">
        <f t="shared" ref="W20:W42" si="5">IF(AND(P20="F",Q20="NO"),K20*T20,"--")</f>
        <v>--</v>
      </c>
      <c r="X20" s="477" t="str">
        <f t="shared" ref="X20:X42" si="6">IF(P20="F",K20*T20*ROUND(O20/60,2),"--")</f>
        <v>--</v>
      </c>
      <c r="Y20" s="232" t="str">
        <f t="shared" ref="Y20:Y42" si="7">IF(AND(P20="R",Q20="NO"),K20*T20*R20/100,"--")</f>
        <v>--</v>
      </c>
      <c r="Z20" s="233" t="str">
        <f t="shared" ref="Z20:Z42" si="8">IF(P20="R",K20*T20*ROUND(O20/60,2)*R20/100,"--")</f>
        <v>--</v>
      </c>
      <c r="AA20" s="234" t="str">
        <f t="shared" ref="AA20:AA42" si="9">IF(P20="RF",K20*T20*ROUND(O20/60,2),"--")</f>
        <v>--</v>
      </c>
      <c r="AB20" s="478" t="str">
        <f t="shared" ref="AB20:AB42" si="10">IF(P20="RR",K20*T20*ROUND(O20/60,2)*R20/100,"--")</f>
        <v>--</v>
      </c>
      <c r="AC20" s="227"/>
      <c r="AD20" s="236" t="str">
        <f t="shared" ref="AD20:AD42" si="11">IF(F20="","",SUM(U20:AB20)*IF(AC20="SI",1,2))</f>
        <v/>
      </c>
      <c r="AE20" s="159"/>
    </row>
    <row r="21" spans="2:31" s="1" customFormat="1" ht="17.100000000000001" customHeight="1" x14ac:dyDescent="0.25">
      <c r="B21" s="158"/>
      <c r="C21" s="209">
        <v>98</v>
      </c>
      <c r="D21" s="209">
        <v>298649</v>
      </c>
      <c r="E21" s="209">
        <v>4450</v>
      </c>
      <c r="F21" s="77" t="s">
        <v>236</v>
      </c>
      <c r="G21" s="79" t="s">
        <v>237</v>
      </c>
      <c r="H21" s="222">
        <v>1.5</v>
      </c>
      <c r="I21" s="473">
        <v>4.8739999999999997</v>
      </c>
      <c r="J21" s="223">
        <v>13.199999809265137</v>
      </c>
      <c r="K21" s="224">
        <f>H21*I21</f>
        <v>7.3109999999999999</v>
      </c>
      <c r="L21" s="438">
        <v>42407.710416666669</v>
      </c>
      <c r="M21" s="438">
        <v>42410.554166666669</v>
      </c>
      <c r="N21" s="225">
        <f t="shared" si="0"/>
        <v>68.25</v>
      </c>
      <c r="O21" s="226">
        <f t="shared" si="1"/>
        <v>4095</v>
      </c>
      <c r="P21" s="227" t="s">
        <v>138</v>
      </c>
      <c r="Q21" s="479" t="str">
        <f>IF(F21="","",IF(OR(P21="P",P21="RP"),"--","NO"))</f>
        <v>NO</v>
      </c>
      <c r="R21" s="480" t="str">
        <f>IF(F21="","","--")</f>
        <v>--</v>
      </c>
      <c r="S21" s="481" t="str">
        <f>IF(F21="","","NO")</f>
        <v>NO</v>
      </c>
      <c r="T21" s="105">
        <f t="shared" si="2"/>
        <v>6</v>
      </c>
      <c r="U21" s="228" t="str">
        <f t="shared" si="3"/>
        <v>--</v>
      </c>
      <c r="V21" s="475" t="str">
        <f t="shared" si="4"/>
        <v>--</v>
      </c>
      <c r="W21" s="476">
        <f t="shared" si="5"/>
        <v>43.866</v>
      </c>
      <c r="X21" s="477">
        <f t="shared" si="6"/>
        <v>2993.8544999999999</v>
      </c>
      <c r="Y21" s="232" t="str">
        <f t="shared" si="7"/>
        <v>--</v>
      </c>
      <c r="Z21" s="233" t="str">
        <f t="shared" si="8"/>
        <v>--</v>
      </c>
      <c r="AA21" s="234" t="str">
        <f t="shared" si="9"/>
        <v>--</v>
      </c>
      <c r="AB21" s="478" t="str">
        <f t="shared" si="10"/>
        <v>--</v>
      </c>
      <c r="AC21" s="479" t="s">
        <v>139</v>
      </c>
      <c r="AD21" s="236">
        <f t="shared" si="11"/>
        <v>3037.7204999999999</v>
      </c>
      <c r="AE21" s="159"/>
    </row>
    <row r="22" spans="2:31" s="1" customFormat="1" ht="17.100000000000001" customHeight="1" x14ac:dyDescent="0.25">
      <c r="B22" s="158"/>
      <c r="C22" s="209">
        <v>99</v>
      </c>
      <c r="D22" s="209">
        <v>298854</v>
      </c>
      <c r="E22" s="209">
        <v>4460</v>
      </c>
      <c r="F22" s="77" t="s">
        <v>234</v>
      </c>
      <c r="G22" s="79" t="s">
        <v>235</v>
      </c>
      <c r="H22" s="222">
        <v>1.5</v>
      </c>
      <c r="I22" s="473">
        <v>4.8739999999999997</v>
      </c>
      <c r="J22" s="223">
        <v>13.199999809265137</v>
      </c>
      <c r="K22" s="224">
        <f t="shared" ref="K22:K28" si="12">H22*I22</f>
        <v>7.3109999999999999</v>
      </c>
      <c r="L22" s="438">
        <v>42412.464583333334</v>
      </c>
      <c r="M22" s="438">
        <v>42412.602083333331</v>
      </c>
      <c r="N22" s="225">
        <f t="shared" ref="N22" si="13">IF(F22="","",(M22-L22)*24)</f>
        <v>3.2999999999301508</v>
      </c>
      <c r="O22" s="226">
        <f t="shared" ref="O22" si="14">IF(F22="","",ROUND((M22-L22)*24*60,0))</f>
        <v>198</v>
      </c>
      <c r="P22" s="227" t="s">
        <v>138</v>
      </c>
      <c r="Q22" s="479" t="str">
        <f>IF(F22="","",IF(OR(P22="P",P22="RP"),"--","NO"))</f>
        <v>NO</v>
      </c>
      <c r="R22" s="480" t="str">
        <f>IF(F22="","","--")</f>
        <v>--</v>
      </c>
      <c r="S22" s="481" t="str">
        <f>IF(F22="","","NO")</f>
        <v>NO</v>
      </c>
      <c r="T22" s="105">
        <f t="shared" ref="T22" si="15">$J$16*IF(OR(P22="P",P22="RP"),0.1,1)*IF(S22="SI",1,0.1)</f>
        <v>6</v>
      </c>
      <c r="U22" s="228" t="str">
        <f t="shared" ref="U22" si="16">IF(P22="P",K22*T22*ROUND(O22/60,2),"--")</f>
        <v>--</v>
      </c>
      <c r="V22" s="475" t="str">
        <f t="shared" ref="V22" si="17">IF(P22="RP",K22*T22*ROUND(O22/60,2)*R22/100,"--")</f>
        <v>--</v>
      </c>
      <c r="W22" s="476">
        <f t="shared" ref="W22" si="18">IF(AND(P22="F",Q22="NO"),K22*T22,"--")</f>
        <v>43.866</v>
      </c>
      <c r="X22" s="477">
        <f t="shared" ref="X22" si="19">IF(P22="F",K22*T22*ROUND(O22/60,2),"--")</f>
        <v>144.7578</v>
      </c>
      <c r="Y22" s="232" t="str">
        <f t="shared" ref="Y22" si="20">IF(AND(P22="R",Q22="NO"),K22*T22*R22/100,"--")</f>
        <v>--</v>
      </c>
      <c r="Z22" s="233" t="str">
        <f t="shared" ref="Z22" si="21">IF(P22="R",K22*T22*ROUND(O22/60,2)*R22/100,"--")</f>
        <v>--</v>
      </c>
      <c r="AA22" s="234" t="str">
        <f t="shared" ref="AA22" si="22">IF(P22="RF",K22*T22*ROUND(O22/60,2),"--")</f>
        <v>--</v>
      </c>
      <c r="AB22" s="478" t="str">
        <f t="shared" ref="AB22" si="23">IF(P22="RR",K22*T22*ROUND(O22/60,2)*R22/100,"--")</f>
        <v>--</v>
      </c>
      <c r="AC22" s="479" t="s">
        <v>139</v>
      </c>
      <c r="AD22" s="236">
        <f t="shared" ref="AD22" si="24">IF(F22="","",SUM(U22:AB22)*IF(AC22="SI",1,2))</f>
        <v>188.62380000000002</v>
      </c>
      <c r="AE22" s="159"/>
    </row>
    <row r="23" spans="2:31" s="1" customFormat="1" ht="17.100000000000001" customHeight="1" x14ac:dyDescent="0.25">
      <c r="B23" s="158"/>
      <c r="C23" s="209">
        <v>100</v>
      </c>
      <c r="D23" s="209">
        <v>298920</v>
      </c>
      <c r="E23" s="209">
        <v>4460</v>
      </c>
      <c r="F23" s="77" t="s">
        <v>236</v>
      </c>
      <c r="G23" s="79" t="s">
        <v>237</v>
      </c>
      <c r="H23" s="222">
        <v>1.5</v>
      </c>
      <c r="I23" s="473">
        <v>4.8739999999999997</v>
      </c>
      <c r="J23" s="223">
        <v>13.199999809265137</v>
      </c>
      <c r="K23" s="224">
        <f t="shared" si="12"/>
        <v>7.3109999999999999</v>
      </c>
      <c r="L23" s="438">
        <v>42348.675000000003</v>
      </c>
      <c r="M23" s="438">
        <v>42348.824999999997</v>
      </c>
      <c r="N23" s="225">
        <f t="shared" si="0"/>
        <v>3.5999999998603016</v>
      </c>
      <c r="O23" s="226">
        <f t="shared" si="1"/>
        <v>216</v>
      </c>
      <c r="P23" s="227" t="s">
        <v>138</v>
      </c>
      <c r="Q23" s="479" t="str">
        <f t="shared" ref="Q23:Q42" si="25">IF(F23="","",IF(OR(P23="P",P23="RP"),"--","NO"))</f>
        <v>NO</v>
      </c>
      <c r="R23" s="480" t="str">
        <f t="shared" ref="R23:R42" si="26">IF(F23="","","--")</f>
        <v>--</v>
      </c>
      <c r="S23" s="481" t="str">
        <f t="shared" ref="S23:S42" si="27">IF(F23="","","NO")</f>
        <v>NO</v>
      </c>
      <c r="T23" s="105">
        <f t="shared" si="2"/>
        <v>6</v>
      </c>
      <c r="U23" s="228" t="str">
        <f t="shared" si="3"/>
        <v>--</v>
      </c>
      <c r="V23" s="475" t="str">
        <f t="shared" si="4"/>
        <v>--</v>
      </c>
      <c r="W23" s="476">
        <f t="shared" si="5"/>
        <v>43.866</v>
      </c>
      <c r="X23" s="477">
        <f t="shared" si="6"/>
        <v>157.91759999999999</v>
      </c>
      <c r="Y23" s="232" t="str">
        <f t="shared" si="7"/>
        <v>--</v>
      </c>
      <c r="Z23" s="233" t="str">
        <f t="shared" si="8"/>
        <v>--</v>
      </c>
      <c r="AA23" s="234" t="str">
        <f t="shared" si="9"/>
        <v>--</v>
      </c>
      <c r="AB23" s="478" t="str">
        <f t="shared" si="10"/>
        <v>--</v>
      </c>
      <c r="AC23" s="479" t="s">
        <v>139</v>
      </c>
      <c r="AD23" s="236">
        <f t="shared" si="11"/>
        <v>201.78359999999998</v>
      </c>
      <c r="AE23" s="159"/>
    </row>
    <row r="24" spans="2:31" s="1" customFormat="1" ht="17.100000000000001" customHeight="1" x14ac:dyDescent="0.25">
      <c r="B24" s="158"/>
      <c r="C24" s="209">
        <v>101</v>
      </c>
      <c r="D24" s="209">
        <v>299710</v>
      </c>
      <c r="E24" s="209">
        <v>4458</v>
      </c>
      <c r="F24" s="77" t="s">
        <v>238</v>
      </c>
      <c r="G24" s="79" t="s">
        <v>239</v>
      </c>
      <c r="H24" s="222">
        <v>1.5</v>
      </c>
      <c r="I24" s="473">
        <v>4.1980000000000004</v>
      </c>
      <c r="J24" s="223">
        <v>13.199999809265137</v>
      </c>
      <c r="K24" s="224">
        <f t="shared" si="12"/>
        <v>6.2970000000000006</v>
      </c>
      <c r="L24" s="438">
        <v>42412.613888888889</v>
      </c>
      <c r="M24" s="438">
        <v>42412.684027777781</v>
      </c>
      <c r="N24" s="225">
        <f t="shared" si="0"/>
        <v>1.683333333407063</v>
      </c>
      <c r="O24" s="226">
        <f t="shared" si="1"/>
        <v>101</v>
      </c>
      <c r="P24" s="227" t="s">
        <v>142</v>
      </c>
      <c r="Q24" s="479" t="str">
        <f t="shared" si="25"/>
        <v>--</v>
      </c>
      <c r="R24" s="480" t="str">
        <f t="shared" si="26"/>
        <v>--</v>
      </c>
      <c r="S24" s="481" t="str">
        <f t="shared" si="27"/>
        <v>NO</v>
      </c>
      <c r="T24" s="105">
        <f t="shared" si="2"/>
        <v>0.60000000000000009</v>
      </c>
      <c r="U24" s="228">
        <f t="shared" si="3"/>
        <v>6.3473760000000015</v>
      </c>
      <c r="V24" s="475" t="str">
        <f t="shared" si="4"/>
        <v>--</v>
      </c>
      <c r="W24" s="476" t="str">
        <f t="shared" si="5"/>
        <v>--</v>
      </c>
      <c r="X24" s="477" t="str">
        <f t="shared" si="6"/>
        <v>--</v>
      </c>
      <c r="Y24" s="232" t="str">
        <f t="shared" si="7"/>
        <v>--</v>
      </c>
      <c r="Z24" s="233" t="str">
        <f t="shared" si="8"/>
        <v>--</v>
      </c>
      <c r="AA24" s="234" t="str">
        <f t="shared" si="9"/>
        <v>--</v>
      </c>
      <c r="AB24" s="478" t="str">
        <f t="shared" si="10"/>
        <v>--</v>
      </c>
      <c r="AC24" s="479" t="s">
        <v>139</v>
      </c>
      <c r="AD24" s="236">
        <f t="shared" si="11"/>
        <v>6.3473760000000015</v>
      </c>
      <c r="AE24" s="159"/>
    </row>
    <row r="25" spans="2:31" s="1" customFormat="1" ht="17.100000000000001" customHeight="1" x14ac:dyDescent="0.25">
      <c r="B25" s="158"/>
      <c r="C25" s="209">
        <v>102</v>
      </c>
      <c r="D25" s="209">
        <v>299711</v>
      </c>
      <c r="E25" s="209">
        <v>4459</v>
      </c>
      <c r="F25" s="77" t="s">
        <v>238</v>
      </c>
      <c r="G25" s="79" t="s">
        <v>240</v>
      </c>
      <c r="H25" s="222">
        <v>3</v>
      </c>
      <c r="I25" s="473">
        <v>4.1980000000000004</v>
      </c>
      <c r="J25" s="223">
        <v>13.199999809265137</v>
      </c>
      <c r="K25" s="224">
        <f t="shared" si="12"/>
        <v>12.594000000000001</v>
      </c>
      <c r="L25" s="438">
        <v>42424.260416666664</v>
      </c>
      <c r="M25" s="438">
        <v>42424.460416666669</v>
      </c>
      <c r="N25" s="225">
        <f t="shared" si="0"/>
        <v>4.8000000001047738</v>
      </c>
      <c r="O25" s="226">
        <f t="shared" si="1"/>
        <v>288</v>
      </c>
      <c r="P25" s="227" t="s">
        <v>142</v>
      </c>
      <c r="Q25" s="479" t="str">
        <f t="shared" si="25"/>
        <v>--</v>
      </c>
      <c r="R25" s="480" t="str">
        <f t="shared" si="26"/>
        <v>--</v>
      </c>
      <c r="S25" s="481" t="str">
        <f t="shared" si="27"/>
        <v>NO</v>
      </c>
      <c r="T25" s="105">
        <f t="shared" si="2"/>
        <v>0.60000000000000009</v>
      </c>
      <c r="U25" s="228">
        <f t="shared" si="3"/>
        <v>36.270720000000004</v>
      </c>
      <c r="V25" s="475" t="str">
        <f t="shared" si="4"/>
        <v>--</v>
      </c>
      <c r="W25" s="476" t="str">
        <f t="shared" si="5"/>
        <v>--</v>
      </c>
      <c r="X25" s="477" t="str">
        <f t="shared" si="6"/>
        <v>--</v>
      </c>
      <c r="Y25" s="232" t="str">
        <f t="shared" si="7"/>
        <v>--</v>
      </c>
      <c r="Z25" s="233" t="str">
        <f t="shared" si="8"/>
        <v>--</v>
      </c>
      <c r="AA25" s="234" t="str">
        <f t="shared" si="9"/>
        <v>--</v>
      </c>
      <c r="AB25" s="478" t="str">
        <f t="shared" si="10"/>
        <v>--</v>
      </c>
      <c r="AC25" s="479" t="s">
        <v>139</v>
      </c>
      <c r="AD25" s="236">
        <f t="shared" si="11"/>
        <v>36.270720000000004</v>
      </c>
      <c r="AE25" s="159"/>
    </row>
    <row r="26" spans="2:31" s="1" customFormat="1" ht="17.100000000000001" customHeight="1" x14ac:dyDescent="0.25">
      <c r="B26" s="158"/>
      <c r="C26" s="209"/>
      <c r="D26" s="209"/>
      <c r="E26" s="209"/>
      <c r="F26" s="77"/>
      <c r="G26" s="79"/>
      <c r="H26" s="222"/>
      <c r="I26" s="473"/>
      <c r="J26" s="223"/>
      <c r="K26" s="224">
        <f t="shared" si="12"/>
        <v>0</v>
      </c>
      <c r="L26" s="438"/>
      <c r="M26" s="438"/>
      <c r="N26" s="225" t="str">
        <f t="shared" si="0"/>
        <v/>
      </c>
      <c r="O26" s="226" t="str">
        <f t="shared" si="1"/>
        <v/>
      </c>
      <c r="P26" s="227"/>
      <c r="Q26" s="479" t="str">
        <f t="shared" si="25"/>
        <v/>
      </c>
      <c r="R26" s="480" t="str">
        <f t="shared" si="26"/>
        <v/>
      </c>
      <c r="S26" s="481" t="str">
        <f t="shared" si="27"/>
        <v/>
      </c>
      <c r="T26" s="105">
        <f t="shared" si="2"/>
        <v>6</v>
      </c>
      <c r="U26" s="228" t="str">
        <f t="shared" si="3"/>
        <v>--</v>
      </c>
      <c r="V26" s="475" t="str">
        <f t="shared" si="4"/>
        <v>--</v>
      </c>
      <c r="W26" s="476" t="str">
        <f t="shared" si="5"/>
        <v>--</v>
      </c>
      <c r="X26" s="477" t="str">
        <f t="shared" si="6"/>
        <v>--</v>
      </c>
      <c r="Y26" s="232" t="str">
        <f t="shared" si="7"/>
        <v>--</v>
      </c>
      <c r="Z26" s="233" t="str">
        <f t="shared" si="8"/>
        <v>--</v>
      </c>
      <c r="AA26" s="234" t="str">
        <f t="shared" si="9"/>
        <v>--</v>
      </c>
      <c r="AB26" s="478" t="str">
        <f t="shared" si="10"/>
        <v>--</v>
      </c>
      <c r="AC26" s="479" t="str">
        <f t="shared" ref="AC26:AC42" si="28">IF(F26="","","SI")</f>
        <v/>
      </c>
      <c r="AD26" s="236" t="str">
        <f t="shared" si="11"/>
        <v/>
      </c>
      <c r="AE26" s="159"/>
    </row>
    <row r="27" spans="2:31" s="1" customFormat="1" ht="17.100000000000001" customHeight="1" x14ac:dyDescent="0.25">
      <c r="B27" s="158"/>
      <c r="C27" s="209"/>
      <c r="D27" s="209"/>
      <c r="E27" s="209"/>
      <c r="F27" s="77"/>
      <c r="G27" s="79"/>
      <c r="H27" s="222"/>
      <c r="I27" s="473"/>
      <c r="J27" s="223"/>
      <c r="K27" s="224">
        <f t="shared" si="12"/>
        <v>0</v>
      </c>
      <c r="L27" s="438"/>
      <c r="M27" s="438"/>
      <c r="N27" s="225" t="str">
        <f t="shared" si="0"/>
        <v/>
      </c>
      <c r="O27" s="226" t="str">
        <f t="shared" si="1"/>
        <v/>
      </c>
      <c r="P27" s="227"/>
      <c r="Q27" s="479" t="str">
        <f t="shared" si="25"/>
        <v/>
      </c>
      <c r="R27" s="480" t="str">
        <f t="shared" si="26"/>
        <v/>
      </c>
      <c r="S27" s="481" t="str">
        <f t="shared" si="27"/>
        <v/>
      </c>
      <c r="T27" s="105">
        <f t="shared" si="2"/>
        <v>6</v>
      </c>
      <c r="U27" s="228" t="str">
        <f t="shared" si="3"/>
        <v>--</v>
      </c>
      <c r="V27" s="475" t="str">
        <f t="shared" si="4"/>
        <v>--</v>
      </c>
      <c r="W27" s="476" t="str">
        <f t="shared" si="5"/>
        <v>--</v>
      </c>
      <c r="X27" s="477" t="str">
        <f t="shared" si="6"/>
        <v>--</v>
      </c>
      <c r="Y27" s="232" t="str">
        <f t="shared" si="7"/>
        <v>--</v>
      </c>
      <c r="Z27" s="233" t="str">
        <f t="shared" si="8"/>
        <v>--</v>
      </c>
      <c r="AA27" s="234" t="str">
        <f t="shared" si="9"/>
        <v>--</v>
      </c>
      <c r="AB27" s="478" t="str">
        <f t="shared" si="10"/>
        <v>--</v>
      </c>
      <c r="AC27" s="479" t="str">
        <f t="shared" si="28"/>
        <v/>
      </c>
      <c r="AD27" s="236" t="str">
        <f t="shared" si="11"/>
        <v/>
      </c>
      <c r="AE27" s="159"/>
    </row>
    <row r="28" spans="2:31" s="1" customFormat="1" ht="17.100000000000001" customHeight="1" x14ac:dyDescent="0.25">
      <c r="B28" s="158"/>
      <c r="C28" s="209"/>
      <c r="D28" s="209"/>
      <c r="E28" s="209"/>
      <c r="F28" s="77"/>
      <c r="G28" s="79"/>
      <c r="H28" s="222"/>
      <c r="I28" s="473"/>
      <c r="J28" s="223"/>
      <c r="K28" s="224">
        <f t="shared" si="12"/>
        <v>0</v>
      </c>
      <c r="L28" s="438"/>
      <c r="M28" s="438"/>
      <c r="N28" s="225" t="str">
        <f t="shared" si="0"/>
        <v/>
      </c>
      <c r="O28" s="226" t="str">
        <f t="shared" si="1"/>
        <v/>
      </c>
      <c r="P28" s="227"/>
      <c r="Q28" s="479" t="str">
        <f t="shared" si="25"/>
        <v/>
      </c>
      <c r="R28" s="480" t="str">
        <f t="shared" si="26"/>
        <v/>
      </c>
      <c r="S28" s="481" t="str">
        <f t="shared" si="27"/>
        <v/>
      </c>
      <c r="T28" s="105">
        <f t="shared" si="2"/>
        <v>6</v>
      </c>
      <c r="U28" s="228" t="str">
        <f t="shared" si="3"/>
        <v>--</v>
      </c>
      <c r="V28" s="475" t="str">
        <f t="shared" si="4"/>
        <v>--</v>
      </c>
      <c r="W28" s="476" t="str">
        <f t="shared" si="5"/>
        <v>--</v>
      </c>
      <c r="X28" s="477" t="str">
        <f t="shared" si="6"/>
        <v>--</v>
      </c>
      <c r="Y28" s="232" t="str">
        <f t="shared" si="7"/>
        <v>--</v>
      </c>
      <c r="Z28" s="233" t="str">
        <f t="shared" si="8"/>
        <v>--</v>
      </c>
      <c r="AA28" s="234" t="str">
        <f t="shared" si="9"/>
        <v>--</v>
      </c>
      <c r="AB28" s="478" t="str">
        <f t="shared" si="10"/>
        <v>--</v>
      </c>
      <c r="AC28" s="479" t="str">
        <f t="shared" si="28"/>
        <v/>
      </c>
      <c r="AD28" s="236" t="str">
        <f t="shared" si="11"/>
        <v/>
      </c>
      <c r="AE28" s="159"/>
    </row>
    <row r="29" spans="2:31" s="1" customFormat="1" ht="17.100000000000001" customHeight="1" x14ac:dyDescent="0.25">
      <c r="B29" s="158"/>
      <c r="C29" s="209"/>
      <c r="D29" s="209"/>
      <c r="E29" s="209"/>
      <c r="F29" s="77"/>
      <c r="G29" s="79"/>
      <c r="H29" s="222"/>
      <c r="I29" s="473"/>
      <c r="J29" s="223"/>
      <c r="K29" s="224">
        <f>H29*I29</f>
        <v>0</v>
      </c>
      <c r="L29" s="438"/>
      <c r="M29" s="438"/>
      <c r="N29" s="225" t="str">
        <f t="shared" si="0"/>
        <v/>
      </c>
      <c r="O29" s="226" t="str">
        <f t="shared" si="1"/>
        <v/>
      </c>
      <c r="P29" s="227"/>
      <c r="Q29" s="479" t="str">
        <f t="shared" si="25"/>
        <v/>
      </c>
      <c r="R29" s="480" t="str">
        <f t="shared" si="26"/>
        <v/>
      </c>
      <c r="S29" s="481" t="str">
        <f t="shared" si="27"/>
        <v/>
      </c>
      <c r="T29" s="105">
        <f t="shared" si="2"/>
        <v>6</v>
      </c>
      <c r="U29" s="228" t="str">
        <f t="shared" si="3"/>
        <v>--</v>
      </c>
      <c r="V29" s="475" t="str">
        <f t="shared" si="4"/>
        <v>--</v>
      </c>
      <c r="W29" s="476" t="str">
        <f t="shared" si="5"/>
        <v>--</v>
      </c>
      <c r="X29" s="477" t="str">
        <f t="shared" si="6"/>
        <v>--</v>
      </c>
      <c r="Y29" s="232" t="str">
        <f t="shared" si="7"/>
        <v>--</v>
      </c>
      <c r="Z29" s="233" t="str">
        <f t="shared" si="8"/>
        <v>--</v>
      </c>
      <c r="AA29" s="234" t="str">
        <f t="shared" si="9"/>
        <v>--</v>
      </c>
      <c r="AB29" s="478" t="str">
        <f t="shared" si="10"/>
        <v>--</v>
      </c>
      <c r="AC29" s="479" t="str">
        <f t="shared" si="28"/>
        <v/>
      </c>
      <c r="AD29" s="236" t="str">
        <f t="shared" si="11"/>
        <v/>
      </c>
      <c r="AE29" s="159"/>
    </row>
    <row r="30" spans="2:31" s="1" customFormat="1" ht="17.100000000000001" customHeight="1" x14ac:dyDescent="0.25">
      <c r="B30" s="158"/>
      <c r="C30" s="209"/>
      <c r="D30" s="209"/>
      <c r="E30" s="209"/>
      <c r="F30" s="77"/>
      <c r="G30" s="79"/>
      <c r="H30" s="222"/>
      <c r="I30" s="473"/>
      <c r="J30" s="223"/>
      <c r="K30" s="224">
        <f t="shared" ref="K30:K42" si="29">H30*I30</f>
        <v>0</v>
      </c>
      <c r="L30" s="438"/>
      <c r="M30" s="438"/>
      <c r="N30" s="225" t="str">
        <f t="shared" si="0"/>
        <v/>
      </c>
      <c r="O30" s="226" t="str">
        <f t="shared" si="1"/>
        <v/>
      </c>
      <c r="P30" s="227"/>
      <c r="Q30" s="479" t="str">
        <f t="shared" si="25"/>
        <v/>
      </c>
      <c r="R30" s="480" t="str">
        <f t="shared" si="26"/>
        <v/>
      </c>
      <c r="S30" s="481" t="str">
        <f t="shared" si="27"/>
        <v/>
      </c>
      <c r="T30" s="105">
        <f t="shared" si="2"/>
        <v>6</v>
      </c>
      <c r="U30" s="228" t="str">
        <f t="shared" si="3"/>
        <v>--</v>
      </c>
      <c r="V30" s="475" t="str">
        <f t="shared" si="4"/>
        <v>--</v>
      </c>
      <c r="W30" s="476" t="str">
        <f t="shared" si="5"/>
        <v>--</v>
      </c>
      <c r="X30" s="477" t="str">
        <f t="shared" si="6"/>
        <v>--</v>
      </c>
      <c r="Y30" s="232" t="str">
        <f t="shared" si="7"/>
        <v>--</v>
      </c>
      <c r="Z30" s="233" t="str">
        <f t="shared" si="8"/>
        <v>--</v>
      </c>
      <c r="AA30" s="234" t="str">
        <f t="shared" si="9"/>
        <v>--</v>
      </c>
      <c r="AB30" s="478" t="str">
        <f t="shared" si="10"/>
        <v>--</v>
      </c>
      <c r="AC30" s="479" t="str">
        <f t="shared" si="28"/>
        <v/>
      </c>
      <c r="AD30" s="236" t="str">
        <f t="shared" si="11"/>
        <v/>
      </c>
      <c r="AE30" s="159"/>
    </row>
    <row r="31" spans="2:31" s="1" customFormat="1" ht="17.100000000000001" customHeight="1" x14ac:dyDescent="0.25">
      <c r="B31" s="158"/>
      <c r="C31" s="482"/>
      <c r="D31" s="482"/>
      <c r="E31" s="482"/>
      <c r="F31" s="77"/>
      <c r="G31" s="79"/>
      <c r="H31" s="222"/>
      <c r="I31" s="473"/>
      <c r="J31" s="223"/>
      <c r="K31" s="224">
        <f t="shared" si="29"/>
        <v>0</v>
      </c>
      <c r="L31" s="438"/>
      <c r="M31" s="438"/>
      <c r="N31" s="225" t="str">
        <f t="shared" si="0"/>
        <v/>
      </c>
      <c r="O31" s="226" t="str">
        <f t="shared" si="1"/>
        <v/>
      </c>
      <c r="P31" s="227"/>
      <c r="Q31" s="479" t="str">
        <f t="shared" si="25"/>
        <v/>
      </c>
      <c r="R31" s="480" t="str">
        <f t="shared" si="26"/>
        <v/>
      </c>
      <c r="S31" s="481" t="str">
        <f t="shared" si="27"/>
        <v/>
      </c>
      <c r="T31" s="105">
        <f t="shared" si="2"/>
        <v>6</v>
      </c>
      <c r="U31" s="228" t="str">
        <f t="shared" si="3"/>
        <v>--</v>
      </c>
      <c r="V31" s="475" t="str">
        <f t="shared" si="4"/>
        <v>--</v>
      </c>
      <c r="W31" s="476" t="str">
        <f t="shared" si="5"/>
        <v>--</v>
      </c>
      <c r="X31" s="477" t="str">
        <f t="shared" si="6"/>
        <v>--</v>
      </c>
      <c r="Y31" s="232" t="str">
        <f t="shared" si="7"/>
        <v>--</v>
      </c>
      <c r="Z31" s="233" t="str">
        <f t="shared" si="8"/>
        <v>--</v>
      </c>
      <c r="AA31" s="234" t="str">
        <f t="shared" si="9"/>
        <v>--</v>
      </c>
      <c r="AB31" s="478" t="str">
        <f t="shared" si="10"/>
        <v>--</v>
      </c>
      <c r="AC31" s="479" t="str">
        <f t="shared" si="28"/>
        <v/>
      </c>
      <c r="AD31" s="236" t="str">
        <f t="shared" si="11"/>
        <v/>
      </c>
      <c r="AE31" s="159"/>
    </row>
    <row r="32" spans="2:31" s="1" customFormat="1" ht="17.100000000000001" customHeight="1" x14ac:dyDescent="0.25">
      <c r="B32" s="158"/>
      <c r="C32" s="482"/>
      <c r="D32" s="482"/>
      <c r="E32" s="482"/>
      <c r="F32" s="77"/>
      <c r="G32" s="79"/>
      <c r="H32" s="222"/>
      <c r="I32" s="473"/>
      <c r="J32" s="223"/>
      <c r="K32" s="224">
        <f t="shared" si="29"/>
        <v>0</v>
      </c>
      <c r="L32" s="438"/>
      <c r="M32" s="438"/>
      <c r="N32" s="225" t="str">
        <f t="shared" si="0"/>
        <v/>
      </c>
      <c r="O32" s="226" t="str">
        <f t="shared" si="1"/>
        <v/>
      </c>
      <c r="P32" s="227"/>
      <c r="Q32" s="479" t="str">
        <f t="shared" si="25"/>
        <v/>
      </c>
      <c r="R32" s="480" t="str">
        <f t="shared" si="26"/>
        <v/>
      </c>
      <c r="S32" s="481" t="str">
        <f t="shared" si="27"/>
        <v/>
      </c>
      <c r="T32" s="105">
        <f t="shared" si="2"/>
        <v>6</v>
      </c>
      <c r="U32" s="228" t="str">
        <f t="shared" si="3"/>
        <v>--</v>
      </c>
      <c r="V32" s="475" t="str">
        <f t="shared" si="4"/>
        <v>--</v>
      </c>
      <c r="W32" s="476" t="str">
        <f t="shared" si="5"/>
        <v>--</v>
      </c>
      <c r="X32" s="477" t="str">
        <f t="shared" si="6"/>
        <v>--</v>
      </c>
      <c r="Y32" s="232" t="str">
        <f t="shared" si="7"/>
        <v>--</v>
      </c>
      <c r="Z32" s="233" t="str">
        <f t="shared" si="8"/>
        <v>--</v>
      </c>
      <c r="AA32" s="234" t="str">
        <f t="shared" si="9"/>
        <v>--</v>
      </c>
      <c r="AB32" s="478" t="str">
        <f t="shared" si="10"/>
        <v>--</v>
      </c>
      <c r="AC32" s="479" t="str">
        <f t="shared" si="28"/>
        <v/>
      </c>
      <c r="AD32" s="236" t="str">
        <f t="shared" si="11"/>
        <v/>
      </c>
      <c r="AE32" s="159"/>
    </row>
    <row r="33" spans="2:31" s="1" customFormat="1" ht="17.100000000000001" customHeight="1" x14ac:dyDescent="0.25">
      <c r="B33" s="158"/>
      <c r="C33" s="482"/>
      <c r="D33" s="482"/>
      <c r="E33" s="482"/>
      <c r="F33" s="77"/>
      <c r="G33" s="79"/>
      <c r="H33" s="222"/>
      <c r="I33" s="473"/>
      <c r="J33" s="223"/>
      <c r="K33" s="224">
        <f t="shared" si="29"/>
        <v>0</v>
      </c>
      <c r="L33" s="438"/>
      <c r="M33" s="438"/>
      <c r="N33" s="225" t="str">
        <f t="shared" si="0"/>
        <v/>
      </c>
      <c r="O33" s="226" t="str">
        <f t="shared" si="1"/>
        <v/>
      </c>
      <c r="P33" s="227"/>
      <c r="Q33" s="479" t="str">
        <f t="shared" si="25"/>
        <v/>
      </c>
      <c r="R33" s="480" t="str">
        <f t="shared" si="26"/>
        <v/>
      </c>
      <c r="S33" s="481" t="str">
        <f t="shared" si="27"/>
        <v/>
      </c>
      <c r="T33" s="105">
        <f t="shared" si="2"/>
        <v>6</v>
      </c>
      <c r="U33" s="228" t="str">
        <f t="shared" si="3"/>
        <v>--</v>
      </c>
      <c r="V33" s="475" t="str">
        <f t="shared" si="4"/>
        <v>--</v>
      </c>
      <c r="W33" s="476" t="str">
        <f t="shared" si="5"/>
        <v>--</v>
      </c>
      <c r="X33" s="477" t="str">
        <f t="shared" si="6"/>
        <v>--</v>
      </c>
      <c r="Y33" s="232" t="str">
        <f t="shared" si="7"/>
        <v>--</v>
      </c>
      <c r="Z33" s="233" t="str">
        <f t="shared" si="8"/>
        <v>--</v>
      </c>
      <c r="AA33" s="234" t="str">
        <f t="shared" si="9"/>
        <v>--</v>
      </c>
      <c r="AB33" s="478" t="str">
        <f t="shared" si="10"/>
        <v>--</v>
      </c>
      <c r="AC33" s="479" t="str">
        <f t="shared" si="28"/>
        <v/>
      </c>
      <c r="AD33" s="236" t="str">
        <f t="shared" si="11"/>
        <v/>
      </c>
      <c r="AE33" s="159"/>
    </row>
    <row r="34" spans="2:31" s="1" customFormat="1" ht="17.100000000000001" customHeight="1" x14ac:dyDescent="0.25">
      <c r="B34" s="158"/>
      <c r="C34" s="482"/>
      <c r="D34" s="482"/>
      <c r="E34" s="482"/>
      <c r="F34" s="77"/>
      <c r="G34" s="79"/>
      <c r="H34" s="222"/>
      <c r="I34" s="473"/>
      <c r="J34" s="223"/>
      <c r="K34" s="224">
        <f t="shared" si="29"/>
        <v>0</v>
      </c>
      <c r="L34" s="438"/>
      <c r="M34" s="438"/>
      <c r="N34" s="225" t="str">
        <f t="shared" si="0"/>
        <v/>
      </c>
      <c r="O34" s="226" t="str">
        <f t="shared" si="1"/>
        <v/>
      </c>
      <c r="P34" s="227"/>
      <c r="Q34" s="479" t="str">
        <f t="shared" si="25"/>
        <v/>
      </c>
      <c r="R34" s="480" t="str">
        <f t="shared" si="26"/>
        <v/>
      </c>
      <c r="S34" s="481" t="str">
        <f t="shared" si="27"/>
        <v/>
      </c>
      <c r="T34" s="105">
        <f t="shared" si="2"/>
        <v>6</v>
      </c>
      <c r="U34" s="228" t="str">
        <f t="shared" si="3"/>
        <v>--</v>
      </c>
      <c r="V34" s="475" t="str">
        <f t="shared" si="4"/>
        <v>--</v>
      </c>
      <c r="W34" s="476" t="str">
        <f t="shared" si="5"/>
        <v>--</v>
      </c>
      <c r="X34" s="477" t="str">
        <f t="shared" si="6"/>
        <v>--</v>
      </c>
      <c r="Y34" s="232" t="str">
        <f t="shared" si="7"/>
        <v>--</v>
      </c>
      <c r="Z34" s="233" t="str">
        <f t="shared" si="8"/>
        <v>--</v>
      </c>
      <c r="AA34" s="234" t="str">
        <f t="shared" si="9"/>
        <v>--</v>
      </c>
      <c r="AB34" s="478" t="str">
        <f t="shared" si="10"/>
        <v>--</v>
      </c>
      <c r="AC34" s="479" t="str">
        <f t="shared" si="28"/>
        <v/>
      </c>
      <c r="AD34" s="236" t="str">
        <f t="shared" si="11"/>
        <v/>
      </c>
      <c r="AE34" s="159"/>
    </row>
    <row r="35" spans="2:31" s="1" customFormat="1" ht="17.100000000000001" customHeight="1" x14ac:dyDescent="0.25">
      <c r="B35" s="158"/>
      <c r="C35" s="482"/>
      <c r="D35" s="482"/>
      <c r="E35" s="482"/>
      <c r="F35" s="77"/>
      <c r="G35" s="79"/>
      <c r="H35" s="222"/>
      <c r="I35" s="473"/>
      <c r="J35" s="223"/>
      <c r="K35" s="224">
        <f t="shared" si="29"/>
        <v>0</v>
      </c>
      <c r="L35" s="438"/>
      <c r="M35" s="438"/>
      <c r="N35" s="225" t="str">
        <f t="shared" si="0"/>
        <v/>
      </c>
      <c r="O35" s="226" t="str">
        <f t="shared" si="1"/>
        <v/>
      </c>
      <c r="P35" s="227"/>
      <c r="Q35" s="479" t="str">
        <f t="shared" si="25"/>
        <v/>
      </c>
      <c r="R35" s="480" t="str">
        <f t="shared" si="26"/>
        <v/>
      </c>
      <c r="S35" s="481" t="str">
        <f t="shared" si="27"/>
        <v/>
      </c>
      <c r="T35" s="105">
        <f t="shared" si="2"/>
        <v>6</v>
      </c>
      <c r="U35" s="228" t="str">
        <f t="shared" si="3"/>
        <v>--</v>
      </c>
      <c r="V35" s="475" t="str">
        <f t="shared" si="4"/>
        <v>--</v>
      </c>
      <c r="W35" s="476" t="str">
        <f t="shared" si="5"/>
        <v>--</v>
      </c>
      <c r="X35" s="477" t="str">
        <f t="shared" si="6"/>
        <v>--</v>
      </c>
      <c r="Y35" s="232" t="str">
        <f t="shared" si="7"/>
        <v>--</v>
      </c>
      <c r="Z35" s="233" t="str">
        <f t="shared" si="8"/>
        <v>--</v>
      </c>
      <c r="AA35" s="234" t="str">
        <f t="shared" si="9"/>
        <v>--</v>
      </c>
      <c r="AB35" s="478" t="str">
        <f t="shared" si="10"/>
        <v>--</v>
      </c>
      <c r="AC35" s="479" t="str">
        <f t="shared" si="28"/>
        <v/>
      </c>
      <c r="AD35" s="236" t="str">
        <f t="shared" si="11"/>
        <v/>
      </c>
      <c r="AE35" s="159"/>
    </row>
    <row r="36" spans="2:31" s="1" customFormat="1" ht="17.100000000000001" customHeight="1" x14ac:dyDescent="0.25">
      <c r="B36" s="158"/>
      <c r="C36" s="482"/>
      <c r="D36" s="482"/>
      <c r="E36" s="482"/>
      <c r="F36" s="77"/>
      <c r="G36" s="79"/>
      <c r="H36" s="222"/>
      <c r="I36" s="473"/>
      <c r="J36" s="223"/>
      <c r="K36" s="224">
        <f t="shared" si="29"/>
        <v>0</v>
      </c>
      <c r="L36" s="438"/>
      <c r="M36" s="438"/>
      <c r="N36" s="225" t="str">
        <f t="shared" si="0"/>
        <v/>
      </c>
      <c r="O36" s="226" t="str">
        <f t="shared" si="1"/>
        <v/>
      </c>
      <c r="P36" s="227"/>
      <c r="Q36" s="479" t="str">
        <f t="shared" si="25"/>
        <v/>
      </c>
      <c r="R36" s="480" t="str">
        <f t="shared" si="26"/>
        <v/>
      </c>
      <c r="S36" s="481" t="str">
        <f t="shared" si="27"/>
        <v/>
      </c>
      <c r="T36" s="105">
        <f t="shared" si="2"/>
        <v>6</v>
      </c>
      <c r="U36" s="228" t="str">
        <f t="shared" si="3"/>
        <v>--</v>
      </c>
      <c r="V36" s="475" t="str">
        <f t="shared" si="4"/>
        <v>--</v>
      </c>
      <c r="W36" s="476" t="str">
        <f t="shared" si="5"/>
        <v>--</v>
      </c>
      <c r="X36" s="477" t="str">
        <f t="shared" si="6"/>
        <v>--</v>
      </c>
      <c r="Y36" s="232" t="str">
        <f t="shared" si="7"/>
        <v>--</v>
      </c>
      <c r="Z36" s="233" t="str">
        <f t="shared" si="8"/>
        <v>--</v>
      </c>
      <c r="AA36" s="234" t="str">
        <f t="shared" si="9"/>
        <v>--</v>
      </c>
      <c r="AB36" s="478" t="str">
        <f t="shared" si="10"/>
        <v>--</v>
      </c>
      <c r="AC36" s="479" t="str">
        <f t="shared" si="28"/>
        <v/>
      </c>
      <c r="AD36" s="236" t="str">
        <f t="shared" si="11"/>
        <v/>
      </c>
      <c r="AE36" s="159"/>
    </row>
    <row r="37" spans="2:31" s="1" customFormat="1" ht="17.100000000000001" customHeight="1" x14ac:dyDescent="0.25">
      <c r="B37" s="158"/>
      <c r="C37" s="482"/>
      <c r="D37" s="482"/>
      <c r="E37" s="482"/>
      <c r="F37" s="77"/>
      <c r="G37" s="79"/>
      <c r="H37" s="222"/>
      <c r="I37" s="473"/>
      <c r="J37" s="223"/>
      <c r="K37" s="224">
        <f t="shared" si="29"/>
        <v>0</v>
      </c>
      <c r="L37" s="438"/>
      <c r="M37" s="438"/>
      <c r="N37" s="225" t="str">
        <f t="shared" si="0"/>
        <v/>
      </c>
      <c r="O37" s="226" t="str">
        <f t="shared" si="1"/>
        <v/>
      </c>
      <c r="P37" s="227"/>
      <c r="Q37" s="479" t="str">
        <f t="shared" si="25"/>
        <v/>
      </c>
      <c r="R37" s="480" t="str">
        <f t="shared" si="26"/>
        <v/>
      </c>
      <c r="S37" s="481" t="str">
        <f t="shared" si="27"/>
        <v/>
      </c>
      <c r="T37" s="105">
        <f t="shared" si="2"/>
        <v>6</v>
      </c>
      <c r="U37" s="228" t="str">
        <f t="shared" si="3"/>
        <v>--</v>
      </c>
      <c r="V37" s="475" t="str">
        <f t="shared" si="4"/>
        <v>--</v>
      </c>
      <c r="W37" s="476" t="str">
        <f t="shared" si="5"/>
        <v>--</v>
      </c>
      <c r="X37" s="477" t="str">
        <f t="shared" si="6"/>
        <v>--</v>
      </c>
      <c r="Y37" s="232" t="str">
        <f t="shared" si="7"/>
        <v>--</v>
      </c>
      <c r="Z37" s="233" t="str">
        <f t="shared" si="8"/>
        <v>--</v>
      </c>
      <c r="AA37" s="234" t="str">
        <f t="shared" si="9"/>
        <v>--</v>
      </c>
      <c r="AB37" s="478" t="str">
        <f t="shared" si="10"/>
        <v>--</v>
      </c>
      <c r="AC37" s="479" t="str">
        <f t="shared" si="28"/>
        <v/>
      </c>
      <c r="AD37" s="236" t="str">
        <f t="shared" si="11"/>
        <v/>
      </c>
      <c r="AE37" s="159"/>
    </row>
    <row r="38" spans="2:31" s="1" customFormat="1" ht="17.100000000000001" customHeight="1" x14ac:dyDescent="0.25">
      <c r="B38" s="158"/>
      <c r="C38" s="482"/>
      <c r="D38" s="482"/>
      <c r="E38" s="482"/>
      <c r="F38" s="77"/>
      <c r="G38" s="79"/>
      <c r="H38" s="222"/>
      <c r="I38" s="473"/>
      <c r="J38" s="223"/>
      <c r="K38" s="224">
        <f t="shared" si="29"/>
        <v>0</v>
      </c>
      <c r="L38" s="438"/>
      <c r="M38" s="438"/>
      <c r="N38" s="225" t="str">
        <f t="shared" si="0"/>
        <v/>
      </c>
      <c r="O38" s="226" t="str">
        <f t="shared" si="1"/>
        <v/>
      </c>
      <c r="P38" s="227"/>
      <c r="Q38" s="479" t="str">
        <f t="shared" si="25"/>
        <v/>
      </c>
      <c r="R38" s="480" t="str">
        <f t="shared" si="26"/>
        <v/>
      </c>
      <c r="S38" s="481" t="str">
        <f t="shared" si="27"/>
        <v/>
      </c>
      <c r="T38" s="105">
        <f t="shared" si="2"/>
        <v>6</v>
      </c>
      <c r="U38" s="228" t="str">
        <f t="shared" si="3"/>
        <v>--</v>
      </c>
      <c r="V38" s="475" t="str">
        <f t="shared" si="4"/>
        <v>--</v>
      </c>
      <c r="W38" s="476" t="str">
        <f t="shared" si="5"/>
        <v>--</v>
      </c>
      <c r="X38" s="477" t="str">
        <f t="shared" si="6"/>
        <v>--</v>
      </c>
      <c r="Y38" s="232" t="str">
        <f t="shared" si="7"/>
        <v>--</v>
      </c>
      <c r="Z38" s="233" t="str">
        <f t="shared" si="8"/>
        <v>--</v>
      </c>
      <c r="AA38" s="234" t="str">
        <f t="shared" si="9"/>
        <v>--</v>
      </c>
      <c r="AB38" s="478" t="str">
        <f t="shared" si="10"/>
        <v>--</v>
      </c>
      <c r="AC38" s="479" t="str">
        <f t="shared" si="28"/>
        <v/>
      </c>
      <c r="AD38" s="236" t="str">
        <f t="shared" si="11"/>
        <v/>
      </c>
      <c r="AE38" s="159"/>
    </row>
    <row r="39" spans="2:31" s="1" customFormat="1" ht="17.100000000000001" customHeight="1" x14ac:dyDescent="0.25">
      <c r="B39" s="158"/>
      <c r="C39" s="482"/>
      <c r="D39" s="482"/>
      <c r="E39" s="482"/>
      <c r="F39" s="77"/>
      <c r="G39" s="79"/>
      <c r="H39" s="222"/>
      <c r="I39" s="473"/>
      <c r="J39" s="223"/>
      <c r="K39" s="224">
        <f t="shared" si="29"/>
        <v>0</v>
      </c>
      <c r="L39" s="438"/>
      <c r="M39" s="438"/>
      <c r="N39" s="225" t="str">
        <f t="shared" si="0"/>
        <v/>
      </c>
      <c r="O39" s="226" t="str">
        <f t="shared" si="1"/>
        <v/>
      </c>
      <c r="P39" s="227"/>
      <c r="Q39" s="479" t="str">
        <f t="shared" si="25"/>
        <v/>
      </c>
      <c r="R39" s="480" t="str">
        <f t="shared" si="26"/>
        <v/>
      </c>
      <c r="S39" s="481" t="str">
        <f t="shared" si="27"/>
        <v/>
      </c>
      <c r="T39" s="105">
        <f t="shared" si="2"/>
        <v>6</v>
      </c>
      <c r="U39" s="228" t="str">
        <f t="shared" si="3"/>
        <v>--</v>
      </c>
      <c r="V39" s="475" t="str">
        <f t="shared" si="4"/>
        <v>--</v>
      </c>
      <c r="W39" s="476" t="str">
        <f t="shared" si="5"/>
        <v>--</v>
      </c>
      <c r="X39" s="477" t="str">
        <f t="shared" si="6"/>
        <v>--</v>
      </c>
      <c r="Y39" s="232" t="str">
        <f t="shared" si="7"/>
        <v>--</v>
      </c>
      <c r="Z39" s="233" t="str">
        <f t="shared" si="8"/>
        <v>--</v>
      </c>
      <c r="AA39" s="234" t="str">
        <f t="shared" si="9"/>
        <v>--</v>
      </c>
      <c r="AB39" s="478" t="str">
        <f t="shared" si="10"/>
        <v>--</v>
      </c>
      <c r="AC39" s="479" t="str">
        <f t="shared" si="28"/>
        <v/>
      </c>
      <c r="AD39" s="236" t="str">
        <f t="shared" si="11"/>
        <v/>
      </c>
      <c r="AE39" s="159"/>
    </row>
    <row r="40" spans="2:31" s="1" customFormat="1" ht="17.100000000000001" customHeight="1" x14ac:dyDescent="0.25">
      <c r="B40" s="158"/>
      <c r="C40" s="482"/>
      <c r="D40" s="482"/>
      <c r="E40" s="482"/>
      <c r="F40" s="77"/>
      <c r="G40" s="79"/>
      <c r="H40" s="222"/>
      <c r="I40" s="473"/>
      <c r="J40" s="223"/>
      <c r="K40" s="224">
        <f t="shared" si="29"/>
        <v>0</v>
      </c>
      <c r="L40" s="438"/>
      <c r="M40" s="438"/>
      <c r="N40" s="225" t="str">
        <f t="shared" si="0"/>
        <v/>
      </c>
      <c r="O40" s="226" t="str">
        <f t="shared" si="1"/>
        <v/>
      </c>
      <c r="P40" s="227"/>
      <c r="Q40" s="479" t="str">
        <f t="shared" si="25"/>
        <v/>
      </c>
      <c r="R40" s="480" t="str">
        <f t="shared" si="26"/>
        <v/>
      </c>
      <c r="S40" s="481" t="str">
        <f t="shared" si="27"/>
        <v/>
      </c>
      <c r="T40" s="105">
        <f t="shared" si="2"/>
        <v>6</v>
      </c>
      <c r="U40" s="228" t="str">
        <f t="shared" si="3"/>
        <v>--</v>
      </c>
      <c r="V40" s="475" t="str">
        <f t="shared" si="4"/>
        <v>--</v>
      </c>
      <c r="W40" s="476" t="str">
        <f t="shared" si="5"/>
        <v>--</v>
      </c>
      <c r="X40" s="477" t="str">
        <f t="shared" si="6"/>
        <v>--</v>
      </c>
      <c r="Y40" s="232" t="str">
        <f t="shared" si="7"/>
        <v>--</v>
      </c>
      <c r="Z40" s="233" t="str">
        <f t="shared" si="8"/>
        <v>--</v>
      </c>
      <c r="AA40" s="234" t="str">
        <f t="shared" si="9"/>
        <v>--</v>
      </c>
      <c r="AB40" s="478" t="str">
        <f t="shared" si="10"/>
        <v>--</v>
      </c>
      <c r="AC40" s="479" t="str">
        <f t="shared" si="28"/>
        <v/>
      </c>
      <c r="AD40" s="236" t="str">
        <f t="shared" si="11"/>
        <v/>
      </c>
      <c r="AE40" s="159"/>
    </row>
    <row r="41" spans="2:31" s="1" customFormat="1" ht="17.100000000000001" customHeight="1" x14ac:dyDescent="0.25">
      <c r="B41" s="158"/>
      <c r="C41" s="482"/>
      <c r="D41" s="482"/>
      <c r="E41" s="482"/>
      <c r="F41" s="77"/>
      <c r="G41" s="79"/>
      <c r="H41" s="222"/>
      <c r="I41" s="473"/>
      <c r="J41" s="223"/>
      <c r="K41" s="224">
        <f t="shared" si="29"/>
        <v>0</v>
      </c>
      <c r="L41" s="438"/>
      <c r="M41" s="438"/>
      <c r="N41" s="225" t="str">
        <f t="shared" si="0"/>
        <v/>
      </c>
      <c r="O41" s="226" t="str">
        <f t="shared" si="1"/>
        <v/>
      </c>
      <c r="P41" s="227"/>
      <c r="Q41" s="479" t="str">
        <f t="shared" si="25"/>
        <v/>
      </c>
      <c r="R41" s="480" t="str">
        <f t="shared" si="26"/>
        <v/>
      </c>
      <c r="S41" s="481" t="str">
        <f t="shared" si="27"/>
        <v/>
      </c>
      <c r="T41" s="105">
        <f t="shared" si="2"/>
        <v>6</v>
      </c>
      <c r="U41" s="228" t="str">
        <f t="shared" si="3"/>
        <v>--</v>
      </c>
      <c r="V41" s="475" t="str">
        <f t="shared" si="4"/>
        <v>--</v>
      </c>
      <c r="W41" s="476" t="str">
        <f t="shared" si="5"/>
        <v>--</v>
      </c>
      <c r="X41" s="477" t="str">
        <f t="shared" si="6"/>
        <v>--</v>
      </c>
      <c r="Y41" s="232" t="str">
        <f t="shared" si="7"/>
        <v>--</v>
      </c>
      <c r="Z41" s="233" t="str">
        <f t="shared" si="8"/>
        <v>--</v>
      </c>
      <c r="AA41" s="234" t="str">
        <f t="shared" si="9"/>
        <v>--</v>
      </c>
      <c r="AB41" s="478" t="str">
        <f t="shared" si="10"/>
        <v>--</v>
      </c>
      <c r="AC41" s="479" t="str">
        <f t="shared" si="28"/>
        <v/>
      </c>
      <c r="AD41" s="236" t="str">
        <f t="shared" si="11"/>
        <v/>
      </c>
      <c r="AE41" s="159"/>
    </row>
    <row r="42" spans="2:31" s="1" customFormat="1" ht="17.100000000000001" customHeight="1" x14ac:dyDescent="0.25">
      <c r="B42" s="158"/>
      <c r="C42" s="482"/>
      <c r="D42" s="482"/>
      <c r="E42" s="482"/>
      <c r="F42" s="77"/>
      <c r="G42" s="79"/>
      <c r="H42" s="222"/>
      <c r="I42" s="473"/>
      <c r="J42" s="223"/>
      <c r="K42" s="224">
        <f t="shared" si="29"/>
        <v>0</v>
      </c>
      <c r="L42" s="438"/>
      <c r="M42" s="438"/>
      <c r="N42" s="225" t="str">
        <f t="shared" si="0"/>
        <v/>
      </c>
      <c r="O42" s="226" t="str">
        <f t="shared" si="1"/>
        <v/>
      </c>
      <c r="P42" s="227"/>
      <c r="Q42" s="479" t="str">
        <f t="shared" si="25"/>
        <v/>
      </c>
      <c r="R42" s="480" t="str">
        <f t="shared" si="26"/>
        <v/>
      </c>
      <c r="S42" s="481" t="str">
        <f t="shared" si="27"/>
        <v/>
      </c>
      <c r="T42" s="105">
        <f t="shared" si="2"/>
        <v>6</v>
      </c>
      <c r="U42" s="228" t="str">
        <f t="shared" si="3"/>
        <v>--</v>
      </c>
      <c r="V42" s="475" t="str">
        <f t="shared" si="4"/>
        <v>--</v>
      </c>
      <c r="W42" s="476" t="str">
        <f t="shared" si="5"/>
        <v>--</v>
      </c>
      <c r="X42" s="477" t="str">
        <f t="shared" si="6"/>
        <v>--</v>
      </c>
      <c r="Y42" s="232" t="str">
        <f t="shared" si="7"/>
        <v>--</v>
      </c>
      <c r="Z42" s="233" t="str">
        <f t="shared" si="8"/>
        <v>--</v>
      </c>
      <c r="AA42" s="234" t="str">
        <f t="shared" si="9"/>
        <v>--</v>
      </c>
      <c r="AB42" s="478" t="str">
        <f t="shared" si="10"/>
        <v>--</v>
      </c>
      <c r="AC42" s="479" t="str">
        <f t="shared" si="28"/>
        <v/>
      </c>
      <c r="AD42" s="236" t="str">
        <f t="shared" si="11"/>
        <v/>
      </c>
      <c r="AE42" s="159"/>
    </row>
    <row r="43" spans="2:31" s="1" customFormat="1" ht="17.100000000000001" customHeight="1" thickBot="1" x14ac:dyDescent="0.3">
      <c r="B43" s="158"/>
      <c r="C43" s="317"/>
      <c r="D43" s="317"/>
      <c r="E43" s="317"/>
      <c r="F43" s="317"/>
      <c r="G43" s="317"/>
      <c r="H43" s="317"/>
      <c r="I43" s="317"/>
      <c r="J43" s="317"/>
      <c r="K43" s="239"/>
      <c r="L43" s="407"/>
      <c r="M43" s="407"/>
      <c r="N43" s="238"/>
      <c r="O43" s="238"/>
      <c r="P43" s="317"/>
      <c r="Q43" s="317"/>
      <c r="R43" s="317"/>
      <c r="S43" s="317"/>
      <c r="T43" s="318"/>
      <c r="U43" s="319"/>
      <c r="V43" s="483"/>
      <c r="W43" s="484"/>
      <c r="X43" s="485"/>
      <c r="Y43" s="323"/>
      <c r="Z43" s="324"/>
      <c r="AA43" s="325"/>
      <c r="AB43" s="486"/>
      <c r="AC43" s="317"/>
      <c r="AD43" s="240"/>
      <c r="AE43" s="159"/>
    </row>
    <row r="44" spans="2:31" s="1" customFormat="1" ht="17.100000000000001" customHeight="1" thickTop="1" thickBot="1" x14ac:dyDescent="0.3">
      <c r="B44" s="158"/>
      <c r="C44" s="113" t="s">
        <v>67</v>
      </c>
      <c r="D44" s="443" t="s">
        <v>161</v>
      </c>
      <c r="E44" s="129"/>
      <c r="F44" s="11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487">
        <f>SUM(U19:U43)</f>
        <v>42.618096000000008</v>
      </c>
      <c r="V44" s="242">
        <f>SUM(V19:V43)</f>
        <v>0</v>
      </c>
      <c r="W44" s="243">
        <f>SUM(W19:W43)</f>
        <v>131.59800000000001</v>
      </c>
      <c r="X44" s="244">
        <f>SUM(X21:X43)</f>
        <v>3296.5298999999995</v>
      </c>
      <c r="Y44" s="488">
        <f>SUM(Y19:Y43)</f>
        <v>0</v>
      </c>
      <c r="Z44" s="488">
        <f>SUM(Z21:Z43)</f>
        <v>0</v>
      </c>
      <c r="AA44" s="489">
        <f>SUM(AA19:AA43)</f>
        <v>0</v>
      </c>
      <c r="AB44" s="247">
        <f>SUM(AB21:AB43)</f>
        <v>0</v>
      </c>
      <c r="AC44" s="248"/>
      <c r="AD44" s="490">
        <f>ROUND(SUM(AD19:AD43),2)</f>
        <v>3470.75</v>
      </c>
      <c r="AE44" s="159"/>
    </row>
    <row r="45" spans="2:31" s="127" customFormat="1" ht="9.75" thickTop="1" x14ac:dyDescent="0.15">
      <c r="B45" s="249"/>
      <c r="C45" s="129"/>
      <c r="D45" s="129"/>
      <c r="E45" s="129"/>
      <c r="F45" s="13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1"/>
      <c r="V45" s="251"/>
      <c r="W45" s="251"/>
      <c r="X45" s="251"/>
      <c r="Y45" s="251"/>
      <c r="Z45" s="251"/>
      <c r="AA45" s="251"/>
      <c r="AB45" s="251"/>
      <c r="AC45" s="250"/>
      <c r="AD45" s="252"/>
      <c r="AE45" s="253"/>
    </row>
    <row r="46" spans="2:31" s="1" customFormat="1" ht="17.100000000000001" customHeight="1" thickBot="1" x14ac:dyDescent="0.25">
      <c r="B46" s="254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6"/>
    </row>
    <row r="47" spans="2:31" ht="17.100000000000001" customHeight="1" thickTop="1" x14ac:dyDescent="0.2"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8"/>
    </row>
    <row r="48" spans="2:31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</sheetData>
  <pageMargins left="0.17" right="0.19685039370078741" top="0.78740157480314965" bottom="0.34" header="0.51181102362204722" footer="0.17"/>
  <pageSetup paperSize="9" scale="60" orientation="landscape" r:id="rId1"/>
  <headerFooter alignWithMargins="0">
    <oddFooter>&amp;L&amp;"Times New Roman,Normal"&amp;8&amp;Z&amp;F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69" r:id="rId4" name="Button 1">
              <controlPr defaultSize="0" print="0" autoFill="0" autoPict="0" macro="[0]!Referencias_Res0103">
                <anchor moveWithCells="1" sizeWithCells="1">
                  <from>
                    <xdr:col>0</xdr:col>
                    <xdr:colOff>57150</xdr:colOff>
                    <xdr:row>42</xdr:row>
                    <xdr:rowOff>200025</xdr:rowOff>
                  </from>
                  <to>
                    <xdr:col>2</xdr:col>
                    <xdr:colOff>0</xdr:colOff>
                    <xdr:row>44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C22"/>
  <sheetViews>
    <sheetView zoomScale="85" workbookViewId="0">
      <selection activeCell="E40" sqref="E40"/>
    </sheetView>
  </sheetViews>
  <sheetFormatPr baseColWidth="10" defaultRowHeight="12.75" x14ac:dyDescent="0.2"/>
  <cols>
    <col min="1" max="1" width="21.7109375" style="417" customWidth="1"/>
    <col min="2" max="2" width="9.28515625" style="417" customWidth="1"/>
    <col min="3" max="3" width="11.85546875" style="417" bestFit="1" customWidth="1"/>
    <col min="4" max="4" width="9.5703125" style="417" bestFit="1" customWidth="1"/>
    <col min="5" max="5" width="14.85546875" style="417" bestFit="1" customWidth="1"/>
    <col min="6" max="6" width="64" style="417" bestFit="1" customWidth="1"/>
    <col min="7" max="16384" width="11.42578125" style="417"/>
  </cols>
  <sheetData>
    <row r="1" spans="1:9" x14ac:dyDescent="0.2">
      <c r="A1" s="416" t="s">
        <v>80</v>
      </c>
      <c r="B1" s="416" t="s">
        <v>80</v>
      </c>
      <c r="C1" s="416" t="s">
        <v>81</v>
      </c>
      <c r="D1" s="416" t="s">
        <v>82</v>
      </c>
    </row>
    <row r="2" spans="1:9" x14ac:dyDescent="0.2">
      <c r="A2" s="418" t="s">
        <v>54</v>
      </c>
      <c r="B2" s="419" t="s">
        <v>83</v>
      </c>
      <c r="C2" s="418">
        <v>31</v>
      </c>
      <c r="D2" s="418">
        <v>2006</v>
      </c>
    </row>
    <row r="3" spans="1:9" x14ac:dyDescent="0.2">
      <c r="A3" s="418" t="s">
        <v>55</v>
      </c>
      <c r="B3" s="419" t="s">
        <v>84</v>
      </c>
      <c r="C3" s="418">
        <f ca="1">IF(MOD(E14,4)=0,29,28)</f>
        <v>29</v>
      </c>
      <c r="D3" s="418">
        <f>+D2+1</f>
        <v>2007</v>
      </c>
    </row>
    <row r="4" spans="1:9" x14ac:dyDescent="0.2">
      <c r="A4" s="418" t="s">
        <v>56</v>
      </c>
      <c r="B4" s="419" t="s">
        <v>85</v>
      </c>
      <c r="C4" s="418">
        <v>31</v>
      </c>
      <c r="D4" s="418">
        <v>2008</v>
      </c>
    </row>
    <row r="5" spans="1:9" x14ac:dyDescent="0.2">
      <c r="A5" s="418" t="s">
        <v>57</v>
      </c>
      <c r="B5" s="419" t="s">
        <v>86</v>
      </c>
      <c r="C5" s="418">
        <v>30</v>
      </c>
      <c r="D5" s="418">
        <v>2009</v>
      </c>
    </row>
    <row r="6" spans="1:9" x14ac:dyDescent="0.2">
      <c r="A6" s="418" t="s">
        <v>58</v>
      </c>
      <c r="B6" s="419" t="s">
        <v>87</v>
      </c>
      <c r="C6" s="418">
        <v>31</v>
      </c>
      <c r="D6" s="418">
        <v>2010</v>
      </c>
    </row>
    <row r="7" spans="1:9" x14ac:dyDescent="0.2">
      <c r="A7" s="418" t="s">
        <v>59</v>
      </c>
      <c r="B7" s="419" t="s">
        <v>88</v>
      </c>
      <c r="C7" s="418">
        <v>30</v>
      </c>
      <c r="D7" s="418">
        <v>2011</v>
      </c>
    </row>
    <row r="8" spans="1:9" x14ac:dyDescent="0.2">
      <c r="A8" s="418" t="s">
        <v>60</v>
      </c>
      <c r="B8" s="419" t="s">
        <v>89</v>
      </c>
      <c r="C8" s="418">
        <v>31</v>
      </c>
      <c r="D8" s="418">
        <v>2012</v>
      </c>
    </row>
    <row r="9" spans="1:9" x14ac:dyDescent="0.2">
      <c r="A9" s="418" t="s">
        <v>61</v>
      </c>
      <c r="B9" s="419" t="s">
        <v>90</v>
      </c>
      <c r="C9" s="418">
        <v>31</v>
      </c>
      <c r="D9" s="418">
        <v>2013</v>
      </c>
    </row>
    <row r="10" spans="1:9" x14ac:dyDescent="0.2">
      <c r="A10" s="418" t="s">
        <v>62</v>
      </c>
      <c r="B10" s="419" t="s">
        <v>91</v>
      </c>
      <c r="C10" s="418">
        <v>30</v>
      </c>
      <c r="D10" s="418">
        <v>2014</v>
      </c>
    </row>
    <row r="11" spans="1:9" x14ac:dyDescent="0.2">
      <c r="A11" s="418" t="s">
        <v>63</v>
      </c>
      <c r="B11" s="419" t="s">
        <v>92</v>
      </c>
      <c r="C11" s="418">
        <v>31</v>
      </c>
      <c r="D11" s="418">
        <v>2015</v>
      </c>
    </row>
    <row r="12" spans="1:9" x14ac:dyDescent="0.2">
      <c r="A12" s="418" t="s">
        <v>64</v>
      </c>
      <c r="B12" s="419" t="s">
        <v>93</v>
      </c>
      <c r="C12" s="418">
        <v>30</v>
      </c>
      <c r="D12" s="418">
        <v>2016</v>
      </c>
    </row>
    <row r="13" spans="1:9" x14ac:dyDescent="0.2">
      <c r="A13" s="418" t="s">
        <v>65</v>
      </c>
      <c r="B13" s="419" t="s">
        <v>94</v>
      </c>
      <c r="C13" s="418">
        <v>31</v>
      </c>
      <c r="D13" s="418"/>
      <c r="I13" s="420" t="s">
        <v>95</v>
      </c>
    </row>
    <row r="14" spans="1:9" x14ac:dyDescent="0.2">
      <c r="A14" s="421">
        <v>11</v>
      </c>
      <c r="B14" s="422">
        <v>2</v>
      </c>
      <c r="C14" s="421" t="str">
        <f ca="1">CELL("CONTENIDO",OFFSET(A1,B14,0))</f>
        <v>febrero</v>
      </c>
      <c r="D14" s="421">
        <f ca="1">CELL("CONTENIDO",OFFSET(C1,B14,0))</f>
        <v>29</v>
      </c>
      <c r="E14" s="421">
        <f ca="1">CELL("CONTENIDO",OFFSET(D1,A14,0))</f>
        <v>2016</v>
      </c>
      <c r="F14" s="421" t="str">
        <f ca="1">"Desde el 01 al " &amp; D14 &amp; " de " &amp; C14 &amp; " de " &amp; E14</f>
        <v>Desde el 01 al 29 de febrero de 2016</v>
      </c>
      <c r="G14" s="421" t="str">
        <f ca="1">CELL("CONTENIDO",OFFSET(B1,B14,0))</f>
        <v>02</v>
      </c>
      <c r="H14" s="421" t="str">
        <f ca="1">RIGHT(E14,2)</f>
        <v>16</v>
      </c>
      <c r="I14" s="423" t="s">
        <v>96</v>
      </c>
    </row>
    <row r="15" spans="1:9" x14ac:dyDescent="0.2">
      <c r="A15" s="421"/>
      <c r="B15" s="424" t="str">
        <f ca="1">"\\rugor\files\Transporte\Transporte\AA PROCESO AUT ARCHIVOS J\TRANSBA\" &amp;E14</f>
        <v>\\rugor\files\Transporte\Transporte\AA PROCESO AUT ARCHIVOS J\TRANSBA\2016</v>
      </c>
      <c r="C15" s="421"/>
      <c r="D15" s="421"/>
      <c r="E15" s="421"/>
      <c r="F15" s="421"/>
      <c r="G15" s="421" t="str">
        <f ca="1">"J"&amp;G14&amp;H14&amp;"TBA"</f>
        <v>J0216TBA</v>
      </c>
      <c r="H15" s="421"/>
    </row>
    <row r="16" spans="1:9" x14ac:dyDescent="0.2">
      <c r="A16" s="421"/>
      <c r="B16" s="424" t="str">
        <f ca="1">"\\rugor\files\Transporte\transporte\AA PROCESO AUT\INTERCAMBIO\" &amp;H14&amp;G14</f>
        <v>\\rugor\files\Transporte\transporte\AA PROCESO AUT\INTERCAMBIO\1602</v>
      </c>
      <c r="C16" s="421"/>
      <c r="D16" s="421"/>
      <c r="E16" s="421"/>
      <c r="F16" s="421"/>
      <c r="G16" s="421"/>
      <c r="H16" s="421"/>
    </row>
    <row r="17" spans="1:29" s="410" customFormat="1" x14ac:dyDescent="0.2">
      <c r="A17" s="416" t="s">
        <v>97</v>
      </c>
      <c r="B17" s="416" t="s">
        <v>98</v>
      </c>
      <c r="C17" s="416" t="s">
        <v>99</v>
      </c>
      <c r="D17" s="416" t="s">
        <v>100</v>
      </c>
      <c r="E17" s="416" t="s">
        <v>101</v>
      </c>
      <c r="F17" s="416" t="s">
        <v>102</v>
      </c>
      <c r="G17" s="416" t="s">
        <v>103</v>
      </c>
      <c r="H17" s="416" t="s">
        <v>104</v>
      </c>
      <c r="I17" s="416" t="s">
        <v>105</v>
      </c>
      <c r="J17" s="416" t="s">
        <v>106</v>
      </c>
      <c r="K17" s="416" t="s">
        <v>107</v>
      </c>
      <c r="L17" s="416" t="s">
        <v>108</v>
      </c>
      <c r="M17" s="416" t="s">
        <v>109</v>
      </c>
      <c r="N17" s="416" t="s">
        <v>110</v>
      </c>
      <c r="O17" s="416" t="s">
        <v>111</v>
      </c>
      <c r="P17" s="416" t="s">
        <v>112</v>
      </c>
      <c r="Q17" s="416" t="s">
        <v>113</v>
      </c>
      <c r="R17" s="416" t="s">
        <v>114</v>
      </c>
      <c r="S17" s="416" t="s">
        <v>115</v>
      </c>
      <c r="T17" s="416" t="s">
        <v>116</v>
      </c>
      <c r="U17" s="416" t="s">
        <v>117</v>
      </c>
      <c r="V17" s="416" t="s">
        <v>118</v>
      </c>
      <c r="W17" s="416" t="s">
        <v>119</v>
      </c>
      <c r="X17" s="416" t="s">
        <v>120</v>
      </c>
      <c r="Y17" s="416" t="s">
        <v>121</v>
      </c>
      <c r="Z17" s="416" t="s">
        <v>122</v>
      </c>
      <c r="AA17" s="416" t="s">
        <v>123</v>
      </c>
      <c r="AB17" s="416" t="s">
        <v>124</v>
      </c>
      <c r="AC17" s="416" t="s">
        <v>125</v>
      </c>
    </row>
    <row r="18" spans="1:29" x14ac:dyDescent="0.2">
      <c r="A18" s="425" t="s">
        <v>126</v>
      </c>
      <c r="B18" s="425">
        <v>21</v>
      </c>
      <c r="C18" s="425">
        <v>20</v>
      </c>
      <c r="D18" s="425">
        <v>12</v>
      </c>
      <c r="E18" s="425" t="str">
        <f ca="1">"LI-" &amp; $G$14</f>
        <v>LI-02</v>
      </c>
      <c r="F18" s="425" t="s">
        <v>132</v>
      </c>
      <c r="G18" s="425">
        <v>3</v>
      </c>
      <c r="H18" s="426">
        <v>5</v>
      </c>
      <c r="I18" s="426">
        <v>4</v>
      </c>
      <c r="J18" s="425">
        <v>6</v>
      </c>
      <c r="K18" s="425">
        <v>7</v>
      </c>
      <c r="L18" s="425">
        <v>8</v>
      </c>
      <c r="M18" s="425">
        <v>9</v>
      </c>
      <c r="N18" s="425">
        <v>11</v>
      </c>
      <c r="O18" s="425">
        <v>12</v>
      </c>
      <c r="P18" s="425">
        <v>15</v>
      </c>
      <c r="Q18" s="425">
        <v>0</v>
      </c>
      <c r="R18" s="425">
        <v>28</v>
      </c>
      <c r="S18" s="425">
        <v>16</v>
      </c>
      <c r="T18" s="425">
        <v>0</v>
      </c>
      <c r="U18" s="425">
        <v>0</v>
      </c>
      <c r="V18" s="425">
        <v>0</v>
      </c>
      <c r="W18" s="425">
        <v>18</v>
      </c>
      <c r="X18" s="425">
        <v>9</v>
      </c>
      <c r="Y18" s="425">
        <v>42</v>
      </c>
      <c r="Z18" s="425">
        <v>29</v>
      </c>
      <c r="AA18" s="425">
        <v>19</v>
      </c>
      <c r="AB18" s="425">
        <v>29</v>
      </c>
      <c r="AC18" s="425">
        <v>15</v>
      </c>
    </row>
    <row r="19" spans="1:29" x14ac:dyDescent="0.2">
      <c r="A19" s="427" t="s">
        <v>127</v>
      </c>
      <c r="B19" s="427">
        <v>22</v>
      </c>
      <c r="C19" s="427">
        <v>20</v>
      </c>
      <c r="D19" s="427">
        <v>13</v>
      </c>
      <c r="E19" s="427" t="str">
        <f ca="1">"T-" &amp; $G$14</f>
        <v>T-02</v>
      </c>
      <c r="F19" s="427" t="s">
        <v>133</v>
      </c>
      <c r="G19" s="425">
        <v>3</v>
      </c>
      <c r="H19" s="426">
        <v>5</v>
      </c>
      <c r="I19" s="426">
        <v>4</v>
      </c>
      <c r="J19" s="427">
        <v>6</v>
      </c>
      <c r="K19" s="427">
        <v>7</v>
      </c>
      <c r="L19" s="427">
        <v>8</v>
      </c>
      <c r="M19" s="427">
        <v>9</v>
      </c>
      <c r="N19" s="427">
        <v>11</v>
      </c>
      <c r="O19" s="427">
        <v>12</v>
      </c>
      <c r="P19" s="427">
        <v>15</v>
      </c>
      <c r="Q19" s="427">
        <v>16</v>
      </c>
      <c r="R19" s="427">
        <v>18</v>
      </c>
      <c r="S19" s="427">
        <v>28</v>
      </c>
      <c r="T19" s="427">
        <v>17</v>
      </c>
      <c r="U19" s="427">
        <v>0</v>
      </c>
      <c r="V19" s="427">
        <v>0</v>
      </c>
      <c r="W19" s="427">
        <v>22</v>
      </c>
      <c r="X19" s="425">
        <v>9</v>
      </c>
      <c r="Y19" s="427">
        <v>43</v>
      </c>
      <c r="Z19" s="427">
        <v>29</v>
      </c>
      <c r="AA19" s="427">
        <v>20</v>
      </c>
      <c r="AB19" s="427">
        <v>29</v>
      </c>
      <c r="AC19" s="427">
        <v>15</v>
      </c>
    </row>
    <row r="20" spans="1:29" x14ac:dyDescent="0.2">
      <c r="A20" s="425" t="s">
        <v>128</v>
      </c>
      <c r="B20" s="425">
        <v>22</v>
      </c>
      <c r="C20" s="425">
        <v>20</v>
      </c>
      <c r="D20" s="425">
        <v>10</v>
      </c>
      <c r="E20" s="425" t="str">
        <f ca="1">"SA-" &amp; $G$14</f>
        <v>SA-02</v>
      </c>
      <c r="F20" s="425" t="s">
        <v>134</v>
      </c>
      <c r="G20" s="425">
        <v>3</v>
      </c>
      <c r="H20" s="426">
        <v>5</v>
      </c>
      <c r="I20" s="426">
        <v>4</v>
      </c>
      <c r="J20" s="425">
        <v>6</v>
      </c>
      <c r="K20" s="425">
        <v>7</v>
      </c>
      <c r="L20" s="425">
        <v>8</v>
      </c>
      <c r="M20" s="425">
        <v>10</v>
      </c>
      <c r="N20" s="425">
        <v>11</v>
      </c>
      <c r="O20" s="425">
        <v>14</v>
      </c>
      <c r="P20" s="425">
        <v>15</v>
      </c>
      <c r="Q20" s="425">
        <v>21</v>
      </c>
      <c r="R20" s="425">
        <v>0</v>
      </c>
      <c r="S20" s="425">
        <v>0</v>
      </c>
      <c r="T20" s="425">
        <v>0</v>
      </c>
      <c r="U20" s="425">
        <v>0</v>
      </c>
      <c r="V20" s="425">
        <v>0</v>
      </c>
      <c r="W20" s="425">
        <v>24</v>
      </c>
      <c r="X20" s="425">
        <v>9</v>
      </c>
      <c r="Y20" s="425">
        <v>43</v>
      </c>
      <c r="Z20" s="425">
        <v>22</v>
      </c>
      <c r="AA20" s="425">
        <v>20</v>
      </c>
      <c r="AB20" s="425">
        <v>22</v>
      </c>
      <c r="AC20" s="425">
        <v>14</v>
      </c>
    </row>
    <row r="21" spans="1:29" x14ac:dyDescent="0.2">
      <c r="A21" s="425" t="s">
        <v>131</v>
      </c>
      <c r="B21" s="425">
        <v>21</v>
      </c>
      <c r="C21" s="425">
        <v>20</v>
      </c>
      <c r="D21" s="427">
        <v>12</v>
      </c>
      <c r="E21" s="425" t="str">
        <f ca="1">"RE-" &amp; $G$14</f>
        <v>RE-02</v>
      </c>
      <c r="F21" s="425" t="s">
        <v>135</v>
      </c>
      <c r="G21" s="425">
        <v>3</v>
      </c>
      <c r="H21" s="426">
        <v>5</v>
      </c>
      <c r="I21" s="426">
        <v>4</v>
      </c>
      <c r="J21" s="425">
        <v>6</v>
      </c>
      <c r="K21" s="425">
        <v>7</v>
      </c>
      <c r="L21" s="425">
        <v>8</v>
      </c>
      <c r="M21" s="425">
        <v>9</v>
      </c>
      <c r="N21" s="425">
        <v>10</v>
      </c>
      <c r="O21" s="425">
        <v>12</v>
      </c>
      <c r="P21" s="425">
        <v>13</v>
      </c>
      <c r="Q21" s="425">
        <v>16</v>
      </c>
      <c r="R21" s="425">
        <v>17</v>
      </c>
      <c r="S21" s="425">
        <v>29</v>
      </c>
      <c r="T21" s="425">
        <v>18</v>
      </c>
      <c r="U21" s="425">
        <v>0</v>
      </c>
      <c r="V21" s="425">
        <v>0</v>
      </c>
      <c r="W21" s="425">
        <v>26</v>
      </c>
      <c r="X21" s="425">
        <v>9</v>
      </c>
      <c r="Y21" s="425">
        <v>43</v>
      </c>
      <c r="Z21" s="425">
        <v>30</v>
      </c>
      <c r="AA21" s="425">
        <v>20</v>
      </c>
      <c r="AB21" s="425">
        <v>30</v>
      </c>
      <c r="AC21" s="425">
        <v>16</v>
      </c>
    </row>
    <row r="22" spans="1:29" s="410" customFormat="1" x14ac:dyDescent="0.2">
      <c r="A22" s="428" t="s">
        <v>129</v>
      </c>
      <c r="B22" s="428">
        <v>19</v>
      </c>
      <c r="C22" s="428">
        <v>24</v>
      </c>
      <c r="D22" s="429">
        <v>4</v>
      </c>
      <c r="E22" s="428" t="str">
        <f ca="1">"CAUSAS-VST-" &amp; $G$14</f>
        <v>CAUSAS-VST-02</v>
      </c>
      <c r="F22" s="428" t="s">
        <v>130</v>
      </c>
      <c r="G22" s="428">
        <v>3</v>
      </c>
      <c r="H22" s="428">
        <v>4</v>
      </c>
      <c r="I22" s="428">
        <v>5</v>
      </c>
      <c r="J22" s="428">
        <v>6</v>
      </c>
      <c r="K22" s="428">
        <v>7</v>
      </c>
      <c r="L22" s="428">
        <v>0</v>
      </c>
      <c r="M22" s="428">
        <v>0</v>
      </c>
      <c r="N22" s="428">
        <v>0</v>
      </c>
      <c r="O22" s="428">
        <v>0</v>
      </c>
      <c r="P22" s="428">
        <v>0</v>
      </c>
      <c r="Q22" s="428">
        <v>0</v>
      </c>
      <c r="R22" s="428">
        <v>0</v>
      </c>
      <c r="S22" s="428">
        <v>0</v>
      </c>
      <c r="T22" s="428">
        <v>0</v>
      </c>
      <c r="U22" s="428">
        <v>0</v>
      </c>
      <c r="V22" s="428">
        <v>0</v>
      </c>
      <c r="W22" s="428">
        <v>999</v>
      </c>
      <c r="X22" s="428">
        <v>999</v>
      </c>
      <c r="Y22" s="428">
        <v>0</v>
      </c>
      <c r="Z22" s="428">
        <v>0</v>
      </c>
      <c r="AA22" s="428">
        <v>0</v>
      </c>
      <c r="AB22" s="428">
        <v>0</v>
      </c>
      <c r="AC22" s="428">
        <v>0</v>
      </c>
    </row>
  </sheetData>
  <phoneticPr fontId="0" type="noConversion"/>
  <hyperlinks>
    <hyperlink ref="D5" r:id="rId1" display="\\fileserver\files\Transporte\transporte\AA PROCESO AUT\DISTROCUYO\FABIAN"/>
  </hyperlinks>
  <printOptions gridLines="1" gridLinesSet="0"/>
  <pageMargins left="0.75" right="0.75" top="1" bottom="1" header="0.511811024" footer="0.511811024"/>
  <pageSetup paperSize="9" orientation="landscape" r:id="rId2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TOT-0216</vt:lpstr>
      <vt:lpstr>LI-02 (1)</vt:lpstr>
      <vt:lpstr>LI-02 (2)</vt:lpstr>
      <vt:lpstr>T-02 (1)</vt:lpstr>
      <vt:lpstr>T-02 (2)</vt:lpstr>
      <vt:lpstr>SA-02 (1)</vt:lpstr>
      <vt:lpstr>SA-02 (2)</vt:lpstr>
      <vt:lpstr>RE-02 (1)</vt:lpstr>
      <vt:lpstr>DATO</vt:lpstr>
    </vt:vector>
  </TitlesOfParts>
  <Company>E.N.R.E.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TRANSPORTE</dc:creator>
  <cp:lastModifiedBy>Fabian Raneli</cp:lastModifiedBy>
  <cp:lastPrinted>2017-05-19T15:04:17Z</cp:lastPrinted>
  <dcterms:created xsi:type="dcterms:W3CDTF">1998-09-02T21:36:20Z</dcterms:created>
  <dcterms:modified xsi:type="dcterms:W3CDTF">2017-06-23T15:30:17Z</dcterms:modified>
</cp:coreProperties>
</file>