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65521" yWindow="3675" windowWidth="11970" windowHeight="3720" tabRatio="909" activeTab="0"/>
  </bookViews>
  <sheets>
    <sheet name="TOT-0116" sheetId="49" r:id="rId1"/>
    <sheet name="LI-01 (1)" sheetId="79" r:id="rId2"/>
    <sheet name="LI-01 (2)" sheetId="80" r:id="rId3"/>
    <sheet name="LI-INTESAR 1-01 (1)" sheetId="84" r:id="rId4"/>
    <sheet name="LI-INTESAR 3-01 (1)" sheetId="120" r:id="rId5"/>
    <sheet name="LI-LITSA-01 (1)" sheetId="113" r:id="rId6"/>
    <sheet name="LI-IV-01 (1)" sheetId="83" r:id="rId7"/>
    <sheet name="TR-01 (1)" sheetId="88" r:id="rId8"/>
    <sheet name="TR-LICCSA-01 (1)" sheetId="122" r:id="rId9"/>
    <sheet name="TR-LITSA TRANSF.ET S.I.-01 (1)" sheetId="112" r:id="rId10"/>
    <sheet name="SA-01 (1)" sheetId="96" r:id="rId11"/>
    <sheet name="SA-01 (2)" sheetId="97" r:id="rId12"/>
    <sheet name="SA-ET ESPERANZA-01 (1)" sheetId="121" r:id="rId13"/>
    <sheet name="SA-LINSA-01 (1)" sheetId="117" r:id="rId14"/>
    <sheet name="SA-TIBA-01 (1)" sheetId="98" r:id="rId15"/>
    <sheet name="RE-01 (1)" sheetId="104" r:id="rId16"/>
    <sheet name="RE-01 (2)" sheetId="105" r:id="rId17"/>
    <sheet name="RE-Res.01_03" sheetId="58" r:id="rId18"/>
    <sheet name="RE-YACY-01 (1)" sheetId="106" r:id="rId19"/>
    <sheet name="RE-IV-01 (1)" sheetId="108" r:id="rId20"/>
    <sheet name="SUP-INTESAR 1" sheetId="60" r:id="rId21"/>
    <sheet name="SUP-LICCSA" sheetId="123" r:id="rId22"/>
    <sheet name="SUP-LITSA" sheetId="114" r:id="rId23"/>
    <sheet name="SUP-LINSA" sheetId="115" r:id="rId24"/>
    <sheet name="SUP-LITSA ET S.I." sheetId="111" r:id="rId25"/>
    <sheet name="SUP-TIBA" sheetId="118" r:id="rId26"/>
    <sheet name="SUP-YACYLEC" sheetId="119" r:id="rId27"/>
    <sheet name="DATO" sheetId="18" r:id="rId28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23">'SUP-LINSA'!$A$1:$AD$98</definedName>
    <definedName name="_xlnm.Print_Area" localSheetId="25">'SUP-TIBA'!$A$1:$W$71</definedName>
    <definedName name="_xlnm.Print_Area" localSheetId="26">'SUP-YACYLEC'!$A$1:$AD$82</definedName>
    <definedName name="DD" localSheetId="5">'LI-LITSA-01 (1)'!DD</definedName>
    <definedName name="DD" localSheetId="12">'SA-ET ESPERANZA-01 (1)'!DD</definedName>
    <definedName name="DD" localSheetId="13">'SA-LINSA-01 (1)'!DD</definedName>
    <definedName name="DD" localSheetId="21">'SUP-LICCSA'!DD</definedName>
    <definedName name="DD" localSheetId="23">'SUP-LINSA'!DD</definedName>
    <definedName name="DD" localSheetId="22">'SUP-LITSA'!DD</definedName>
    <definedName name="DD" localSheetId="24">'SUP-LITSA ET S.I.'!DD</definedName>
    <definedName name="DD" localSheetId="25">'SUP-TIBA'!DD</definedName>
    <definedName name="DD" localSheetId="26">'SUP-YACYLEC'!DD</definedName>
    <definedName name="DD" localSheetId="8">'TR-LICCSA-01 (1)'!DD</definedName>
    <definedName name="DD" localSheetId="9">'TR-LITSA TRANSF.ET S.I.-01 (1)'!DD</definedName>
    <definedName name="DD">[0]!DD</definedName>
    <definedName name="DDD" localSheetId="5">'LI-LITSA-01 (1)'!DDD</definedName>
    <definedName name="DDD" localSheetId="12">'SA-ET ESPERANZA-01 (1)'!DDD</definedName>
    <definedName name="DDD" localSheetId="13">'SA-LINSA-01 (1)'!DDD</definedName>
    <definedName name="DDD" localSheetId="21">'SUP-LICCSA'!DDD</definedName>
    <definedName name="DDD" localSheetId="23">'SUP-LINSA'!DDD</definedName>
    <definedName name="DDD" localSheetId="22">'SUP-LITSA'!DDD</definedName>
    <definedName name="DDD" localSheetId="24">'SUP-LITSA ET S.I.'!DDD</definedName>
    <definedName name="DDD" localSheetId="25">'SUP-TIBA'!DDD</definedName>
    <definedName name="DDD" localSheetId="26">'SUP-YACYLEC'!DDD</definedName>
    <definedName name="DDD" localSheetId="8">'TR-LICCSA-01 (1)'!DDD</definedName>
    <definedName name="DDD" localSheetId="9">'TR-LITSA TRANSF.ET S.I.-01 (1)'!DDD</definedName>
    <definedName name="DDD">[0]!DDD</definedName>
    <definedName name="DISTROCUYO" localSheetId="5">'LI-LITSA-01 (1)'!DISTROCUYO</definedName>
    <definedName name="DISTROCUYO" localSheetId="12">'SA-ET ESPERANZA-01 (1)'!DISTROCUYO</definedName>
    <definedName name="DISTROCUYO" localSheetId="13">'SA-LINSA-01 (1)'!DISTROCUYO</definedName>
    <definedName name="DISTROCUYO" localSheetId="21">'SUP-LICCSA'!DISTROCUYO</definedName>
    <definedName name="DISTROCUYO" localSheetId="23">'SUP-LINSA'!DISTROCUYO</definedName>
    <definedName name="DISTROCUYO" localSheetId="22">'SUP-LITSA'!DISTROCUYO</definedName>
    <definedName name="DISTROCUYO" localSheetId="24">'SUP-LITSA ET S.I.'!DISTROCUYO</definedName>
    <definedName name="DISTROCUYO" localSheetId="25">'SUP-TIBA'!DISTROCUYO</definedName>
    <definedName name="DISTROCUYO" localSheetId="26">'SUP-YACYLEC'!DISTROCUYO</definedName>
    <definedName name="DISTROCUYO" localSheetId="8">'TR-LICCSA-01 (1)'!DISTROCUYO</definedName>
    <definedName name="DISTROCUYO" localSheetId="9">'TR-LITSA TRANSF.ET S.I.-01 (1)'!DISTROCUYO</definedName>
    <definedName name="DISTROCUYO">[0]!DISTROCUYO</definedName>
    <definedName name="FER" localSheetId="5">'LI-LITSA-01 (1)'!FER</definedName>
    <definedName name="FER" localSheetId="12">'SA-ET ESPERANZA-01 (1)'!FER</definedName>
    <definedName name="FER" localSheetId="13">'SA-LINSA-01 (1)'!FER</definedName>
    <definedName name="FER" localSheetId="21">'SUP-LICCSA'!FER</definedName>
    <definedName name="FER" localSheetId="23">'SUP-LINSA'!FER</definedName>
    <definedName name="FER" localSheetId="22">'SUP-LITSA'!FER</definedName>
    <definedName name="FER" localSheetId="24">'SUP-LITSA ET S.I.'!FER</definedName>
    <definedName name="FER" localSheetId="25">'SUP-TIBA'!FER</definedName>
    <definedName name="FER" localSheetId="26">'SUP-YACYLEC'!FER</definedName>
    <definedName name="FER" localSheetId="8">'TR-LICCSA-01 (1)'!FER</definedName>
    <definedName name="FER" localSheetId="9">'TR-LITSA TRANSF.ET S.I.-01 (1)'!FER</definedName>
    <definedName name="FER">[0]!FER</definedName>
    <definedName name="INICIO" localSheetId="5">'LI-LITSA-01 (1)'!INICIO</definedName>
    <definedName name="INICIO" localSheetId="12">'SA-ET ESPERANZA-01 (1)'!INICIO</definedName>
    <definedName name="INICIO" localSheetId="13">'SA-LINSA-01 (1)'!INICIO</definedName>
    <definedName name="INICIO" localSheetId="21">'SUP-LICCSA'!INICIO</definedName>
    <definedName name="INICIO" localSheetId="23">'SUP-LINSA'!INICIO</definedName>
    <definedName name="INICIO" localSheetId="22">'SUP-LITSA'!INICIO</definedName>
    <definedName name="INICIO" localSheetId="24">'SUP-LITSA ET S.I.'!INICIO</definedName>
    <definedName name="INICIO" localSheetId="25">'SUP-TIBA'!INICIO</definedName>
    <definedName name="INICIO" localSheetId="26">'SUP-YACYLEC'!INICIO</definedName>
    <definedName name="INICIO" localSheetId="8">'TR-LICCSA-01 (1)'!INICIO</definedName>
    <definedName name="INICIO" localSheetId="9">'TR-LITSA TRANSF.ET S.I.-01 (1)'!INICIO</definedName>
    <definedName name="INICIO">[0]!INICIO</definedName>
    <definedName name="INICIOTI" localSheetId="5">'LI-LITSA-01 (1)'!INICIOTI</definedName>
    <definedName name="INICIOTI" localSheetId="12">'SA-ET ESPERANZA-01 (1)'!INICIOTI</definedName>
    <definedName name="INICIOTI" localSheetId="13">'SA-LINSA-01 (1)'!INICIOTI</definedName>
    <definedName name="INICIOTI" localSheetId="21">'SUP-LICCSA'!INICIOTI</definedName>
    <definedName name="INICIOTI" localSheetId="23">'SUP-LINSA'!INICIOTI</definedName>
    <definedName name="INICIOTI" localSheetId="22">'SUP-LITSA'!INICIOTI</definedName>
    <definedName name="INICIOTI" localSheetId="24">'SUP-LITSA ET S.I.'!INICIOTI</definedName>
    <definedName name="INICIOTI" localSheetId="25">'SUP-TIBA'!INICIOTI</definedName>
    <definedName name="INICIOTI" localSheetId="26">'SUP-YACYLEC'!INICIOTI</definedName>
    <definedName name="INICIOTI" localSheetId="8">'TR-LICCSA-01 (1)'!INICIOTI</definedName>
    <definedName name="INICIOTI" localSheetId="9">'TR-LITSA TRANSF.ET S.I.-01 (1)'!INICIOTI</definedName>
    <definedName name="INICIOTI">[0]!INICIOTI</definedName>
    <definedName name="LINEAS" localSheetId="5">'LI-LITSA-01 (1)'!LINEAS</definedName>
    <definedName name="LINEAS" localSheetId="12">'SA-ET ESPERANZA-01 (1)'!LINEAS</definedName>
    <definedName name="LINEAS" localSheetId="13">'SA-LINSA-01 (1)'!LINEAS</definedName>
    <definedName name="LINEAS" localSheetId="21">'SUP-LICCSA'!LINEAS</definedName>
    <definedName name="LINEAS" localSheetId="23">'SUP-LINSA'!LINEAS</definedName>
    <definedName name="LINEAS" localSheetId="22">'SUP-LITSA'!LINEAS</definedName>
    <definedName name="LINEAS" localSheetId="24">'SUP-LITSA ET S.I.'!LINEAS</definedName>
    <definedName name="LINEAS" localSheetId="25">'SUP-TIBA'!LINEAS</definedName>
    <definedName name="LINEAS" localSheetId="26">'SUP-YACYLEC'!LINEAS</definedName>
    <definedName name="LINEAS" localSheetId="8">'TR-LICCSA-01 (1)'!LINEAS</definedName>
    <definedName name="LINEAS" localSheetId="9">'TR-LITSA TRANSF.ET S.I.-01 (1)'!LINEAS</definedName>
    <definedName name="LINEAS">[0]!LINEAS</definedName>
    <definedName name="LINEASTI" localSheetId="5">'LI-LITSA-01 (1)'!LINEASTI</definedName>
    <definedName name="LINEASTI" localSheetId="12">'SA-ET ESPERANZA-01 (1)'!LINEASTI</definedName>
    <definedName name="LINEASTI" localSheetId="13">'SA-LINSA-01 (1)'!LINEASTI</definedName>
    <definedName name="LINEASTI" localSheetId="21">'SUP-LICCSA'!LINEASTI</definedName>
    <definedName name="LINEASTI" localSheetId="23">'SUP-LINSA'!LINEASTI</definedName>
    <definedName name="LINEASTI" localSheetId="22">'SUP-LITSA'!LINEASTI</definedName>
    <definedName name="LINEASTI" localSheetId="24">'SUP-LITSA ET S.I.'!LINEASTI</definedName>
    <definedName name="LINEASTI" localSheetId="25">'SUP-TIBA'!LINEASTI</definedName>
    <definedName name="LINEASTI" localSheetId="26">'SUP-YACYLEC'!LINEASTI</definedName>
    <definedName name="LINEASTI" localSheetId="8">'TR-LICCSA-01 (1)'!LINEASTI</definedName>
    <definedName name="LINEASTI" localSheetId="9">'TR-LITSA TRANSF.ET S.I.-01 (1)'!LINEASTI</definedName>
    <definedName name="LINEASTI">[0]!LINEASTI</definedName>
    <definedName name="NAME_L" localSheetId="5">'LI-LITSA-01 (1)'!NAME_L</definedName>
    <definedName name="NAME_L" localSheetId="12">'SA-ET ESPERANZA-01 (1)'!NAME_L</definedName>
    <definedName name="NAME_L" localSheetId="13">'SA-LINSA-01 (1)'!NAME_L</definedName>
    <definedName name="NAME_L" localSheetId="21">'SUP-LICCSA'!NAME_L</definedName>
    <definedName name="NAME_L" localSheetId="23">'SUP-LINSA'!NAME_L</definedName>
    <definedName name="NAME_L" localSheetId="22">'SUP-LITSA'!NAME_L</definedName>
    <definedName name="NAME_L" localSheetId="24">'SUP-LITSA ET S.I.'!NAME_L</definedName>
    <definedName name="NAME_L" localSheetId="25">'SUP-TIBA'!NAME_L</definedName>
    <definedName name="NAME_L" localSheetId="26">'SUP-YACYLEC'!NAME_L</definedName>
    <definedName name="NAME_L" localSheetId="8">'TR-LICCSA-01 (1)'!NAME_L</definedName>
    <definedName name="NAME_L" localSheetId="9">'TR-LITSA TRANSF.ET S.I.-01 (1)'!NAME_L</definedName>
    <definedName name="NAME_L">[0]!NAME_L</definedName>
    <definedName name="NAME_L_TI" localSheetId="5">'LI-LITSA-01 (1)'!NAME_L_TI</definedName>
    <definedName name="NAME_L_TI" localSheetId="12">'SA-ET ESPERANZA-01 (1)'!NAME_L_TI</definedName>
    <definedName name="NAME_L_TI" localSheetId="13">'SA-LINSA-01 (1)'!NAME_L_TI</definedName>
    <definedName name="NAME_L_TI" localSheetId="21">'SUP-LICCSA'!NAME_L_TI</definedName>
    <definedName name="NAME_L_TI" localSheetId="23">'SUP-LINSA'!NAME_L_TI</definedName>
    <definedName name="NAME_L_TI" localSheetId="22">'SUP-LITSA'!NAME_L_TI</definedName>
    <definedName name="NAME_L_TI" localSheetId="24">'SUP-LITSA ET S.I.'!NAME_L_TI</definedName>
    <definedName name="NAME_L_TI" localSheetId="25">'SUP-TIBA'!NAME_L_TI</definedName>
    <definedName name="NAME_L_TI" localSheetId="26">'SUP-YACYLEC'!NAME_L_TI</definedName>
    <definedName name="NAME_L_TI" localSheetId="8">'TR-LICCSA-01 (1)'!NAME_L_TI</definedName>
    <definedName name="NAME_L_TI" localSheetId="9">'TR-LITSA TRANSF.ET S.I.-01 (1)'!NAME_L_TI</definedName>
    <definedName name="NAME_L_TI">[0]!NAME_L_TI</definedName>
    <definedName name="TRAN" localSheetId="5">'LI-LITSA-01 (1)'!TRAN</definedName>
    <definedName name="TRAN" localSheetId="12">'SA-ET ESPERANZA-01 (1)'!TRAN</definedName>
    <definedName name="TRAN" localSheetId="13">'SA-LINSA-01 (1)'!TRAN</definedName>
    <definedName name="TRAN" localSheetId="21">'SUP-LICCSA'!TRAN</definedName>
    <definedName name="TRAN" localSheetId="23">'SUP-LINSA'!TRAN</definedName>
    <definedName name="TRAN" localSheetId="22">'SUP-LITSA'!TRAN</definedName>
    <definedName name="TRAN" localSheetId="24">'SUP-LITSA ET S.I.'!TRAN</definedName>
    <definedName name="TRAN" localSheetId="25">'SUP-TIBA'!TRAN</definedName>
    <definedName name="TRAN" localSheetId="26">'SUP-YACYLEC'!TRAN</definedName>
    <definedName name="TRAN" localSheetId="8">'TR-LICCSA-01 (1)'!TRAN</definedName>
    <definedName name="TRAN" localSheetId="9">'TR-LITSA TRANSF.ET S.I.-01 (1)'!TRAN</definedName>
    <definedName name="TRAN">[0]!TRAN</definedName>
    <definedName name="TRANSNOA" localSheetId="5">'LI-LITSA-01 (1)'!TRANSNOA</definedName>
    <definedName name="TRANSNOA" localSheetId="12">'SA-ET ESPERANZA-01 (1)'!TRANSNOA</definedName>
    <definedName name="TRANSNOA" localSheetId="13">'SA-LINSA-01 (1)'!TRANSNOA</definedName>
    <definedName name="TRANSNOA" localSheetId="21">'SUP-LICCSA'!TRANSNOA</definedName>
    <definedName name="TRANSNOA" localSheetId="23">'SUP-LINSA'!TRANSNOA</definedName>
    <definedName name="TRANSNOA" localSheetId="22">'SUP-LITSA'!TRANSNOA</definedName>
    <definedName name="TRANSNOA" localSheetId="24">'SUP-LITSA ET S.I.'!TRANSNOA</definedName>
    <definedName name="TRANSNOA" localSheetId="25">'SUP-TIBA'!TRANSNOA</definedName>
    <definedName name="TRANSNOA" localSheetId="26">'SUP-YACYLEC'!TRANSNOA</definedName>
    <definedName name="TRANSNOA" localSheetId="8">'TR-LICCSA-01 (1)'!TRANSNOA</definedName>
    <definedName name="TRANSNOA" localSheetId="9">'TR-LITSA TRANSF.ET S.I.-01 (1)'!TRANSNOA</definedName>
    <definedName name="TRANSNOA">[0]!TRANSNOA</definedName>
    <definedName name="TRANSPA" localSheetId="5">'LI-LITSA-01 (1)'!TRANSPA</definedName>
    <definedName name="TRANSPA" localSheetId="12">'SA-ET ESPERANZA-01 (1)'!TRANSPA</definedName>
    <definedName name="TRANSPA" localSheetId="13">'SA-LINSA-01 (1)'!TRANSPA</definedName>
    <definedName name="TRANSPA" localSheetId="21">'SUP-LICCSA'!TRANSPA</definedName>
    <definedName name="TRANSPA" localSheetId="23">'SUP-LINSA'!TRANSPA</definedName>
    <definedName name="TRANSPA" localSheetId="22">'SUP-LITSA'!TRANSPA</definedName>
    <definedName name="TRANSPA" localSheetId="24">'SUP-LITSA ET S.I.'!TRANSPA</definedName>
    <definedName name="TRANSPA" localSheetId="25">'SUP-TIBA'!TRANSPA</definedName>
    <definedName name="TRANSPA" localSheetId="26">'SUP-YACYLEC'!TRANSPA</definedName>
    <definedName name="TRANSPA" localSheetId="8">'TR-LICCSA-01 (1)'!TRANSPA</definedName>
    <definedName name="TRANSPA" localSheetId="9">'TR-LITSA TRANSF.ET S.I.-01 (1)'!TRANSPA</definedName>
    <definedName name="TRANSPA">[0]!TRANSPA</definedName>
    <definedName name="x" localSheetId="5">'LI-LITSA-01 (1)'!x</definedName>
    <definedName name="x" localSheetId="12">'SA-ET ESPERANZA-01 (1)'!x</definedName>
    <definedName name="x" localSheetId="13">'SA-LINSA-01 (1)'!x</definedName>
    <definedName name="x" localSheetId="21">'SUP-LICCSA'!x</definedName>
    <definedName name="x" localSheetId="23">'SUP-LINSA'!x</definedName>
    <definedName name="x" localSheetId="22">'SUP-LITSA'!x</definedName>
    <definedName name="x" localSheetId="24">'SUP-LITSA ET S.I.'!x</definedName>
    <definedName name="x" localSheetId="25">'SUP-TIBA'!x</definedName>
    <definedName name="x" localSheetId="26">'SUP-YACYLEC'!x</definedName>
    <definedName name="x" localSheetId="8">'TR-LICCSA-01 (1)'!x</definedName>
    <definedName name="x" localSheetId="9">'TR-LITSA TRANSF.ET S.I.-01 (1)'!x</definedName>
    <definedName name="x">[0]!x</definedName>
    <definedName name="XX" localSheetId="5">'LI-LITSA-01 (1)'!XX</definedName>
    <definedName name="XX" localSheetId="12">'SA-ET ESPERANZA-01 (1)'!XX</definedName>
    <definedName name="XX" localSheetId="13">'SA-LINSA-01 (1)'!XX</definedName>
    <definedName name="XX" localSheetId="21">'SUP-LICCSA'!XX</definedName>
    <definedName name="XX" localSheetId="23">'SUP-LINSA'!XX</definedName>
    <definedName name="XX" localSheetId="22">'SUP-LITSA'!XX</definedName>
    <definedName name="XX" localSheetId="24">'SUP-LITSA ET S.I.'!XX</definedName>
    <definedName name="XX" localSheetId="25">'SUP-TIBA'!XX</definedName>
    <definedName name="XX" localSheetId="26">'SUP-YACYLEC'!XX</definedName>
    <definedName name="XX" localSheetId="8">'TR-LICCSA-01 (1)'!XX</definedName>
    <definedName name="XX" localSheetId="9">'TR-LITSA TRANSF.ET S.I.-01 (1)'!XX</definedName>
    <definedName name="XX">[0]!XX</definedName>
  </definedNames>
  <calcPr calcId="152511"/>
</workbook>
</file>

<file path=xl/comments11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39,254</t>
        </r>
      </text>
    </comment>
  </commentList>
</comments>
</file>

<file path=xl/comments12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39,254</t>
        </r>
      </text>
    </comment>
  </commentList>
</comments>
</file>

<file path=xl/comments21.xml><?xml version="1.0" encoding="utf-8"?>
<comments xmlns="http://schemas.openxmlformats.org/spreadsheetml/2006/main">
  <authors>
    <author>Ing. Juan Messina</author>
  </authors>
  <commentList>
    <comment ref="M48" authorId="0">
      <text>
        <r>
          <rPr>
            <b/>
            <sz val="8"/>
            <rFont val="Tahoma"/>
            <family val="2"/>
          </rPr>
          <t>Ing. Juan Messina:
Anexo2,1 DTE
ATRAXX.TXT</t>
        </r>
      </text>
    </comment>
    <comment ref="M52" authorId="0">
      <text>
        <r>
          <rPr>
            <b/>
            <sz val="8"/>
            <rFont val="Tahoma"/>
            <family val="2"/>
          </rPr>
          <t>Ing. Juan Messina:
Anexo2,1 DTE
ATRAXX.TXT</t>
        </r>
      </text>
    </comment>
  </commentList>
</comments>
</file>

<file path=xl/comments22.xml><?xml version="1.0" encoding="utf-8"?>
<comments xmlns="http://schemas.openxmlformats.org/spreadsheetml/2006/main">
  <authors>
    <author>Ing. Juan Messina</author>
  </authors>
  <commentList>
    <comment ref="M66" authorId="0">
      <text>
        <r>
          <rPr>
            <b/>
            <sz val="8"/>
            <rFont val="Tahoma"/>
            <family val="2"/>
          </rPr>
          <t>Ing. Juan Messina:
Anexo2,1 DTE
ATRAXX.TXT</t>
        </r>
      </text>
    </comment>
  </commentList>
</comments>
</file>

<file path=xl/comments23.xml><?xml version="1.0" encoding="utf-8"?>
<comments xmlns="http://schemas.openxmlformats.org/spreadsheetml/2006/main">
  <authors>
    <author>Ing. Juan Messina</author>
  </authors>
  <commentList>
    <comment ref="M73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4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7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</commentList>
</comments>
</file>

<file path=xl/comments24.xml><?xml version="1.0" encoding="utf-8"?>
<comments xmlns="http://schemas.openxmlformats.org/spreadsheetml/2006/main">
  <authors>
    <author>Ing. Juan Messina</author>
  </authors>
  <commentList>
    <comment ref="M72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3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4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7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  <comment ref="M78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  <comment ref="M79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</commentList>
</comments>
</file>

<file path=xl/comments25.xml><?xml version="1.0" encoding="utf-8"?>
<comments xmlns="http://schemas.openxmlformats.org/spreadsheetml/2006/main">
  <authors>
    <author>Ing. Juan Messina</author>
  </authors>
  <commentList>
    <comment ref="M64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</commentList>
</comments>
</file>

<file path=xl/sharedStrings.xml><?xml version="1.0" encoding="utf-8"?>
<sst xmlns="http://schemas.openxmlformats.org/spreadsheetml/2006/main" count="2228" uniqueCount="481">
  <si>
    <t>LÍNEAS</t>
  </si>
  <si>
    <t>SALIDA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</si>
  <si>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</si>
  <si>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</si>
  <si>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</si>
  <si>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</si>
  <si>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</si>
  <si>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</si>
  <si>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</si>
  <si>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</si>
  <si>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</si>
  <si>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</si>
  <si>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</si>
  <si>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</si>
  <si>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</si>
  <si>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</si>
  <si>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</si>
  <si>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</si>
  <si>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</si>
  <si>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2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</si>
  <si>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</si>
  <si>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</si>
  <si>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</si>
  <si>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</si>
  <si>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</si>
  <si>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r>
      <t>(</t>
    </r>
    <r>
      <rPr>
        <sz val="7"/>
        <rFont val="Wingdings"/>
        <family val="2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</si>
  <si>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</si>
  <si>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</si>
  <si>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</si>
  <si>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</si>
  <si>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</si>
  <si>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</si>
  <si>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</si>
  <si>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</si>
  <si>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</si>
  <si>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</si>
  <si>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</si>
  <si>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</si>
  <si>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</si>
  <si>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</si>
  <si>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</si>
  <si>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</si>
  <si>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</si>
  <si>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</si>
  <si>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</si>
  <si>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</si>
  <si>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</si>
  <si>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</si>
  <si>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</si>
  <si>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</si>
  <si>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</si>
  <si>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</si>
  <si>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</si>
  <si>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</si>
  <si>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</si>
  <si>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</si>
  <si>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</si>
  <si>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</si>
  <si>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</si>
  <si>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</si>
  <si>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</si>
  <si>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</si>
  <si>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</si>
  <si>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</si>
  <si>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Transportista Independiente YACYLEC S.A.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</si>
  <si>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</si>
  <si>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</si>
  <si>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</si>
  <si>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</si>
  <si>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</si>
  <si>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</si>
  <si>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CL</t>
  </si>
  <si>
    <t>PENALIZACION FORZADA
Por Salida      1ras 5 hs.     hs. Restantes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</si>
  <si>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</si>
  <si>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</si>
  <si>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</si>
  <si>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</si>
  <si>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</si>
  <si>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</si>
  <si>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>TOTAL
PENALIZ.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</si>
  <si>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</si>
  <si>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</si>
  <si>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</si>
  <si>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</si>
  <si>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</si>
  <si>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</si>
  <si>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</si>
  <si>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</si>
  <si>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</si>
  <si>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3.2.-  Transportista Independiente YACYLEC S.A.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</si>
  <si>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</si>
  <si>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</si>
  <si>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</si>
  <si>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</si>
  <si>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</si>
  <si>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</si>
  <si>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</si>
  <si>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</si>
  <si>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</si>
  <si>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</si>
  <si>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</si>
  <si>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</si>
  <si>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</si>
  <si>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</si>
  <si>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</si>
  <si>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</si>
  <si>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Línea Rincón - Resistencia</t>
  </si>
  <si>
    <t>3 Líneas Rincón - Yacyretá</t>
  </si>
  <si>
    <t>e)</t>
  </si>
  <si>
    <t>SANCIÓN</t>
  </si>
  <si>
    <t>Sanción calculada</t>
  </si>
  <si>
    <t>SANCIÓN =</t>
  </si>
  <si>
    <t>Remuneración TRANSFORMADOR    =</t>
  </si>
  <si>
    <t>$/MVA</t>
  </si>
  <si>
    <t>Remuneración SALIDA 132 kV             =</t>
  </si>
  <si>
    <t>$/hora</t>
  </si>
  <si>
    <t>Remuneración SALIDA 500 kV             =</t>
  </si>
  <si>
    <t xml:space="preserve"> Rincón - Salto Grande</t>
  </si>
  <si>
    <t xml:space="preserve"> Rincón - San Isidro</t>
  </si>
  <si>
    <t>TRANSFORMADOR</t>
  </si>
  <si>
    <t>POT. [MVA]</t>
  </si>
  <si>
    <t>Rincón - TR06</t>
  </si>
  <si>
    <t>500/132</t>
  </si>
  <si>
    <t>Rincón</t>
  </si>
  <si>
    <t>Ituzaingó, Ita Ibate, Virasoro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</si>
  <si>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</si>
  <si>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</si>
  <si>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</si>
  <si>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</si>
  <si>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</si>
  <si>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</si>
  <si>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</si>
  <si>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</si>
  <si>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</si>
  <si>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</si>
  <si>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500/132/33</t>
  </si>
  <si>
    <r>
      <t>CS:</t>
    </r>
    <r>
      <rPr>
        <sz val="12"/>
        <rFont val="Times New Roman"/>
        <family val="1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</si>
  <si>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</si>
  <si>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</si>
  <si>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</si>
  <si>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</si>
  <si>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</si>
  <si>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</si>
  <si>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</si>
  <si>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</si>
  <si>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</si>
  <si>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</si>
  <si>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</si>
  <si>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Hoja</t>
  </si>
  <si>
    <t>MODELO L</t>
  </si>
  <si>
    <t>MODELO T</t>
  </si>
  <si>
    <t>MODELO S</t>
  </si>
  <si>
    <t>MODELO L YACYLEC</t>
  </si>
  <si>
    <t>MODELO L LITSA</t>
  </si>
  <si>
    <t>MODELO T LITSA</t>
  </si>
  <si>
    <t>MODELO T TIBA</t>
  </si>
  <si>
    <t>MODELO T ENECOR</t>
  </si>
  <si>
    <t>MODELO S TIBA</t>
  </si>
  <si>
    <t>MODELO S ENECOR</t>
  </si>
  <si>
    <t>MODELO R</t>
  </si>
  <si>
    <t>Mes</t>
  </si>
  <si>
    <t>Dia</t>
  </si>
  <si>
    <t>Año</t>
  </si>
  <si>
    <t>MODELO R YACYLEC</t>
  </si>
  <si>
    <t>MODELO R LITSA</t>
  </si>
  <si>
    <t>NombreHoja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</si>
  <si>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</si>
  <si>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</si>
  <si>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</si>
  <si>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</si>
  <si>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</si>
  <si>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</si>
  <si>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</si>
  <si>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</si>
  <si>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</si>
  <si>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</si>
  <si>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</si>
  <si>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</si>
  <si>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OrigenDeDatos</t>
  </si>
  <si>
    <t>Columnas</t>
  </si>
  <si>
    <t>FilasPlantilla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</si>
  <si>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</si>
  <si>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</si>
  <si>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</si>
  <si>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</si>
  <si>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</si>
  <si>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</si>
  <si>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</si>
  <si>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</si>
  <si>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Col10</t>
  </si>
  <si>
    <t>Col11</t>
  </si>
  <si>
    <t>Col12</t>
  </si>
  <si>
    <t>Col13</t>
  </si>
  <si>
    <t>Col14</t>
  </si>
  <si>
    <t>Col15</t>
  </si>
  <si>
    <t>Col00</t>
  </si>
  <si>
    <t>FilaInicio</t>
  </si>
  <si>
    <t>IV LINEA</t>
  </si>
  <si>
    <t>MODELO L IV</t>
  </si>
  <si>
    <t>SUP-YACYLEC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</si>
  <si>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</si>
  <si>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</si>
  <si>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</si>
  <si>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</si>
  <si>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</si>
  <si>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</si>
  <si>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</si>
  <si>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</si>
  <si>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</si>
  <si>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SUP-LITSA</t>
  </si>
  <si>
    <t>SUP-TIBA</t>
  </si>
  <si>
    <t>SUP-ENECOR</t>
  </si>
  <si>
    <t>B14</t>
  </si>
  <si>
    <t>SI</t>
  </si>
  <si>
    <t>MODELO R IV</t>
  </si>
  <si>
    <t>Total</t>
  </si>
  <si>
    <t>FILHTOTAL</t>
  </si>
  <si>
    <t>COLHTOTAL</t>
  </si>
  <si>
    <t>COLHCALC</t>
  </si>
  <si>
    <t>FILHCALC</t>
  </si>
  <si>
    <t>COLTRANSP</t>
  </si>
  <si>
    <t>FILTRANSP</t>
  </si>
  <si>
    <t>TOTAL A PENALIZAR A TRANSENER S.A POR SUPERVISIÓN A INTESAR</t>
  </si>
  <si>
    <t xml:space="preserve"> 2.2.- SALIDAS</t>
  </si>
  <si>
    <t>2.1.- TRANSFORMACIÓN</t>
  </si>
  <si>
    <t>2.1.1.- Equipamiento Propio</t>
  </si>
  <si>
    <t xml:space="preserve">3.- POTENCIA REACTIVA </t>
  </si>
  <si>
    <t>3.1.1- Equipamiento propio Res. 01_03</t>
  </si>
  <si>
    <t>REM ($/h*MVAr)</t>
  </si>
  <si>
    <t>Equipamiento propio Res. ENRE 01/2003</t>
  </si>
  <si>
    <t>500/330/33</t>
  </si>
  <si>
    <t>Nueva P. Madryn AT1</t>
  </si>
  <si>
    <t>Rest %</t>
  </si>
  <si>
    <t>REDUC PROGR</t>
  </si>
  <si>
    <t>Transportista Independiente L.I.T.S.A.</t>
  </si>
  <si>
    <t>RESISTENCIA CAP</t>
  </si>
  <si>
    <t>K2RS</t>
  </si>
  <si>
    <t>PENAL.FORZADA x Sal hs. Restantes</t>
  </si>
  <si>
    <t>RED.FORZADA
x Sal hs. Restantes</t>
  </si>
  <si>
    <t>Campana trafos</t>
  </si>
  <si>
    <t>COL TSAL</t>
  </si>
  <si>
    <t>POT.
[MVAr]</t>
  </si>
  <si>
    <t>INDISP</t>
  </si>
  <si>
    <t>ID EQUIPO</t>
  </si>
  <si>
    <t>MODELO L LIMSA</t>
  </si>
  <si>
    <t>MODELO T LIMSA</t>
  </si>
  <si>
    <t>SUP-LIMSA</t>
  </si>
  <si>
    <t>MODELO L INTESAR</t>
  </si>
  <si>
    <t>MODELO L CUYANA</t>
  </si>
  <si>
    <t>MODELO T CUYANA</t>
  </si>
  <si>
    <t>MODELO S TESA</t>
  </si>
  <si>
    <t>MODELO S CTM</t>
  </si>
  <si>
    <t>SUP-TESA</t>
  </si>
  <si>
    <t>SUP-CTM</t>
  </si>
  <si>
    <t>SUP-CUYANA</t>
  </si>
  <si>
    <t>SUP-INTESAR</t>
  </si>
  <si>
    <t>MODELO T INTESAR</t>
  </si>
  <si>
    <t>DAG</t>
  </si>
  <si>
    <t>MODELO VST</t>
  </si>
  <si>
    <t>TRANSENER_CAUSAS_VST.XLS</t>
  </si>
  <si>
    <t>Col09</t>
  </si>
  <si>
    <t>-</t>
  </si>
  <si>
    <t>MODELO S LIMSA</t>
  </si>
  <si>
    <t>MODELO S LITSA</t>
  </si>
  <si>
    <t>TRANSENER_INDISPONIBILIDADES_LINEAS_TRANSENER.XLS</t>
  </si>
  <si>
    <t>TRANSENER_INDISPONIBILIDADES_LINEAS_YACYLEC.XLS</t>
  </si>
  <si>
    <t>TRANSENER_INDISPONIBILIDADES_LINEAS_LITSA.XLS</t>
  </si>
  <si>
    <t>TRANSENER_INDISPONIBILIDADES_LINEAS_IV.XLS</t>
  </si>
  <si>
    <t>TRANSENER_INDISPONIBILIDADES_LINEAS_INTESAR.XLS</t>
  </si>
  <si>
    <t>TRANSENER_INDISPONIBILIDADES_LINEAS_CUYANA.XLS</t>
  </si>
  <si>
    <t>TRANSENER_INDISPONIBILIDADES_LINEAS_LIMSA.XLS</t>
  </si>
  <si>
    <t>TRANSENER_INDISPONIBILIDADES_TRAFOS_TRANSENER.XLS</t>
  </si>
  <si>
    <t>TRANSENER_INDISPONIBILIDADES_TRAFOS_LITSA.XLS</t>
  </si>
  <si>
    <t>TRANSENER_INDISPONIBILIDADES_TRAFOS_TIBA.XLS</t>
  </si>
  <si>
    <t>TRANSENER_INDISPONIBILIDADES_TRAFOS_ENECOR.XLS</t>
  </si>
  <si>
    <t>TRANSENER_INDISPONIBILIDADES_TRAFOS_INTESAR.XLS</t>
  </si>
  <si>
    <t>TRANSENER_INDISPONIBILIDADES_TRAFOS_LIMSA.XLS</t>
  </si>
  <si>
    <t>TRANSENER_INDISPONIBILIDADES_TRAFOS_CUYANA.XLS</t>
  </si>
  <si>
    <t>TRANSENER_INDISPONIBILIDADES_SALIDAS_TRANSENER.XLS</t>
  </si>
  <si>
    <t>TRANSENER_INDISPONIBILIDADES_SALIDAS_TIBA.XLS</t>
  </si>
  <si>
    <t>TRANSENER_INDISPONIBILIDADES_SALIDAS_ENECOR.XLS</t>
  </si>
  <si>
    <t>TRANSENER_INDISPONIBILIDADES_SALIDAS_LITSA.XLS</t>
  </si>
  <si>
    <t>TRANSENER_INDISPONIBILIDADES_SALIDAS_LIMSA.XLS</t>
  </si>
  <si>
    <t>TRANSENER_INDISPONIBILIDADES_SALIDAS_TESA.XLS</t>
  </si>
  <si>
    <t>TRANSENER_INDISPONIBILIDADES_SALIDAS_CTM.XLS</t>
  </si>
  <si>
    <t>TRANSENER_INDISPONIBILIDADES_REACTIVOS_TRANSENER.XLS</t>
  </si>
  <si>
    <t>TRANSENER_INDISPONIBILIDADES_REACTIVOS_YACYLEC.XLS</t>
  </si>
  <si>
    <t>TRANSENER_INDISPONIBILIDADES_REACTIVOS_LITSA.XLS</t>
  </si>
  <si>
    <t>TRANSENER_INDISPONIBILIDADES_REACTIVOS_IV.XLS</t>
  </si>
  <si>
    <t>TRANSENER_INDISPONIBILIDADES_DAG.XLS</t>
  </si>
  <si>
    <t>MODELO L RIOJA</t>
  </si>
  <si>
    <t>TRANSENER_INDISPONIBILIDADES_LINEAS_RIOJA.XLS</t>
  </si>
  <si>
    <t>MODELO T COBRA</t>
  </si>
  <si>
    <t>TRANSENER_INDISPONIBILIDADES_TRAFOS_COBRA.XLS</t>
  </si>
  <si>
    <t>SUP-RIOJA</t>
  </si>
  <si>
    <t>SUP-COBRA</t>
  </si>
  <si>
    <t>MODELO R LIMSA</t>
  </si>
  <si>
    <t>TRANSENER_INDISPONIBILIDADES_REACTIVOS_LIMSA.XLS</t>
  </si>
  <si>
    <t>TOTAL A PENALIZAR A TRANSENER S.A POR SUPERVISIÓN A LITSA</t>
  </si>
  <si>
    <t>TOTAL A PENALIZAR A TRANSENER S.A POR SUPERVISIÓN A TIBA</t>
  </si>
  <si>
    <t>TOTAL A PENALIZAR A TRANSENER S.A POR SUPERVISIÓN A YACYLEC</t>
  </si>
  <si>
    <t>Desde el 01 al 31 de enero de 2016</t>
  </si>
  <si>
    <t>ROSARIO OESTE - RAMALLO 1</t>
  </si>
  <si>
    <t>C</t>
  </si>
  <si>
    <t>P</t>
  </si>
  <si>
    <t>MACACHIN - HENDERSON 2</t>
  </si>
  <si>
    <t>A</t>
  </si>
  <si>
    <t>ROSARIO OESTE - RAMALLO 2</t>
  </si>
  <si>
    <t>F</t>
  </si>
  <si>
    <t>GRAL. RODRIGUEZ - CAMPANA</t>
  </si>
  <si>
    <t>ROMANG - RESISTENCIA</t>
  </si>
  <si>
    <t>0,00</t>
  </si>
  <si>
    <t>EZEIZA - RODRIGUEZ 1</t>
  </si>
  <si>
    <t>RAMALLO - ROSARIO OESTE</t>
  </si>
  <si>
    <t>B</t>
  </si>
  <si>
    <t>RAMALLO - VILLA LIA  2</t>
  </si>
  <si>
    <t>GRAL. RODRIGUEZ - VILLA  LIA 2</t>
  </si>
  <si>
    <t>RINCON - SALTO GRANDE</t>
  </si>
  <si>
    <t>OLAVARRIA - BAHIA BLANCA 2</t>
  </si>
  <si>
    <t>ROSARIO OESTE</t>
  </si>
  <si>
    <t>TRAFO 2</t>
  </si>
  <si>
    <t>OLAVARRIA</t>
  </si>
  <si>
    <t>SALIDA ACOPLAMIENTO B-D</t>
  </si>
  <si>
    <t>VILLA LIA</t>
  </si>
  <si>
    <t>SALIDA TRAFO 220/132/13,2</t>
  </si>
  <si>
    <t>SANTO TOME</t>
  </si>
  <si>
    <t>SALIDA LINEA ESPERANZA</t>
  </si>
  <si>
    <t>SALIDA LINEA ROSARIO SUR 2</t>
  </si>
  <si>
    <t>GRAN MENDOZA</t>
  </si>
  <si>
    <t>SALIDA LINEA A CRUZ DE PIEDRA 2</t>
  </si>
  <si>
    <t>RESISTENCIA</t>
  </si>
  <si>
    <t>CHOCON OESTE</t>
  </si>
  <si>
    <t>SALIDA LINEA CHOCON</t>
  </si>
  <si>
    <t>RECREO</t>
  </si>
  <si>
    <t>ALIMENTADOR A CATAMARCA</t>
  </si>
  <si>
    <t>SALIDA LINEA SAN LORENZO</t>
  </si>
  <si>
    <t xml:space="preserve">BAHIA BLANCA </t>
  </si>
  <si>
    <t>SALIDA A COOP. P. ALTA</t>
  </si>
  <si>
    <t xml:space="preserve">CAMPANA </t>
  </si>
  <si>
    <t>SALIDA PRAXAIR</t>
  </si>
  <si>
    <t>BAHIA BLANCA</t>
  </si>
  <si>
    <t>SALIDA a Norte II</t>
  </si>
  <si>
    <t>SALIDA A PRINGLES</t>
  </si>
  <si>
    <t>SALIDA A AZUL</t>
  </si>
  <si>
    <t>SALIDA A OLAVARRIA</t>
  </si>
  <si>
    <t>0,000</t>
  </si>
  <si>
    <t xml:space="preserve">EZEIZA </t>
  </si>
  <si>
    <t>CS1</t>
  </si>
  <si>
    <t>PUELCHES</t>
  </si>
  <si>
    <t>R4L5PU</t>
  </si>
  <si>
    <t>CHOELE CHOEL</t>
  </si>
  <si>
    <t>CS5</t>
  </si>
  <si>
    <t>CS6</t>
  </si>
  <si>
    <t>CS3</t>
  </si>
  <si>
    <t>CS4</t>
  </si>
  <si>
    <t xml:space="preserve">ALMAFUERTE </t>
  </si>
  <si>
    <t>R1T2AM</t>
  </si>
  <si>
    <t xml:space="preserve"> - </t>
  </si>
  <si>
    <r>
      <t>CS:</t>
    </r>
    <r>
      <rPr>
        <sz val="12"/>
        <rFont val="Times New Roman"/>
        <family val="1"/>
      </rPr>
      <t xml:space="preserve"> es el cargo por supervisión de la operación que la concesionaria percibe por supervisar la operación y mantenimiento del transportista independiente, establecido en el reglamento de acceso.</t>
    </r>
  </si>
  <si>
    <t>SALTO GRANDE</t>
  </si>
  <si>
    <t>TRAFO 1</t>
  </si>
  <si>
    <t>NO</t>
  </si>
  <si>
    <t>San Isidro - TR01 y TR02</t>
  </si>
  <si>
    <t>RM * =</t>
  </si>
  <si>
    <t>TOTAL A PENALIZAR A TRANSENER S.A POR SUPERVISIÓN A LITSA TRANSF. ET SAN ISIDRO</t>
  </si>
  <si>
    <r>
      <t>RM *</t>
    </r>
    <r>
      <rPr>
        <sz val="14"/>
        <rFont val="Times New Roman"/>
        <family val="1"/>
      </rPr>
      <t xml:space="preserve"> =  VALOR EMPLEADO PARA CALCULAR   </t>
    </r>
    <r>
      <rPr>
        <b/>
        <sz val="14"/>
        <rFont val="Times New Roman"/>
        <family val="1"/>
      </rPr>
      <t>CS</t>
    </r>
  </si>
  <si>
    <t>Por Transformador por cada MVA  $   =</t>
  </si>
  <si>
    <t>SAN ISIDRO</t>
  </si>
  <si>
    <r>
      <t>(</t>
    </r>
    <r>
      <rPr>
        <sz val="9"/>
        <rFont val="Wingdings"/>
        <family val="2"/>
      </rPr>
      <t>²</t>
    </r>
    <r>
      <rPr>
        <sz val="9"/>
        <rFont val="Times New Roman"/>
        <family val="1"/>
      </rPr>
      <t>)</t>
    </r>
  </si>
  <si>
    <t>P - PROGRAMADA</t>
  </si>
  <si>
    <t>1.4.- Transportista Independiente L.I.T.S.A.</t>
  </si>
  <si>
    <t>P - PROGRAMADA  ; F - FORZADA</t>
  </si>
  <si>
    <t>RINCON</t>
  </si>
  <si>
    <t>Salida a campos 8 y 12</t>
  </si>
  <si>
    <t>POT. [MVAr]</t>
  </si>
  <si>
    <r>
      <t>RM</t>
    </r>
    <r>
      <rPr>
        <sz val="12"/>
        <rFont val="Times New Roman"/>
        <family val="1"/>
      </rPr>
      <t xml:space="preserve"> por Reactivos</t>
    </r>
  </si>
  <si>
    <t>Salto Gde.Arg.</t>
  </si>
  <si>
    <t>GRAN FORMOSA</t>
  </si>
  <si>
    <t xml:space="preserve"> Resistencia - Gran Formosa</t>
  </si>
  <si>
    <t>Chaco - Resistencia</t>
  </si>
  <si>
    <t>Monte Quemado - Chaco</t>
  </si>
  <si>
    <t>G.Formosa - Trafo 1</t>
  </si>
  <si>
    <t>Chaco - Trafo 1</t>
  </si>
  <si>
    <t>Monte Quemado</t>
  </si>
  <si>
    <t>Gran Formosa</t>
  </si>
  <si>
    <t>Pirane</t>
  </si>
  <si>
    <t>Clorinda 1</t>
  </si>
  <si>
    <t>Clorinda 2</t>
  </si>
  <si>
    <t>Formosa 1</t>
  </si>
  <si>
    <t>Formosa 2</t>
  </si>
  <si>
    <t>Chaco</t>
  </si>
  <si>
    <t>Charata</t>
  </si>
  <si>
    <t>Presidencia R.S. Peña</t>
  </si>
  <si>
    <t>monte Quemado</t>
  </si>
  <si>
    <t>Copo</t>
  </si>
  <si>
    <t>RM  =</t>
  </si>
  <si>
    <r>
      <t xml:space="preserve">RM * </t>
    </r>
    <r>
      <rPr>
        <sz val="14"/>
        <rFont val="Times New Roman"/>
        <family val="1"/>
      </rPr>
      <t xml:space="preserve">= VALOR EMPLEADO PARA CALCULAR </t>
    </r>
    <r>
      <rPr>
        <b/>
        <sz val="14"/>
        <rFont val="Times New Roman"/>
        <family val="1"/>
      </rPr>
      <t>CS</t>
    </r>
  </si>
  <si>
    <t>RM: Por Capacitores ET  B. Blanca:</t>
  </si>
  <si>
    <t>100 MVAr</t>
  </si>
  <si>
    <t>RM *  =</t>
  </si>
  <si>
    <t>Remuneración LÍNEAS 500 kV   =</t>
  </si>
  <si>
    <t>Remuneración SALIDAS 500 kV =</t>
  </si>
  <si>
    <t>Remuneración REACTIVOS    =</t>
  </si>
  <si>
    <t>Coeficiente de penalización forzada=</t>
  </si>
  <si>
    <t>R9L5RI</t>
  </si>
  <si>
    <t>Resistencia</t>
  </si>
  <si>
    <t>Yacyretá</t>
  </si>
  <si>
    <r>
      <t>RM *</t>
    </r>
    <r>
      <rPr>
        <sz val="14"/>
        <rFont val="Times New Roman"/>
        <family val="1"/>
      </rPr>
      <t xml:space="preserve"> =   VALOR EMPLEADO PARA CALCULAR    </t>
    </r>
    <r>
      <rPr>
        <b/>
        <sz val="14"/>
        <rFont val="Times New Roman"/>
        <family val="1"/>
      </rPr>
      <t>CS</t>
    </r>
  </si>
  <si>
    <t>R6L5RS</t>
  </si>
  <si>
    <t>Transp. Indep. L.I.T.S.A. TRANSF. S.I.</t>
  </si>
  <si>
    <t>Transportista Independiente INTESAR 1</t>
  </si>
  <si>
    <t>CHOELE CHOEL - N. P. MADRYN</t>
  </si>
  <si>
    <t>N. P. MADRYN - SANTA CRUZ NORTE   1</t>
  </si>
  <si>
    <t>CHOELE CHOEL - PI. 608 CHOELE    2</t>
  </si>
  <si>
    <t>F - FORZADA</t>
  </si>
  <si>
    <t>SALIDA CLORINDA 1</t>
  </si>
  <si>
    <t>Transportista Independiente INTESAR 3</t>
  </si>
  <si>
    <t>Transportista Independiente LICCSA</t>
  </si>
  <si>
    <t>Transportista Independiente LINSA</t>
  </si>
  <si>
    <t>Transp. Indep. LITSA TRANSF. ET SAN ISIDRO</t>
  </si>
  <si>
    <t>PI. 608 CHOELE - C.T. G. BROWN</t>
  </si>
  <si>
    <t xml:space="preserve"> F - FORZADA</t>
  </si>
  <si>
    <t>220/132/13,2</t>
  </si>
  <si>
    <t xml:space="preserve"> 2.2.2.- Transp. Indep. ET La Esperanza</t>
  </si>
  <si>
    <t>ESPERANZA</t>
  </si>
  <si>
    <t>SALIDA RIO GALLEGOS</t>
  </si>
  <si>
    <t>SALIDA RIO TURBIO</t>
  </si>
  <si>
    <t xml:space="preserve"> Transp. Indep. ET LA ESPERANZA</t>
  </si>
  <si>
    <t>B. BLANCA</t>
  </si>
  <si>
    <t>R2L5BB</t>
  </si>
  <si>
    <t>R. OESTE</t>
  </si>
  <si>
    <t>R2L5RO</t>
  </si>
  <si>
    <t>ALMAFUERTE</t>
  </si>
  <si>
    <t>R1L5AM</t>
  </si>
  <si>
    <t>R1L5RE</t>
  </si>
  <si>
    <t>CAP SERIE</t>
  </si>
  <si>
    <t>OLAV 500</t>
  </si>
  <si>
    <t>CHOEL 500</t>
  </si>
  <si>
    <t>R. CORONDA</t>
  </si>
  <si>
    <t>R1L5CN</t>
  </si>
  <si>
    <t>RIO DIAMANTE</t>
  </si>
  <si>
    <t>500/220/33</t>
  </si>
  <si>
    <t>4.2.- Transportista Independiente LICCSA</t>
  </si>
  <si>
    <t>Remuneración CONEXIÓN de 220 kV      =</t>
  </si>
  <si>
    <t>Coef.penalización por salida forzada   =</t>
  </si>
  <si>
    <t>Río Diamante-T1RDI</t>
  </si>
  <si>
    <t>Río Diamante</t>
  </si>
  <si>
    <t>Los Reyunos</t>
  </si>
  <si>
    <r>
      <t xml:space="preserve">  RM *</t>
    </r>
    <r>
      <rPr>
        <sz val="12"/>
        <rFont val="Times New Roman"/>
        <family val="1"/>
      </rPr>
      <t xml:space="preserve"> = valor empleado para calcular </t>
    </r>
    <r>
      <rPr>
        <b/>
        <sz val="12"/>
        <rFont val="Times New Roman"/>
        <family val="1"/>
      </rPr>
      <t>CS</t>
    </r>
  </si>
  <si>
    <t>Remuneración LINEA   =</t>
  </si>
  <si>
    <t>Gran Mendoza - Diamante</t>
  </si>
  <si>
    <t>TRAFOS</t>
  </si>
  <si>
    <t xml:space="preserve"> P - PROGRAMADA</t>
  </si>
  <si>
    <t>TOTAL A PENALIZAR A TRANSENER S.A POR SUPERVISIÓN A LICCSA</t>
  </si>
  <si>
    <t>Choele Choel - N. P.Madryn</t>
  </si>
  <si>
    <t>RM</t>
  </si>
  <si>
    <t>2.1.2.- Transportista Independiente LICCSA</t>
  </si>
  <si>
    <t>2.1.4.- Transportista Independiente LITSA -TRANSF. E.T. SAN ISIDRO</t>
  </si>
  <si>
    <t xml:space="preserve"> 2.2.3.- Transportista Independiente LINSA</t>
  </si>
  <si>
    <t xml:space="preserve"> 2.2.4.- Transportista Independiente TIBA S.A.</t>
  </si>
  <si>
    <t>3.3.- IV LINEA</t>
  </si>
  <si>
    <t>1.2.- Transportista Independiente INTESAR 1 (Choele Choel - N. P. Madryn)</t>
  </si>
  <si>
    <t>1.3.- Transportista Independiente INTESAR 3 (N. P. Madryn - Santa Cruz Norte)</t>
  </si>
  <si>
    <t>1.5.- IV LINEA</t>
  </si>
  <si>
    <t>RAMALLO</t>
  </si>
  <si>
    <t>SALIDA SIDERAR</t>
  </si>
  <si>
    <t>ALMAFUERTE - ARROYO CABRAL   1</t>
  </si>
  <si>
    <t>ROSARIO OESTE - T ACINDAR - RAMALLO   2</t>
  </si>
  <si>
    <t>ROSARIO OESTE - RIO CORONDA</t>
  </si>
  <si>
    <t>ROSARIO OESTE  - ARROYO CABRAL   1</t>
  </si>
  <si>
    <t>GRAL. RODRIGUEZ - N. CAMPANA</t>
  </si>
  <si>
    <t>TOTAL A PENALIZAR A TRANSENER S.A POR SUPERVISIÓN A LINSA</t>
  </si>
  <si>
    <t>4.1.- Transportista Independiente INTESAR 1</t>
  </si>
  <si>
    <t>4.3.- Transportista Independiente L.I.T.S.A.</t>
  </si>
  <si>
    <t>4.4.- Transportista Independiente LINSA  (Gran Formosa - Resistencia  - M. Quemado)</t>
  </si>
  <si>
    <t>4.5.- Transportista Independiente L.I.T.S.A. TRANSF. ET SAN ISIDRO</t>
  </si>
  <si>
    <t>4.6.- Transportista Independiente  TIBA S.A.</t>
  </si>
  <si>
    <t>4.7.- Transportista Independiente YACYLEC S.A.</t>
  </si>
  <si>
    <t>TOTAL DE PENALIZACIONES A APLICAR</t>
  </si>
  <si>
    <t>Valores remuneratorios según Acuerdo SEE-ENRE-TRANSENER - 2016-2017 y Acuerdo SEE-ENRE-TRANSBA - 2016-2017</t>
  </si>
  <si>
    <t>ANEXO II al Memorándum D.T.E.E. N° 231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</si>
</sst>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164" formatCode="0_)"/>
    <numFmt numFmtId="165" formatCode="0.0_)"/>
    <numFmt numFmtId="166" formatCode="0.00_)"/>
    <numFmt numFmtId="167" formatCode="0.0"/>
    <numFmt numFmtId="168" formatCode="0.000_)"/>
    <numFmt numFmtId="169" formatCode="0.000"/>
    <numFmt numFmtId="170" formatCode="#&quot;.&quot;#&quot;.-&quot;"/>
    <numFmt numFmtId="171" formatCode="#&quot;.&quot;#&quot;.&quot;#&quot;.-&quot;"/>
    <numFmt numFmtId="172" formatCode="&quot;$&quot;#,##0.00;&quot;$&quot;\-#,##0.00"/>
    <numFmt numFmtId="173" formatCode="0.0000"/>
  </numFmts>
  <fonts count="118">
    <font>
      <sz val="10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2"/>
    </font>
    <font>
      <sz val="10"/>
      <name val="Wingdings"/>
      <family val="2"/>
    </font>
    <font>
      <sz val="7"/>
      <name val="Times New Roman"/>
      <family val="1"/>
    </font>
    <font>
      <sz val="7"/>
      <name val="Wingdings"/>
      <family val="2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1"/>
    </font>
    <font>
      <b/>
      <sz val="16"/>
      <name val="Times New Roman"/>
      <family val="1"/>
    </font>
    <font>
      <sz val="16"/>
      <name val="MS Sans Serif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1"/>
    </font>
    <font>
      <sz val="10"/>
      <color indexed="13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2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1"/>
    </font>
    <font>
      <b/>
      <sz val="10"/>
      <color indexed="4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1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8"/>
      <color indexed="10"/>
      <name val="MS Sans Serif"/>
      <family val="2"/>
    </font>
    <font>
      <sz val="8"/>
      <name val="MS Sans Serif"/>
      <family val="2"/>
    </font>
    <font>
      <sz val="8"/>
      <color indexed="50"/>
      <name val="MS Sans Serif"/>
      <family val="2"/>
    </font>
    <font>
      <sz val="8"/>
      <color indexed="56"/>
      <name val="MS Sans Serif"/>
      <family val="2"/>
    </font>
    <font>
      <sz val="8"/>
      <color indexed="18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Wingdings"/>
      <family val="2"/>
    </font>
    <font>
      <sz val="9"/>
      <name val="Courier New"/>
      <family val="3"/>
    </font>
    <font>
      <sz val="12"/>
      <name val="Cambria"/>
      <family val="1"/>
    </font>
    <font>
      <b/>
      <sz val="10"/>
      <name val="MS Sans Serif"/>
      <family val="2"/>
    </font>
    <font>
      <sz val="10"/>
      <color rgb="FF000000"/>
      <name val="MS Sans Serif"/>
      <family val="2"/>
    </font>
    <font>
      <b/>
      <sz val="12"/>
      <name val="MS Sans Serif"/>
      <family val="2"/>
    </font>
    <font>
      <i/>
      <sz val="14"/>
      <name val="Times New Roman"/>
      <family val="1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77">
    <border>
      <left/>
      <right/>
      <top/>
      <bottom/>
      <diagonal/>
    </border>
    <border>
      <left/>
      <right style="thick"/>
      <top/>
      <bottom/>
    </border>
    <border>
      <left style="double"/>
      <right style="double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 style="double"/>
      <right style="double"/>
      <top style="double"/>
      <bottom style="thin"/>
    </border>
    <border>
      <left style="double"/>
      <right/>
      <top/>
      <bottom style="double"/>
    </border>
    <border>
      <left style="double"/>
      <right style="double"/>
      <top style="thin"/>
      <bottom style="thin"/>
    </border>
    <border>
      <left/>
      <right style="double"/>
      <top/>
      <bottom style="double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/>
      <bottom style="thick"/>
    </border>
    <border>
      <left/>
      <right style="thick"/>
      <top style="double"/>
      <bottom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double"/>
      <top/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/>
      <bottom/>
    </border>
    <border>
      <left style="thin"/>
      <right style="double"/>
      <top/>
      <bottom style="thin"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 style="thin"/>
      <bottom style="thin"/>
    </border>
    <border>
      <left/>
      <right/>
      <top/>
      <bottom style="thin"/>
    </border>
    <border>
      <left style="double"/>
      <right style="thick"/>
      <top/>
      <bottom/>
    </border>
    <border>
      <left/>
      <right/>
      <top/>
      <bottom style="double"/>
    </border>
    <border>
      <left style="thick"/>
      <right style="thick"/>
      <top/>
      <bottom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/>
      <top style="thin"/>
      <bottom style="double"/>
    </border>
    <border>
      <left style="thin"/>
      <right style="thin"/>
      <top style="double"/>
      <bottom style="thin"/>
    </border>
    <border>
      <left style="double"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/>
      <top style="thin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6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6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6" fontId="0" fillId="0" borderId="0" applyFont="0" applyFill="0" applyBorder="0" applyAlignment="0" applyProtection="0"/>
  </cellStyleXfs>
  <cellXfs count="3597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 applyProtection="1" quotePrefix="1">
      <alignment horizontal="center"/>
      <protection/>
    </xf>
    <xf numFmtId="166" fontId="4" fillId="0" borderId="3" xfId="0" applyNumberFormat="1" applyFont="1" applyBorder="1" applyAlignment="1" applyProtection="1">
      <alignment horizontal="center"/>
      <protection/>
    </xf>
    <xf numFmtId="0" fontId="4" fillId="0" borderId="2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/>
    <xf numFmtId="166" fontId="4" fillId="0" borderId="2" xfId="0" applyNumberFormat="1" applyFont="1" applyFill="1" applyBorder="1" applyAlignment="1" applyProtection="1">
      <alignment horizontal="center"/>
      <protection/>
    </xf>
    <xf numFmtId="3" fontId="4" fillId="0" borderId="2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/>
    <xf numFmtId="4" fontId="7" fillId="0" borderId="4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12" fillId="0" borderId="0" xfId="0" applyFont="1"/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Fill="1" applyBorder="1" applyAlignment="1" applyProtection="1">
      <alignment horizontal="centerContinuous"/>
      <protection/>
    </xf>
    <xf numFmtId="0" fontId="15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Border="1"/>
    <xf numFmtId="0" fontId="16" fillId="0" borderId="0" xfId="0" applyFont="1" applyFill="1" applyBorder="1" applyAlignment="1" applyProtection="1">
      <alignment horizontal="left"/>
      <protection/>
    </xf>
    <xf numFmtId="0" fontId="12" fillId="0" borderId="0" xfId="0" applyFont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/>
    <xf numFmtId="0" fontId="19" fillId="0" borderId="0" xfId="0" applyFont="1"/>
    <xf numFmtId="0" fontId="19" fillId="0" borderId="0" xfId="0" applyFont="1" applyBorder="1"/>
    <xf numFmtId="0" fontId="19" fillId="0" borderId="5" xfId="0" applyFont="1" applyBorder="1"/>
    <xf numFmtId="0" fontId="19" fillId="0" borderId="6" xfId="0" applyFont="1" applyBorder="1"/>
    <xf numFmtId="0" fontId="20" fillId="0" borderId="0" xfId="0" applyFont="1"/>
    <xf numFmtId="0" fontId="21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0" fillId="0" borderId="0" xfId="0" applyNumberFormat="1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20" fillId="0" borderId="0" xfId="0" applyFont="1" applyBorder="1"/>
    <xf numFmtId="0" fontId="20" fillId="0" borderId="7" xfId="0" applyFont="1" applyBorder="1"/>
    <xf numFmtId="0" fontId="22" fillId="0" borderId="0" xfId="0" applyNumberFormat="1" applyFont="1" applyBorder="1" applyAlignment="1">
      <alignment horizontal="right"/>
    </xf>
    <xf numFmtId="0" fontId="21" fillId="0" borderId="0" xfId="0" applyFont="1" applyBorder="1"/>
    <xf numFmtId="0" fontId="20" fillId="0" borderId="1" xfId="0" applyFont="1" applyBorder="1"/>
    <xf numFmtId="0" fontId="22" fillId="0" borderId="0" xfId="0" applyNumberFormat="1" applyFont="1" applyBorder="1" applyAlignment="1">
      <alignment horizontal="right"/>
    </xf>
    <xf numFmtId="7" fontId="22" fillId="0" borderId="0" xfId="0" applyNumberFormat="1" applyFont="1" applyBorder="1" applyAlignment="1">
      <alignment horizontal="right"/>
    </xf>
    <xf numFmtId="0" fontId="4" fillId="0" borderId="7" xfId="0" applyFont="1" applyBorder="1"/>
    <xf numFmtId="0" fontId="2" fillId="0" borderId="0" xfId="0" applyNumberFormat="1" applyFont="1" applyBorder="1" applyAlignment="1">
      <alignment horizontal="right"/>
    </xf>
    <xf numFmtId="0" fontId="23" fillId="0" borderId="0" xfId="0" applyFont="1" applyBorder="1"/>
    <xf numFmtId="7" fontId="2" fillId="0" borderId="0" xfId="0" applyNumberFormat="1" applyFont="1" applyBorder="1" applyAlignment="1">
      <alignment horizontal="right"/>
    </xf>
    <xf numFmtId="0" fontId="22" fillId="0" borderId="0" xfId="0" applyFont="1" applyBorder="1"/>
    <xf numFmtId="0" fontId="22" fillId="0" borderId="8" xfId="0" applyFont="1" applyBorder="1" applyAlignment="1">
      <alignment horizontal="center"/>
    </xf>
    <xf numFmtId="7" fontId="22" fillId="0" borderId="9" xfId="0" applyNumberFormat="1" applyFont="1" applyBorder="1" applyAlignment="1">
      <alignment horizontal="center"/>
    </xf>
    <xf numFmtId="0" fontId="19" fillId="0" borderId="10" xfId="0" applyFont="1" applyBorder="1"/>
    <xf numFmtId="0" fontId="19" fillId="0" borderId="11" xfId="0" applyNumberFormat="1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0" xfId="0" applyFont="1" applyFill="1" applyBorder="1"/>
    <xf numFmtId="4" fontId="19" fillId="0" borderId="0" xfId="0" applyNumberFormat="1" applyFont="1" applyFill="1" applyBorder="1"/>
    <xf numFmtId="7" fontId="19" fillId="0" borderId="0" xfId="0" applyNumberFormat="1" applyFont="1" applyBorder="1"/>
    <xf numFmtId="166" fontId="1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 applyProtection="1">
      <protection/>
    </xf>
    <xf numFmtId="0" fontId="4" fillId="0" borderId="0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8" fillId="0" borderId="0" xfId="0" applyFont="1" applyBorder="1"/>
    <xf numFmtId="0" fontId="2" fillId="0" borderId="0" xfId="0" applyFont="1" applyBorder="1"/>
    <xf numFmtId="0" fontId="17" fillId="0" borderId="7" xfId="0" applyFont="1" applyBorder="1"/>
    <xf numFmtId="0" fontId="17" fillId="0" borderId="1" xfId="0" applyFont="1" applyBorder="1"/>
    <xf numFmtId="0" fontId="17" fillId="0" borderId="0" xfId="0" applyFont="1" applyBorder="1" applyProtection="1">
      <protection/>
    </xf>
    <xf numFmtId="0" fontId="0" fillId="0" borderId="8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Continuous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8" xfId="0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>
      <alignment horizontal="center" vertical="center" wrapText="1"/>
    </xf>
    <xf numFmtId="0" fontId="4" fillId="0" borderId="0" xfId="0" applyFont="1" applyFill="1"/>
    <xf numFmtId="0" fontId="12" fillId="0" borderId="0" xfId="0" applyFont="1" applyFill="1"/>
    <xf numFmtId="0" fontId="4" fillId="0" borderId="13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17" fillId="0" borderId="0" xfId="0" applyFont="1" applyFill="1" applyBorder="1"/>
    <xf numFmtId="0" fontId="4" fillId="0" borderId="0" xfId="0" applyFont="1" applyFill="1" applyBorder="1" applyProtection="1">
      <protection/>
    </xf>
    <xf numFmtId="0" fontId="4" fillId="0" borderId="0" xfId="0" applyFont="1" applyFill="1" applyBorder="1" applyAlignment="1">
      <alignment horizontal="center"/>
    </xf>
    <xf numFmtId="22" fontId="4" fillId="0" borderId="0" xfId="0" applyNumberFormat="1" applyFont="1" applyFill="1" applyBorder="1"/>
    <xf numFmtId="7" fontId="10" fillId="0" borderId="14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15" fillId="0" borderId="0" xfId="0" applyFont="1" applyFill="1"/>
    <xf numFmtId="0" fontId="17" fillId="0" borderId="0" xfId="0" applyFont="1" applyFill="1"/>
    <xf numFmtId="0" fontId="17" fillId="0" borderId="7" xfId="0" applyFont="1" applyFill="1" applyBorder="1"/>
    <xf numFmtId="0" fontId="17" fillId="0" borderId="1" xfId="0" applyFont="1" applyFill="1" applyBorder="1"/>
    <xf numFmtId="0" fontId="17" fillId="0" borderId="0" xfId="0" applyFont="1" applyFill="1" applyBorder="1" applyProtection="1">
      <protection/>
    </xf>
    <xf numFmtId="0" fontId="20" fillId="0" borderId="0" xfId="0" applyFont="1" applyFill="1"/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Continuous"/>
    </xf>
    <xf numFmtId="0" fontId="8" fillId="0" borderId="0" xfId="0" applyFont="1" applyFill="1"/>
    <xf numFmtId="0" fontId="15" fillId="0" borderId="0" xfId="0" applyFont="1" applyFill="1" applyAlignment="1">
      <alignment horizontal="centerContinuous"/>
    </xf>
    <xf numFmtId="22" fontId="4" fillId="0" borderId="0" xfId="0" applyNumberFormat="1" applyFont="1" applyBorder="1"/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 quotePrefix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Continuous"/>
    </xf>
    <xf numFmtId="7" fontId="22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Continuous"/>
    </xf>
    <xf numFmtId="0" fontId="29" fillId="0" borderId="16" xfId="0" applyFont="1" applyBorder="1" applyAlignment="1">
      <alignment horizontal="center"/>
    </xf>
    <xf numFmtId="0" fontId="31" fillId="0" borderId="0" xfId="0" applyFont="1" applyBorder="1" applyAlignment="1" applyProtection="1">
      <alignment horizontal="left"/>
      <protection/>
    </xf>
    <xf numFmtId="0" fontId="32" fillId="2" borderId="14" xfId="0" applyFont="1" applyFill="1" applyBorder="1" applyAlignment="1" applyProtection="1">
      <alignment horizontal="center" vertical="center"/>
      <protection/>
    </xf>
    <xf numFmtId="166" fontId="33" fillId="2" borderId="2" xfId="0" applyNumberFormat="1" applyFont="1" applyFill="1" applyBorder="1" applyAlignment="1" applyProtection="1">
      <alignment horizontal="center"/>
      <protection/>
    </xf>
    <xf numFmtId="166" fontId="33" fillId="2" borderId="3" xfId="0" applyNumberFormat="1" applyFont="1" applyFill="1" applyBorder="1" applyAlignment="1" applyProtection="1">
      <alignment horizontal="center"/>
      <protection/>
    </xf>
    <xf numFmtId="0" fontId="24" fillId="0" borderId="14" xfId="0" applyFont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/>
    </xf>
    <xf numFmtId="0" fontId="39" fillId="3" borderId="14" xfId="0" applyFont="1" applyFill="1" applyBorder="1" applyAlignment="1">
      <alignment horizontal="center" vertical="center" wrapText="1"/>
    </xf>
    <xf numFmtId="0" fontId="39" fillId="4" borderId="14" xfId="0" applyFont="1" applyFill="1" applyBorder="1" applyAlignment="1" applyProtection="1">
      <alignment horizontal="center" vertical="center"/>
      <protection/>
    </xf>
    <xf numFmtId="0" fontId="43" fillId="3" borderId="14" xfId="0" applyFont="1" applyFill="1" applyBorder="1" applyAlignment="1">
      <alignment horizontal="center" vertical="center" wrapText="1"/>
    </xf>
    <xf numFmtId="0" fontId="39" fillId="5" borderId="1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Continuous"/>
    </xf>
    <xf numFmtId="166" fontId="7" fillId="0" borderId="0" xfId="0" applyNumberFormat="1" applyFont="1" applyBorder="1" applyAlignment="1" applyProtection="1">
      <alignment horizontal="left"/>
      <protection/>
    </xf>
    <xf numFmtId="0" fontId="51" fillId="0" borderId="0" xfId="0" applyFont="1" applyAlignment="1">
      <alignment horizontal="right" vertical="top"/>
    </xf>
    <xf numFmtId="0" fontId="51" fillId="0" borderId="0" xfId="0" applyFont="1" applyFill="1" applyAlignment="1">
      <alignment horizontal="right" vertical="top"/>
    </xf>
    <xf numFmtId="0" fontId="4" fillId="0" borderId="2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166" fontId="4" fillId="0" borderId="3" xfId="0" applyNumberFormat="1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166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166" fontId="4" fillId="0" borderId="20" xfId="0" applyNumberFormat="1" applyFont="1" applyFill="1" applyBorder="1" applyAlignment="1" applyProtection="1">
      <alignment horizontal="center"/>
      <protection locked="0"/>
    </xf>
    <xf numFmtId="166" fontId="41" fillId="3" borderId="3" xfId="0" applyNumberFormat="1" applyFont="1" applyFill="1" applyBorder="1" applyAlignment="1" applyProtection="1" quotePrefix="1">
      <alignment horizontal="center"/>
      <protection locked="0"/>
    </xf>
    <xf numFmtId="166" fontId="4" fillId="0" borderId="3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170" fontId="22" fillId="0" borderId="0" xfId="0" applyNumberFormat="1" applyFont="1" applyBorder="1" applyAlignment="1">
      <alignment horizontal="right"/>
    </xf>
    <xf numFmtId="171" fontId="22" fillId="0" borderId="0" xfId="0" applyNumberFormat="1" applyFont="1" applyBorder="1"/>
    <xf numFmtId="171" fontId="22" fillId="0" borderId="0" xfId="0" applyNumberFormat="1" applyFont="1" applyBorder="1" applyAlignment="1">
      <alignment horizontal="right"/>
    </xf>
    <xf numFmtId="170" fontId="22" fillId="0" borderId="0" xfId="0" applyNumberFormat="1" applyFont="1" applyBorder="1" applyAlignment="1">
      <alignment horizontal="left"/>
    </xf>
    <xf numFmtId="171" fontId="20" fillId="0" borderId="0" xfId="0" applyNumberFormat="1" applyFont="1" applyBorder="1"/>
    <xf numFmtId="0" fontId="49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left"/>
    </xf>
    <xf numFmtId="0" fontId="1" fillId="0" borderId="0" xfId="0" applyFont="1"/>
    <xf numFmtId="0" fontId="0" fillId="0" borderId="5" xfId="0" applyBorder="1"/>
    <xf numFmtId="0" fontId="1" fillId="0" borderId="0" xfId="0" applyFont="1" applyBorder="1"/>
    <xf numFmtId="164" fontId="24" fillId="0" borderId="9" xfId="0" applyNumberFormat="1" applyFont="1" applyBorder="1" applyAlignment="1" applyProtection="1">
      <alignment horizontal="center" vertical="center" wrapText="1"/>
      <protection/>
    </xf>
    <xf numFmtId="0" fontId="24" fillId="0" borderId="8" xfId="0" applyFont="1" applyBorder="1" applyAlignment="1" applyProtection="1">
      <alignment horizontal="center" vertical="center"/>
      <protection/>
    </xf>
    <xf numFmtId="0" fontId="57" fillId="6" borderId="8" xfId="0" applyFont="1" applyFill="1" applyBorder="1" applyAlignment="1" applyProtection="1">
      <alignment horizontal="centerContinuous" vertical="center" wrapText="1"/>
      <protection/>
    </xf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22" fontId="4" fillId="0" borderId="4" xfId="0" applyNumberFormat="1" applyFont="1" applyBorder="1" applyAlignment="1" applyProtection="1">
      <alignment horizontal="center"/>
      <protection locked="0"/>
    </xf>
    <xf numFmtId="22" fontId="4" fillId="0" borderId="21" xfId="0" applyNumberFormat="1" applyFont="1" applyBorder="1" applyAlignment="1" applyProtection="1">
      <alignment horizontal="center"/>
      <protection locked="0"/>
    </xf>
    <xf numFmtId="4" fontId="4" fillId="7" borderId="2" xfId="0" applyNumberFormat="1" applyFont="1" applyFill="1" applyBorder="1" applyAlignment="1" applyProtection="1" quotePrefix="1">
      <alignment horizontal="center"/>
      <protection/>
    </xf>
    <xf numFmtId="164" fontId="4" fillId="7" borderId="2" xfId="0" applyNumberFormat="1" applyFont="1" applyFill="1" applyBorder="1" applyAlignment="1" applyProtection="1" quotePrefix="1">
      <alignment horizontal="center"/>
      <protection/>
    </xf>
    <xf numFmtId="166" fontId="59" fillId="6" borderId="22" xfId="0" applyNumberFormat="1" applyFont="1" applyFill="1" applyBorder="1" applyAlignment="1" applyProtection="1" quotePrefix="1">
      <alignment horizontal="center"/>
      <protection/>
    </xf>
    <xf numFmtId="168" fontId="4" fillId="0" borderId="3" xfId="0" applyNumberFormat="1" applyFont="1" applyBorder="1" applyAlignment="1" applyProtection="1" quotePrefix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Fill="1" applyBorder="1" applyAlignment="1">
      <alignment horizontal="center"/>
    </xf>
    <xf numFmtId="0" fontId="0" fillId="0" borderId="11" xfId="0" applyBorder="1"/>
    <xf numFmtId="0" fontId="4" fillId="0" borderId="5" xfId="0" applyFont="1" applyBorder="1" applyAlignment="1" applyProtection="1">
      <alignment horizontal="left"/>
      <protection/>
    </xf>
    <xf numFmtId="0" fontId="5" fillId="0" borderId="0" xfId="0" applyFont="1" applyBorder="1"/>
    <xf numFmtId="0" fontId="20" fillId="0" borderId="1" xfId="0" applyFont="1" applyFill="1" applyBorder="1"/>
    <xf numFmtId="0" fontId="21" fillId="0" borderId="0" xfId="0" applyFont="1" applyAlignment="1">
      <alignment horizontal="centerContinuous"/>
    </xf>
    <xf numFmtId="0" fontId="23" fillId="0" borderId="0" xfId="0" applyFont="1" applyBorder="1" applyAlignment="1">
      <alignment horizontal="left"/>
    </xf>
    <xf numFmtId="0" fontId="0" fillId="0" borderId="9" xfId="0" applyBorder="1" applyAlignment="1">
      <alignment horizontal="centerContinuous"/>
    </xf>
    <xf numFmtId="0" fontId="0" fillId="0" borderId="0" xfId="0" applyFont="1" applyBorder="1" applyAlignment="1" applyProtection="1">
      <alignment horizontal="center"/>
      <protection/>
    </xf>
    <xf numFmtId="169" fontId="0" fillId="0" borderId="0" xfId="0" applyNumberFormat="1" applyFont="1" applyBorder="1" applyAlignment="1">
      <alignment horizontal="centerContinuous"/>
    </xf>
    <xf numFmtId="0" fontId="4" fillId="0" borderId="0" xfId="0" applyFont="1" applyBorder="1" applyAlignment="1" applyProtection="1">
      <alignment horizontal="center"/>
      <protection/>
    </xf>
    <xf numFmtId="0" fontId="24" fillId="0" borderId="14" xfId="22" applyFont="1" applyBorder="1" applyAlignment="1">
      <alignment horizontal="center" vertical="center"/>
      <protection/>
    </xf>
    <xf numFmtId="166" fontId="24" fillId="0" borderId="14" xfId="0" applyNumberFormat="1" applyFont="1" applyBorder="1" applyAlignment="1" applyProtection="1">
      <alignment horizontal="center" vertical="center"/>
      <protection/>
    </xf>
    <xf numFmtId="166" fontId="32" fillId="2" borderId="14" xfId="0" applyNumberFormat="1" applyFont="1" applyFill="1" applyBorder="1" applyAlignment="1" applyProtection="1">
      <alignment horizontal="center" vertical="center"/>
      <protection/>
    </xf>
    <xf numFmtId="0" fontId="35" fillId="2" borderId="8" xfId="0" applyFont="1" applyFill="1" applyBorder="1" applyAlignment="1" applyProtection="1">
      <alignment horizontal="centerContinuous" vertical="center" wrapText="1"/>
      <protection/>
    </xf>
    <xf numFmtId="0" fontId="36" fillId="2" borderId="15" xfId="0" applyFont="1" applyFill="1" applyBorder="1" applyAlignment="1">
      <alignment horizontal="centerContinuous"/>
    </xf>
    <xf numFmtId="0" fontId="35" fillId="2" borderId="9" xfId="0" applyFont="1" applyFill="1" applyBorder="1" applyAlignment="1">
      <alignment horizontal="centerContinuous" vertical="center"/>
    </xf>
    <xf numFmtId="0" fontId="61" fillId="8" borderId="14" xfId="0" applyFont="1" applyFill="1" applyBorder="1" applyAlignment="1">
      <alignment horizontal="center" vertical="center" wrapText="1"/>
    </xf>
    <xf numFmtId="0" fontId="62" fillId="9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22" fontId="4" fillId="0" borderId="4" xfId="0" applyNumberFormat="1" applyFont="1" applyBorder="1" applyAlignment="1">
      <alignment horizontal="center"/>
    </xf>
    <xf numFmtId="166" fontId="34" fillId="2" borderId="22" xfId="0" applyNumberFormat="1" applyFont="1" applyFill="1" applyBorder="1" applyAlignment="1" applyProtection="1" quotePrefix="1">
      <alignment horizontal="center"/>
      <protection/>
    </xf>
    <xf numFmtId="166" fontId="34" fillId="2" borderId="23" xfId="0" applyNumberFormat="1" applyFont="1" applyFill="1" applyBorder="1" applyAlignment="1" applyProtection="1" quotePrefix="1">
      <alignment horizontal="center"/>
      <protection/>
    </xf>
    <xf numFmtId="4" fontId="34" fillId="2" borderId="4" xfId="0" applyNumberFormat="1" applyFont="1" applyFill="1" applyBorder="1" applyAlignment="1" applyProtection="1">
      <alignment horizontal="center"/>
      <protection/>
    </xf>
    <xf numFmtId="4" fontId="63" fillId="8" borderId="2" xfId="0" applyNumberFormat="1" applyFont="1" applyFill="1" applyBorder="1" applyAlignment="1" applyProtection="1">
      <alignment horizontal="center"/>
      <protection/>
    </xf>
    <xf numFmtId="4" fontId="64" fillId="9" borderId="2" xfId="0" applyNumberFormat="1" applyFont="1" applyFill="1" applyBorder="1" applyAlignment="1" applyProtection="1">
      <alignment horizontal="center"/>
      <protection/>
    </xf>
    <xf numFmtId="0" fontId="7" fillId="0" borderId="4" xfId="0" applyFont="1" applyBorder="1"/>
    <xf numFmtId="0" fontId="33" fillId="2" borderId="2" xfId="0" applyFont="1" applyFill="1" applyBorder="1" applyAlignment="1" applyProtection="1">
      <alignment horizontal="center"/>
      <protection/>
    </xf>
    <xf numFmtId="22" fontId="4" fillId="0" borderId="24" xfId="0" applyNumberFormat="1" applyFont="1" applyBorder="1" applyAlignment="1" applyProtection="1">
      <alignment horizontal="center"/>
      <protection locked="0"/>
    </xf>
    <xf numFmtId="166" fontId="4" fillId="0" borderId="4" xfId="0" applyNumberFormat="1" applyFont="1" applyBorder="1" applyAlignment="1" applyProtection="1">
      <alignment horizontal="center"/>
      <protection locked="0"/>
    </xf>
    <xf numFmtId="166" fontId="4" fillId="0" borderId="2" xfId="0" applyNumberFormat="1" applyFont="1" applyBorder="1" applyAlignment="1" applyProtection="1">
      <alignment horizontal="center"/>
      <protection/>
    </xf>
    <xf numFmtId="166" fontId="34" fillId="2" borderId="22" xfId="0" applyNumberFormat="1" applyFont="1" applyFill="1" applyBorder="1" applyAlignment="1" applyProtection="1" quotePrefix="1">
      <alignment horizontal="center"/>
      <protection locked="0"/>
    </xf>
    <xf numFmtId="166" fontId="34" fillId="2" borderId="23" xfId="0" applyNumberFormat="1" applyFont="1" applyFill="1" applyBorder="1" applyAlignment="1" applyProtection="1" quotePrefix="1">
      <alignment horizontal="center"/>
      <protection locked="0"/>
    </xf>
    <xf numFmtId="4" fontId="34" fillId="2" borderId="4" xfId="0" applyNumberFormat="1" applyFont="1" applyFill="1" applyBorder="1" applyAlignment="1" applyProtection="1">
      <alignment horizontal="center"/>
      <protection locked="0"/>
    </xf>
    <xf numFmtId="4" fontId="65" fillId="8" borderId="2" xfId="0" applyNumberFormat="1" applyFont="1" applyFill="1" applyBorder="1" applyAlignment="1" applyProtection="1">
      <alignment horizontal="center"/>
      <protection locked="0"/>
    </xf>
    <xf numFmtId="4" fontId="66" fillId="9" borderId="2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66" fontId="34" fillId="2" borderId="25" xfId="0" applyNumberFormat="1" applyFont="1" applyFill="1" applyBorder="1" applyAlignment="1" applyProtection="1" quotePrefix="1">
      <alignment horizontal="center"/>
      <protection locked="0"/>
    </xf>
    <xf numFmtId="166" fontId="34" fillId="2" borderId="26" xfId="0" applyNumberFormat="1" applyFont="1" applyFill="1" applyBorder="1" applyAlignment="1" applyProtection="1" quotePrefix="1">
      <alignment horizontal="center"/>
      <protection locked="0"/>
    </xf>
    <xf numFmtId="4" fontId="34" fillId="2" borderId="27" xfId="0" applyNumberFormat="1" applyFont="1" applyFill="1" applyBorder="1" applyAlignment="1" applyProtection="1">
      <alignment horizontal="center"/>
      <protection locked="0"/>
    </xf>
    <xf numFmtId="4" fontId="65" fillId="8" borderId="3" xfId="0" applyNumberFormat="1" applyFont="1" applyFill="1" applyBorder="1" applyAlignment="1" applyProtection="1">
      <alignment horizontal="center"/>
      <protection locked="0"/>
    </xf>
    <xf numFmtId="4" fontId="66" fillId="9" borderId="3" xfId="0" applyNumberFormat="1" applyFont="1" applyFill="1" applyBorder="1" applyAlignment="1" applyProtection="1">
      <alignment horizontal="center"/>
      <protection locked="0"/>
    </xf>
    <xf numFmtId="2" fontId="7" fillId="0" borderId="28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8" fontId="4" fillId="0" borderId="0" xfId="0" applyNumberFormat="1" applyFont="1" applyBorder="1" applyAlignment="1" applyProtection="1" quotePrefix="1">
      <alignment horizontal="center"/>
      <protection/>
    </xf>
    <xf numFmtId="2" fontId="65" fillId="8" borderId="14" xfId="0" applyNumberFormat="1" applyFont="1" applyFill="1" applyBorder="1" applyAlignment="1" applyProtection="1">
      <alignment horizontal="center"/>
      <protection/>
    </xf>
    <xf numFmtId="2" fontId="66" fillId="9" borderId="14" xfId="0" applyNumberFormat="1" applyFont="1" applyFill="1" applyBorder="1" applyAlignment="1" applyProtection="1">
      <alignment horizontal="center"/>
      <protection/>
    </xf>
    <xf numFmtId="2" fontId="54" fillId="0" borderId="29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centerContinuous"/>
    </xf>
    <xf numFmtId="0" fontId="67" fillId="0" borderId="1" xfId="0" applyFont="1" applyFill="1" applyBorder="1" applyAlignment="1">
      <alignment horizontal="centerContinuous"/>
    </xf>
    <xf numFmtId="0" fontId="4" fillId="0" borderId="8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 horizontal="center"/>
    </xf>
    <xf numFmtId="0" fontId="39" fillId="5" borderId="14" xfId="0" applyFont="1" applyFill="1" applyBorder="1" applyAlignment="1" applyProtection="1">
      <alignment horizontal="center" vertical="center"/>
      <protection/>
    </xf>
    <xf numFmtId="0" fontId="68" fillId="8" borderId="14" xfId="0" applyFont="1" applyFill="1" applyBorder="1" applyAlignment="1">
      <alignment horizontal="center" vertical="center" wrapText="1"/>
    </xf>
    <xf numFmtId="0" fontId="69" fillId="6" borderId="14" xfId="0" applyFont="1" applyFill="1" applyBorder="1" applyAlignment="1">
      <alignment horizontal="center" vertical="center" wrapText="1"/>
    </xf>
    <xf numFmtId="0" fontId="37" fillId="10" borderId="8" xfId="0" applyFont="1" applyFill="1" applyBorder="1" applyAlignment="1" applyProtection="1">
      <alignment horizontal="centerContinuous" vertical="center" wrapText="1"/>
      <protection/>
    </xf>
    <xf numFmtId="0" fontId="37" fillId="10" borderId="9" xfId="0" applyFont="1" applyFill="1" applyBorder="1" applyAlignment="1">
      <alignment horizontal="centerContinuous" vertical="center"/>
    </xf>
    <xf numFmtId="0" fontId="43" fillId="11" borderId="14" xfId="0" applyFont="1" applyFill="1" applyBorder="1" applyAlignment="1">
      <alignment horizontal="center" vertical="center" wrapText="1"/>
    </xf>
    <xf numFmtId="0" fontId="38" fillId="8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164" fontId="4" fillId="0" borderId="30" xfId="0" applyNumberFormat="1" applyFont="1" applyFill="1" applyBorder="1" applyAlignment="1" applyProtection="1">
      <alignment horizontal="center"/>
      <protection/>
    </xf>
    <xf numFmtId="0" fontId="33" fillId="2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2" fillId="5" borderId="30" xfId="0" applyFont="1" applyFill="1" applyBorder="1" applyAlignment="1">
      <alignment horizontal="center"/>
    </xf>
    <xf numFmtId="0" fontId="70" fillId="8" borderId="30" xfId="0" applyFont="1" applyFill="1" applyBorder="1" applyAlignment="1">
      <alignment horizontal="center"/>
    </xf>
    <xf numFmtId="0" fontId="71" fillId="6" borderId="30" xfId="0" applyFont="1" applyFill="1" applyBorder="1" applyAlignment="1">
      <alignment horizontal="center"/>
    </xf>
    <xf numFmtId="0" fontId="34" fillId="2" borderId="32" xfId="0" applyFont="1" applyFill="1" applyBorder="1" applyAlignment="1">
      <alignment horizontal="center"/>
    </xf>
    <xf numFmtId="0" fontId="34" fillId="2" borderId="33" xfId="0" applyFont="1" applyFill="1" applyBorder="1" applyAlignment="1">
      <alignment horizontal="center"/>
    </xf>
    <xf numFmtId="0" fontId="72" fillId="10" borderId="34" xfId="0" applyFont="1" applyFill="1" applyBorder="1" applyAlignment="1">
      <alignment horizontal="center"/>
    </xf>
    <xf numFmtId="0" fontId="72" fillId="10" borderId="35" xfId="0" applyFont="1" applyFill="1" applyBorder="1" applyAlignment="1">
      <alignment horizontal="center"/>
    </xf>
    <xf numFmtId="0" fontId="44" fillId="11" borderId="30" xfId="0" applyFont="1" applyFill="1" applyBorder="1" applyAlignment="1">
      <alignment horizontal="center"/>
    </xf>
    <xf numFmtId="0" fontId="73" fillId="8" borderId="30" xfId="0" applyFont="1" applyFill="1" applyBorder="1" applyAlignment="1">
      <alignment horizontal="center"/>
    </xf>
    <xf numFmtId="7" fontId="7" fillId="0" borderId="31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 applyProtection="1">
      <alignment horizontal="center"/>
      <protection/>
    </xf>
    <xf numFmtId="0" fontId="33" fillId="2" borderId="1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2" fillId="5" borderId="19" xfId="0" applyFont="1" applyFill="1" applyBorder="1" applyAlignment="1">
      <alignment horizontal="center"/>
    </xf>
    <xf numFmtId="0" fontId="70" fillId="8" borderId="19" xfId="0" applyFont="1" applyFill="1" applyBorder="1" applyAlignment="1">
      <alignment horizontal="center"/>
    </xf>
    <xf numFmtId="0" fontId="71" fillId="6" borderId="19" xfId="0" applyFont="1" applyFill="1" applyBorder="1" applyAlignment="1">
      <alignment horizontal="center"/>
    </xf>
    <xf numFmtId="0" fontId="34" fillId="2" borderId="37" xfId="0" applyFont="1" applyFill="1" applyBorder="1" applyAlignment="1">
      <alignment horizontal="center"/>
    </xf>
    <xf numFmtId="0" fontId="34" fillId="2" borderId="38" xfId="0" applyFont="1" applyFill="1" applyBorder="1" applyAlignment="1">
      <alignment horizontal="center"/>
    </xf>
    <xf numFmtId="0" fontId="72" fillId="10" borderId="37" xfId="0" applyFont="1" applyFill="1" applyBorder="1" applyAlignment="1">
      <alignment horizontal="center"/>
    </xf>
    <xf numFmtId="0" fontId="72" fillId="10" borderId="38" xfId="0" applyFont="1" applyFill="1" applyBorder="1" applyAlignment="1">
      <alignment horizontal="center"/>
    </xf>
    <xf numFmtId="0" fontId="44" fillId="11" borderId="19" xfId="0" applyFont="1" applyFill="1" applyBorder="1" applyAlignment="1">
      <alignment horizontal="center"/>
    </xf>
    <xf numFmtId="0" fontId="73" fillId="8" borderId="19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4" fillId="0" borderId="24" xfId="0" applyFont="1" applyBorder="1" applyAlignment="1" applyProtection="1">
      <alignment horizontal="center"/>
      <protection locked="0"/>
    </xf>
    <xf numFmtId="164" fontId="4" fillId="0" borderId="19" xfId="0" applyNumberFormat="1" applyFont="1" applyBorder="1" applyAlignment="1" applyProtection="1">
      <alignment horizontal="center"/>
      <protection locked="0"/>
    </xf>
    <xf numFmtId="1" fontId="4" fillId="0" borderId="38" xfId="0" applyNumberFormat="1" applyFont="1" applyBorder="1" applyAlignment="1" applyProtection="1" quotePrefix="1">
      <alignment horizontal="center"/>
      <protection locked="0"/>
    </xf>
    <xf numFmtId="169" fontId="33" fillId="2" borderId="2" xfId="0" applyNumberFormat="1" applyFont="1" applyFill="1" applyBorder="1" applyAlignment="1" applyProtection="1">
      <alignment horizontal="center"/>
      <protection/>
    </xf>
    <xf numFmtId="4" fontId="4" fillId="0" borderId="2" xfId="0" applyNumberFormat="1" applyFont="1" applyFill="1" applyBorder="1" applyAlignment="1" applyProtection="1">
      <alignment horizontal="center"/>
      <protection/>
    </xf>
    <xf numFmtId="164" fontId="42" fillId="5" borderId="2" xfId="0" applyNumberFormat="1" applyFont="1" applyFill="1" applyBorder="1" applyAlignment="1" applyProtection="1">
      <alignment horizontal="center"/>
      <protection/>
    </xf>
    <xf numFmtId="2" fontId="70" fillId="8" borderId="2" xfId="0" applyNumberFormat="1" applyFont="1" applyFill="1" applyBorder="1" applyAlignment="1">
      <alignment horizontal="center"/>
    </xf>
    <xf numFmtId="2" fontId="71" fillId="6" borderId="2" xfId="0" applyNumberFormat="1" applyFont="1" applyFill="1" applyBorder="1" applyAlignment="1">
      <alignment horizontal="center"/>
    </xf>
    <xf numFmtId="166" fontId="34" fillId="2" borderId="37" xfId="0" applyNumberFormat="1" applyFont="1" applyFill="1" applyBorder="1" applyAlignment="1" applyProtection="1" quotePrefix="1">
      <alignment horizontal="center"/>
      <protection/>
    </xf>
    <xf numFmtId="166" fontId="34" fillId="2" borderId="38" xfId="0" applyNumberFormat="1" applyFont="1" applyFill="1" applyBorder="1" applyAlignment="1" applyProtection="1" quotePrefix="1">
      <alignment horizontal="center"/>
      <protection/>
    </xf>
    <xf numFmtId="166" fontId="72" fillId="10" borderId="37" xfId="0" applyNumberFormat="1" applyFont="1" applyFill="1" applyBorder="1" applyAlignment="1" applyProtection="1" quotePrefix="1">
      <alignment horizontal="center"/>
      <protection/>
    </xf>
    <xf numFmtId="166" fontId="72" fillId="10" borderId="38" xfId="0" applyNumberFormat="1" applyFont="1" applyFill="1" applyBorder="1" applyAlignment="1" applyProtection="1" quotePrefix="1">
      <alignment horizontal="center"/>
      <protection/>
    </xf>
    <xf numFmtId="166" fontId="44" fillId="11" borderId="2" xfId="0" applyNumberFormat="1" applyFont="1" applyFill="1" applyBorder="1" applyAlignment="1" applyProtection="1" quotePrefix="1">
      <alignment horizontal="center"/>
      <protection/>
    </xf>
    <xf numFmtId="166" fontId="73" fillId="8" borderId="19" xfId="0" applyNumberFormat="1" applyFont="1" applyFill="1" applyBorder="1" applyAlignment="1" applyProtection="1" quotePrefix="1">
      <alignment horizontal="center"/>
      <protection/>
    </xf>
    <xf numFmtId="166" fontId="4" fillId="0" borderId="4" xfId="0" applyNumberFormat="1" applyFont="1" applyFill="1" applyBorder="1" applyAlignment="1">
      <alignment horizontal="center"/>
    </xf>
    <xf numFmtId="4" fontId="26" fillId="0" borderId="4" xfId="0" applyNumberFormat="1" applyFont="1" applyFill="1" applyBorder="1" applyAlignment="1">
      <alignment horizontal="right"/>
    </xf>
    <xf numFmtId="0" fontId="4" fillId="0" borderId="36" xfId="0" applyFont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 quotePrefix="1">
      <alignment horizontal="center"/>
      <protection locked="0"/>
    </xf>
    <xf numFmtId="164" fontId="6" fillId="0" borderId="39" xfId="0" applyNumberFormat="1" applyFont="1" applyFill="1" applyBorder="1" applyAlignment="1" applyProtection="1">
      <alignment horizontal="center"/>
      <protection locked="0"/>
    </xf>
    <xf numFmtId="38" fontId="4" fillId="0" borderId="3" xfId="0" applyNumberFormat="1" applyFont="1" applyFill="1" applyBorder="1" applyAlignment="1" applyProtection="1">
      <alignment horizontal="center"/>
      <protection locked="0"/>
    </xf>
    <xf numFmtId="38" fontId="4" fillId="0" borderId="3" xfId="0" applyNumberFormat="1" applyFont="1" applyFill="1" applyBorder="1" applyAlignment="1" applyProtection="1">
      <alignment horizontal="center"/>
      <protection/>
    </xf>
    <xf numFmtId="164" fontId="4" fillId="0" borderId="3" xfId="0" applyNumberFormat="1" applyFont="1" applyFill="1" applyBorder="1" applyAlignment="1" applyProtection="1" quotePrefix="1">
      <alignment horizontal="center"/>
      <protection/>
    </xf>
    <xf numFmtId="164" fontId="42" fillId="5" borderId="3" xfId="0" applyNumberFormat="1" applyFont="1" applyFill="1" applyBorder="1" applyAlignment="1" applyProtection="1">
      <alignment horizontal="center"/>
      <protection/>
    </xf>
    <xf numFmtId="2" fontId="70" fillId="8" borderId="3" xfId="0" applyNumberFormat="1" applyFont="1" applyFill="1" applyBorder="1" applyAlignment="1">
      <alignment horizontal="center"/>
    </xf>
    <xf numFmtId="2" fontId="71" fillId="6" borderId="3" xfId="0" applyNumberFormat="1" applyFont="1" applyFill="1" applyBorder="1" applyAlignment="1">
      <alignment horizontal="center"/>
    </xf>
    <xf numFmtId="166" fontId="34" fillId="2" borderId="40" xfId="0" applyNumberFormat="1" applyFont="1" applyFill="1" applyBorder="1" applyAlignment="1" applyProtection="1" quotePrefix="1">
      <alignment horizontal="center"/>
      <protection/>
    </xf>
    <xf numFmtId="166" fontId="34" fillId="2" borderId="41" xfId="0" applyNumberFormat="1" applyFont="1" applyFill="1" applyBorder="1" applyAlignment="1" applyProtection="1" quotePrefix="1">
      <alignment horizontal="center"/>
      <protection/>
    </xf>
    <xf numFmtId="166" fontId="72" fillId="10" borderId="25" xfId="0" applyNumberFormat="1" applyFont="1" applyFill="1" applyBorder="1" applyAlignment="1" applyProtection="1" quotePrefix="1">
      <alignment horizontal="center"/>
      <protection/>
    </xf>
    <xf numFmtId="166" fontId="72" fillId="10" borderId="27" xfId="0" applyNumberFormat="1" applyFont="1" applyFill="1" applyBorder="1" applyAlignment="1" applyProtection="1" quotePrefix="1">
      <alignment horizontal="center"/>
      <protection/>
    </xf>
    <xf numFmtId="166" fontId="44" fillId="11" borderId="3" xfId="0" applyNumberFormat="1" applyFont="1" applyFill="1" applyBorder="1" applyAlignment="1" applyProtection="1" quotePrefix="1">
      <alignment horizontal="center"/>
      <protection/>
    </xf>
    <xf numFmtId="166" fontId="73" fillId="8" borderId="3" xfId="0" applyNumberFormat="1" applyFont="1" applyFill="1" applyBorder="1" applyAlignment="1" applyProtection="1" quotePrefix="1">
      <alignment horizontal="center"/>
      <protection/>
    </xf>
    <xf numFmtId="166" fontId="60" fillId="0" borderId="20" xfId="0" applyNumberFormat="1" applyFont="1" applyFill="1" applyBorder="1" applyAlignment="1">
      <alignment horizontal="center"/>
    </xf>
    <xf numFmtId="166" fontId="25" fillId="0" borderId="42" xfId="0" applyNumberFormat="1" applyFont="1" applyFill="1" applyBorder="1" applyAlignment="1">
      <alignment horizontal="center"/>
    </xf>
    <xf numFmtId="4" fontId="70" fillId="8" borderId="14" xfId="0" applyNumberFormat="1" applyFont="1" applyFill="1" applyBorder="1" applyAlignment="1">
      <alignment horizontal="center"/>
    </xf>
    <xf numFmtId="4" fontId="71" fillId="6" borderId="14" xfId="0" applyNumberFormat="1" applyFont="1" applyFill="1" applyBorder="1" applyAlignment="1">
      <alignment horizontal="center"/>
    </xf>
    <xf numFmtId="4" fontId="34" fillId="2" borderId="43" xfId="0" applyNumberFormat="1" applyFont="1" applyFill="1" applyBorder="1" applyAlignment="1">
      <alignment horizontal="center"/>
    </xf>
    <xf numFmtId="4" fontId="34" fillId="2" borderId="9" xfId="0" applyNumberFormat="1" applyFont="1" applyFill="1" applyBorder="1" applyAlignment="1">
      <alignment horizontal="center"/>
    </xf>
    <xf numFmtId="4" fontId="72" fillId="10" borderId="43" xfId="0" applyNumberFormat="1" applyFont="1" applyFill="1" applyBorder="1" applyAlignment="1">
      <alignment horizontal="center"/>
    </xf>
    <xf numFmtId="4" fontId="72" fillId="10" borderId="44" xfId="0" applyNumberFormat="1" applyFont="1" applyFill="1" applyBorder="1" applyAlignment="1">
      <alignment horizontal="center"/>
    </xf>
    <xf numFmtId="4" fontId="44" fillId="11" borderId="14" xfId="0" applyNumberFormat="1" applyFont="1" applyFill="1" applyBorder="1" applyAlignment="1">
      <alignment horizontal="center"/>
    </xf>
    <xf numFmtId="4" fontId="73" fillId="8" borderId="14" xfId="0" applyNumberFormat="1" applyFont="1" applyFill="1" applyBorder="1" applyAlignment="1">
      <alignment horizontal="center"/>
    </xf>
    <xf numFmtId="7" fontId="74" fillId="0" borderId="14" xfId="0" applyNumberFormat="1" applyFont="1" applyFill="1" applyBorder="1" applyAlignment="1">
      <alignment horizontal="right"/>
    </xf>
    <xf numFmtId="0" fontId="33" fillId="2" borderId="45" xfId="0" applyFont="1" applyFill="1" applyBorder="1" applyAlignment="1">
      <alignment horizontal="center"/>
    </xf>
    <xf numFmtId="0" fontId="48" fillId="0" borderId="0" xfId="0" applyFont="1" applyFill="1"/>
    <xf numFmtId="0" fontId="2" fillId="0" borderId="0" xfId="0" applyFont="1" applyFill="1"/>
    <xf numFmtId="0" fontId="21" fillId="0" borderId="0" xfId="0" applyFont="1" applyBorder="1" applyAlignment="1" applyProtection="1">
      <alignment horizontal="centerContinuous"/>
      <protection/>
    </xf>
    <xf numFmtId="0" fontId="21" fillId="0" borderId="1" xfId="0" applyFont="1" applyBorder="1" applyAlignment="1">
      <alignment horizontal="centerContinuous"/>
    </xf>
    <xf numFmtId="0" fontId="23" fillId="0" borderId="7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0" xfId="0" applyFont="1" applyBorder="1" applyAlignment="1" applyProtection="1">
      <alignment horizontal="centerContinuous"/>
      <protection/>
    </xf>
    <xf numFmtId="0" fontId="23" fillId="0" borderId="1" xfId="0" applyFont="1" applyBorder="1" applyAlignment="1">
      <alignment horizontal="centerContinuous"/>
    </xf>
    <xf numFmtId="0" fontId="0" fillId="0" borderId="0" xfId="0" applyFont="1" applyBorder="1"/>
    <xf numFmtId="0" fontId="0" fillId="0" borderId="8" xfId="0" applyFont="1" applyBorder="1" applyAlignment="1" applyProtection="1">
      <alignment horizontal="left" vertical="center"/>
      <protection/>
    </xf>
    <xf numFmtId="169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69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4" fillId="0" borderId="9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  <protection/>
    </xf>
    <xf numFmtId="0" fontId="37" fillId="10" borderId="14" xfId="0" applyFont="1" applyFill="1" applyBorder="1" applyAlignment="1">
      <alignment horizontal="center" vertical="center" wrapText="1"/>
    </xf>
    <xf numFmtId="0" fontId="57" fillId="6" borderId="9" xfId="0" applyFont="1" applyFill="1" applyBorder="1" applyAlignment="1">
      <alignment horizontal="centerContinuous" vertical="center"/>
    </xf>
    <xf numFmtId="0" fontId="9" fillId="0" borderId="2" xfId="0" applyFont="1" applyBorder="1" applyAlignment="1" applyProtection="1">
      <alignment horizontal="center"/>
      <protection/>
    </xf>
    <xf numFmtId="0" fontId="42" fillId="4" borderId="17" xfId="0" applyFont="1" applyFill="1" applyBorder="1" applyAlignment="1" applyProtection="1">
      <alignment horizontal="center"/>
      <protection/>
    </xf>
    <xf numFmtId="0" fontId="72" fillId="10" borderId="17" xfId="0" applyFont="1" applyFill="1" applyBorder="1" applyAlignment="1" applyProtection="1">
      <alignment horizontal="center"/>
      <protection/>
    </xf>
    <xf numFmtId="166" fontId="59" fillId="6" borderId="32" xfId="0" applyNumberFormat="1" applyFont="1" applyFill="1" applyBorder="1" applyAlignment="1" applyProtection="1" quotePrefix="1">
      <alignment horizontal="center"/>
      <protection/>
    </xf>
    <xf numFmtId="166" fontId="59" fillId="6" borderId="33" xfId="0" applyNumberFormat="1" applyFont="1" applyFill="1" applyBorder="1" applyAlignment="1" applyProtection="1" quotePrefix="1">
      <alignment horizontal="center"/>
      <protection/>
    </xf>
    <xf numFmtId="166" fontId="41" fillId="3" borderId="17" xfId="0" applyNumberFormat="1" applyFont="1" applyFill="1" applyBorder="1" applyAlignment="1" applyProtection="1" quotePrefix="1">
      <alignment horizontal="center"/>
      <protection/>
    </xf>
    <xf numFmtId="7" fontId="75" fillId="0" borderId="2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center"/>
      <protection/>
    </xf>
    <xf numFmtId="0" fontId="33" fillId="2" borderId="21" xfId="0" applyFont="1" applyFill="1" applyBorder="1" applyAlignment="1" applyProtection="1">
      <alignment horizontal="center"/>
      <protection/>
    </xf>
    <xf numFmtId="0" fontId="42" fillId="4" borderId="2" xfId="0" applyFont="1" applyFill="1" applyBorder="1" applyAlignment="1" applyProtection="1">
      <alignment horizontal="center"/>
      <protection/>
    </xf>
    <xf numFmtId="0" fontId="72" fillId="10" borderId="2" xfId="0" applyFont="1" applyFill="1" applyBorder="1" applyAlignment="1" applyProtection="1">
      <alignment horizontal="center"/>
      <protection/>
    </xf>
    <xf numFmtId="166" fontId="59" fillId="6" borderId="46" xfId="0" applyNumberFormat="1" applyFont="1" applyFill="1" applyBorder="1" applyAlignment="1" applyProtection="1" quotePrefix="1">
      <alignment horizontal="center"/>
      <protection/>
    </xf>
    <xf numFmtId="166" fontId="41" fillId="3" borderId="2" xfId="0" applyNumberFormat="1" applyFont="1" applyFill="1" applyBorder="1" applyAlignment="1" applyProtection="1" quotePrefix="1">
      <alignment horizontal="center"/>
      <protection/>
    </xf>
    <xf numFmtId="166" fontId="26" fillId="0" borderId="2" xfId="0" applyNumberFormat="1" applyFont="1" applyFill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 quotePrefix="1">
      <alignment horizontal="center"/>
      <protection locked="0"/>
    </xf>
    <xf numFmtId="22" fontId="4" fillId="0" borderId="22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Fill="1" applyBorder="1" applyAlignment="1" applyProtection="1" quotePrefix="1">
      <alignment horizontal="center"/>
      <protection/>
    </xf>
    <xf numFmtId="164" fontId="4" fillId="0" borderId="2" xfId="0" applyNumberFormat="1" applyFont="1" applyFill="1" applyBorder="1" applyAlignment="1" applyProtection="1" quotePrefix="1">
      <alignment horizontal="center"/>
      <protection/>
    </xf>
    <xf numFmtId="4" fontId="26" fillId="0" borderId="2" xfId="0" applyNumberFormat="1" applyFont="1" applyFill="1" applyBorder="1" applyAlignment="1">
      <alignment horizontal="right"/>
    </xf>
    <xf numFmtId="166" fontId="4" fillId="0" borderId="20" xfId="0" applyNumberFormat="1" applyFont="1" applyBorder="1" applyAlignment="1" applyProtection="1">
      <alignment horizontal="center"/>
      <protection locked="0"/>
    </xf>
    <xf numFmtId="166" fontId="4" fillId="0" borderId="20" xfId="0" applyNumberFormat="1" applyFont="1" applyBorder="1" applyAlignment="1" applyProtection="1">
      <alignment horizontal="center"/>
      <protection/>
    </xf>
    <xf numFmtId="164" fontId="42" fillId="4" borderId="3" xfId="0" applyNumberFormat="1" applyFont="1" applyFill="1" applyBorder="1" applyAlignment="1" applyProtection="1">
      <alignment horizontal="center"/>
      <protection locked="0"/>
    </xf>
    <xf numFmtId="2" fontId="72" fillId="10" borderId="3" xfId="0" applyNumberFormat="1" applyFont="1" applyFill="1" applyBorder="1" applyAlignment="1" applyProtection="1">
      <alignment horizontal="center"/>
      <protection locked="0"/>
    </xf>
    <xf numFmtId="166" fontId="59" fillId="6" borderId="25" xfId="0" applyNumberFormat="1" applyFont="1" applyFill="1" applyBorder="1" applyAlignment="1" applyProtection="1" quotePrefix="1">
      <alignment horizontal="center"/>
      <protection locked="0"/>
    </xf>
    <xf numFmtId="166" fontId="59" fillId="6" borderId="27" xfId="0" applyNumberFormat="1" applyFont="1" applyFill="1" applyBorder="1" applyAlignment="1" applyProtection="1" quotePrefix="1">
      <alignment horizontal="center"/>
      <protection locked="0"/>
    </xf>
    <xf numFmtId="7" fontId="25" fillId="0" borderId="28" xfId="0" applyNumberFormat="1" applyFont="1" applyFill="1" applyBorder="1" applyAlignment="1">
      <alignment horizontal="right"/>
    </xf>
    <xf numFmtId="4" fontId="72" fillId="10" borderId="14" xfId="0" applyNumberFormat="1" applyFont="1" applyFill="1" applyBorder="1" applyAlignment="1">
      <alignment horizontal="center"/>
    </xf>
    <xf numFmtId="4" fontId="59" fillId="6" borderId="43" xfId="0" applyNumberFormat="1" applyFont="1" applyFill="1" applyBorder="1" applyAlignment="1">
      <alignment horizontal="center"/>
    </xf>
    <xf numFmtId="4" fontId="59" fillId="6" borderId="44" xfId="0" applyNumberFormat="1" applyFont="1" applyFill="1" applyBorder="1" applyAlignment="1">
      <alignment horizontal="center"/>
    </xf>
    <xf numFmtId="4" fontId="41" fillId="3" borderId="14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169" fontId="0" fillId="0" borderId="9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7" fillId="0" borderId="1" xfId="0" applyFont="1" applyBorder="1" applyAlignment="1">
      <alignment horizontal="centerContinuous"/>
    </xf>
    <xf numFmtId="0" fontId="8" fillId="0" borderId="0" xfId="0" applyFont="1"/>
    <xf numFmtId="0" fontId="21" fillId="0" borderId="0" xfId="0" applyFont="1" applyBorder="1" applyAlignment="1">
      <alignment horizontal="centerContinuous"/>
    </xf>
    <xf numFmtId="0" fontId="21" fillId="0" borderId="0" xfId="0" applyFont="1" applyBorder="1" applyAlignment="1" applyProtection="1">
      <alignment horizontal="centerContinuous"/>
      <protection/>
    </xf>
    <xf numFmtId="0" fontId="21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24" fillId="0" borderId="14" xfId="0" applyFont="1" applyBorder="1" applyAlignment="1" applyProtection="1" quotePrefix="1">
      <alignment horizontal="center" vertical="center" wrapText="1"/>
      <protection/>
    </xf>
    <xf numFmtId="0" fontId="45" fillId="8" borderId="14" xfId="0" applyFont="1" applyFill="1" applyBorder="1" applyAlignment="1">
      <alignment horizontal="center" vertical="center" wrapText="1"/>
    </xf>
    <xf numFmtId="0" fontId="43" fillId="12" borderId="8" xfId="0" applyFont="1" applyFill="1" applyBorder="1" applyAlignment="1" applyProtection="1">
      <alignment horizontal="centerContinuous" vertical="center" wrapText="1"/>
      <protection/>
    </xf>
    <xf numFmtId="0" fontId="43" fillId="12" borderId="9" xfId="0" applyFont="1" applyFill="1" applyBorder="1" applyAlignment="1">
      <alignment horizontal="centerContinuous" vertical="center"/>
    </xf>
    <xf numFmtId="0" fontId="46" fillId="6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76" fillId="8" borderId="30" xfId="0" applyFont="1" applyFill="1" applyBorder="1" applyAlignment="1">
      <alignment horizontal="center"/>
    </xf>
    <xf numFmtId="0" fontId="44" fillId="12" borderId="32" xfId="0" applyFont="1" applyFill="1" applyBorder="1" applyAlignment="1">
      <alignment horizontal="center"/>
    </xf>
    <xf numFmtId="0" fontId="44" fillId="12" borderId="33" xfId="0" applyFont="1" applyFill="1" applyBorder="1" applyAlignment="1">
      <alignment horizontal="center"/>
    </xf>
    <xf numFmtId="0" fontId="47" fillId="6" borderId="3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7" fontId="26" fillId="0" borderId="30" xfId="0" applyNumberFormat="1" applyFont="1" applyFill="1" applyBorder="1" applyAlignment="1">
      <alignment horizontal="center"/>
    </xf>
    <xf numFmtId="0" fontId="9" fillId="0" borderId="24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166" fontId="33" fillId="2" borderId="19" xfId="0" applyNumberFormat="1" applyFont="1" applyFill="1" applyBorder="1" applyAlignment="1" applyProtection="1">
      <alignment horizontal="center"/>
      <protection/>
    </xf>
    <xf numFmtId="22" fontId="4" fillId="0" borderId="37" xfId="0" applyNumberFormat="1" applyFont="1" applyBorder="1" applyAlignment="1">
      <alignment horizontal="center"/>
    </xf>
    <xf numFmtId="22" fontId="4" fillId="0" borderId="49" xfId="0" applyNumberFormat="1" applyFont="1" applyBorder="1" applyAlignment="1" applyProtection="1">
      <alignment horizontal="center"/>
      <protection/>
    </xf>
    <xf numFmtId="2" fontId="4" fillId="0" borderId="19" xfId="0" applyNumberFormat="1" applyFont="1" applyFill="1" applyBorder="1" applyAlignment="1" applyProtection="1" quotePrefix="1">
      <alignment horizontal="center"/>
      <protection/>
    </xf>
    <xf numFmtId="164" fontId="4" fillId="0" borderId="19" xfId="0" applyNumberFormat="1" applyFont="1" applyFill="1" applyBorder="1" applyAlignment="1" applyProtection="1" quotePrefix="1">
      <alignment horizontal="center"/>
      <protection/>
    </xf>
    <xf numFmtId="166" fontId="4" fillId="0" borderId="36" xfId="0" applyNumberFormat="1" applyFont="1" applyBorder="1" applyAlignment="1" applyProtection="1">
      <alignment horizontal="center"/>
      <protection/>
    </xf>
    <xf numFmtId="166" fontId="4" fillId="0" borderId="19" xfId="0" applyNumberFormat="1" applyFont="1" applyBorder="1" applyAlignment="1" applyProtection="1">
      <alignment horizontal="center"/>
      <protection/>
    </xf>
    <xf numFmtId="164" fontId="33" fillId="2" borderId="24" xfId="0" applyNumberFormat="1" applyFont="1" applyFill="1" applyBorder="1" applyAlignment="1" applyProtection="1">
      <alignment horizontal="center"/>
      <protection/>
    </xf>
    <xf numFmtId="2" fontId="76" fillId="8" borderId="19" xfId="0" applyNumberFormat="1" applyFont="1" applyFill="1" applyBorder="1" applyAlignment="1">
      <alignment horizontal="center"/>
    </xf>
    <xf numFmtId="166" fontId="44" fillId="12" borderId="37" xfId="0" applyNumberFormat="1" applyFont="1" applyFill="1" applyBorder="1" applyAlignment="1" applyProtection="1" quotePrefix="1">
      <alignment horizontal="center"/>
      <protection/>
    </xf>
    <xf numFmtId="166" fontId="44" fillId="12" borderId="38" xfId="0" applyNumberFormat="1" applyFont="1" applyFill="1" applyBorder="1" applyAlignment="1" applyProtection="1" quotePrefix="1">
      <alignment horizontal="center"/>
      <protection/>
    </xf>
    <xf numFmtId="166" fontId="47" fillId="6" borderId="19" xfId="0" applyNumberFormat="1" applyFont="1" applyFill="1" applyBorder="1" applyAlignment="1" applyProtection="1" quotePrefix="1">
      <alignment horizontal="center"/>
      <protection/>
    </xf>
    <xf numFmtId="166" fontId="26" fillId="0" borderId="19" xfId="0" applyNumberFormat="1" applyFont="1" applyFill="1" applyBorder="1" applyAlignment="1">
      <alignment horizontal="center"/>
    </xf>
    <xf numFmtId="0" fontId="9" fillId="0" borderId="50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2" fontId="4" fillId="0" borderId="51" xfId="0" applyNumberFormat="1" applyFont="1" applyFill="1" applyBorder="1" applyAlignment="1" applyProtection="1" quotePrefix="1">
      <alignment horizontal="center"/>
      <protection/>
    </xf>
    <xf numFmtId="0" fontId="9" fillId="0" borderId="3" xfId="0" applyFont="1" applyBorder="1" applyAlignment="1" applyProtection="1">
      <alignment horizontal="center"/>
      <protection locked="0"/>
    </xf>
    <xf numFmtId="164" fontId="33" fillId="2" borderId="52" xfId="0" applyNumberFormat="1" applyFont="1" applyFill="1" applyBorder="1" applyAlignment="1" applyProtection="1">
      <alignment horizontal="center"/>
      <protection locked="0"/>
    </xf>
    <xf numFmtId="2" fontId="76" fillId="8" borderId="3" xfId="0" applyNumberFormat="1" applyFont="1" applyFill="1" applyBorder="1" applyAlignment="1" applyProtection="1">
      <alignment horizontal="center"/>
      <protection locked="0"/>
    </xf>
    <xf numFmtId="166" fontId="44" fillId="12" borderId="40" xfId="0" applyNumberFormat="1" applyFont="1" applyFill="1" applyBorder="1" applyAlignment="1" applyProtection="1" quotePrefix="1">
      <alignment horizontal="center"/>
      <protection locked="0"/>
    </xf>
    <xf numFmtId="166" fontId="44" fillId="12" borderId="41" xfId="0" applyNumberFormat="1" applyFont="1" applyFill="1" applyBorder="1" applyAlignment="1" applyProtection="1" quotePrefix="1">
      <alignment horizontal="center"/>
      <protection locked="0"/>
    </xf>
    <xf numFmtId="166" fontId="47" fillId="6" borderId="3" xfId="0" applyNumberFormat="1" applyFont="1" applyFill="1" applyBorder="1" applyAlignment="1" applyProtection="1" quotePrefix="1">
      <alignment horizontal="center"/>
      <protection locked="0"/>
    </xf>
    <xf numFmtId="166" fontId="26" fillId="0" borderId="28" xfId="0" applyNumberFormat="1" applyFont="1" applyFill="1" applyBorder="1" applyAlignment="1">
      <alignment horizontal="center"/>
    </xf>
    <xf numFmtId="4" fontId="76" fillId="8" borderId="14" xfId="0" applyNumberFormat="1" applyFont="1" applyFill="1" applyBorder="1" applyAlignment="1">
      <alignment horizontal="center"/>
    </xf>
    <xf numFmtId="4" fontId="44" fillId="12" borderId="43" xfId="0" applyNumberFormat="1" applyFont="1" applyFill="1" applyBorder="1" applyAlignment="1">
      <alignment horizontal="center"/>
    </xf>
    <xf numFmtId="4" fontId="44" fillId="12" borderId="9" xfId="0" applyNumberFormat="1" applyFont="1" applyFill="1" applyBorder="1" applyAlignment="1">
      <alignment horizontal="center"/>
    </xf>
    <xf numFmtId="4" fontId="47" fillId="6" borderId="14" xfId="0" applyNumberFormat="1" applyFont="1" applyFill="1" applyBorder="1" applyAlignment="1">
      <alignment horizontal="center"/>
    </xf>
    <xf numFmtId="0" fontId="4" fillId="0" borderId="53" xfId="0" applyFont="1" applyBorder="1"/>
    <xf numFmtId="0" fontId="55" fillId="0" borderId="0" xfId="0" applyFont="1"/>
    <xf numFmtId="164" fontId="4" fillId="0" borderId="4" xfId="0" applyNumberFormat="1" applyFont="1" applyBorder="1" applyAlignment="1" applyProtection="1">
      <alignment horizontal="center"/>
      <protection/>
    </xf>
    <xf numFmtId="22" fontId="4" fillId="0" borderId="24" xfId="0" applyNumberFormat="1" applyFont="1" applyBorder="1" applyAlignment="1">
      <alignment horizontal="center"/>
    </xf>
    <xf numFmtId="0" fontId="79" fillId="0" borderId="0" xfId="0" applyFont="1" applyFill="1"/>
    <xf numFmtId="0" fontId="80" fillId="0" borderId="0" xfId="0" applyFont="1" applyAlignment="1">
      <alignment horizontal="centerContinuous"/>
    </xf>
    <xf numFmtId="0" fontId="79" fillId="0" borderId="0" xfId="0" applyFont="1" applyAlignment="1">
      <alignment horizontal="centerContinuous"/>
    </xf>
    <xf numFmtId="0" fontId="79" fillId="0" borderId="0" xfId="0" applyFont="1"/>
    <xf numFmtId="0" fontId="20" fillId="0" borderId="0" xfId="0" applyFont="1" applyAlignment="1">
      <alignment/>
    </xf>
    <xf numFmtId="0" fontId="81" fillId="0" borderId="0" xfId="0" applyFont="1" applyBorder="1" applyAlignment="1" quotePrefix="1">
      <alignment horizontal="left"/>
    </xf>
    <xf numFmtId="0" fontId="19" fillId="0" borderId="7" xfId="0" applyFont="1" applyBorder="1"/>
    <xf numFmtId="0" fontId="19" fillId="0" borderId="0" xfId="0" applyFont="1" applyBorder="1" applyAlignment="1">
      <alignment horizontal="right"/>
    </xf>
    <xf numFmtId="7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2" fillId="0" borderId="0" xfId="0" applyFont="1" applyBorder="1" applyAlignment="1" quotePrefix="1">
      <alignment horizontal="left"/>
    </xf>
    <xf numFmtId="0" fontId="19" fillId="0" borderId="1" xfId="0" applyFont="1" applyFill="1" applyBorder="1"/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Border="1" applyAlignment="1">
      <alignment horizontal="center"/>
    </xf>
    <xf numFmtId="166" fontId="19" fillId="0" borderId="0" xfId="0" applyNumberFormat="1" applyFont="1" applyBorder="1" applyAlignment="1" applyProtection="1">
      <alignment horizontal="left"/>
      <protection/>
    </xf>
    <xf numFmtId="0" fontId="19" fillId="0" borderId="0" xfId="0" applyFont="1" applyAlignment="1">
      <alignment horizontal="right"/>
    </xf>
    <xf numFmtId="10" fontId="19" fillId="0" borderId="0" xfId="0" applyNumberFormat="1" applyFont="1" applyBorder="1" applyAlignment="1" applyProtection="1">
      <alignment horizontal="right"/>
      <protection/>
    </xf>
    <xf numFmtId="7" fontId="19" fillId="0" borderId="0" xfId="0" applyNumberFormat="1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"/>
      <protection/>
    </xf>
    <xf numFmtId="166" fontId="10" fillId="0" borderId="8" xfId="0" applyNumberFormat="1" applyFont="1" applyBorder="1" applyAlignment="1" applyProtection="1">
      <alignment horizontal="center"/>
      <protection/>
    </xf>
    <xf numFmtId="172" fontId="19" fillId="0" borderId="9" xfId="0" applyNumberFormat="1" applyFont="1" applyBorder="1" applyAlignment="1" applyProtection="1">
      <alignment horizontal="centerContinuous"/>
      <protection/>
    </xf>
    <xf numFmtId="0" fontId="45" fillId="13" borderId="14" xfId="0" applyFont="1" applyFill="1" applyBorder="1" applyAlignment="1">
      <alignment horizontal="center" vertical="center" wrapText="1"/>
    </xf>
    <xf numFmtId="0" fontId="83" fillId="3" borderId="8" xfId="0" applyFont="1" applyFill="1" applyBorder="1" applyAlignment="1" applyProtection="1">
      <alignment horizontal="centerContinuous" vertical="center" wrapText="1"/>
      <protection/>
    </xf>
    <xf numFmtId="0" fontId="84" fillId="3" borderId="15" xfId="0" applyFont="1" applyFill="1" applyBorder="1" applyAlignment="1">
      <alignment horizontal="centerContinuous"/>
    </xf>
    <xf numFmtId="0" fontId="83" fillId="3" borderId="9" xfId="0" applyFont="1" applyFill="1" applyBorder="1" applyAlignment="1">
      <alignment horizontal="centerContinuous" vertical="center"/>
    </xf>
    <xf numFmtId="0" fontId="39" fillId="14" borderId="8" xfId="0" applyFont="1" applyFill="1" applyBorder="1" applyAlignment="1">
      <alignment horizontal="centerContinuous" vertical="center" wrapText="1"/>
    </xf>
    <xf numFmtId="0" fontId="40" fillId="14" borderId="15" xfId="0" applyFont="1" applyFill="1" applyBorder="1" applyAlignment="1">
      <alignment horizontal="centerContinuous"/>
    </xf>
    <xf numFmtId="0" fontId="39" fillId="14" borderId="9" xfId="0" applyFont="1" applyFill="1" applyBorder="1" applyAlignment="1">
      <alignment horizontal="centerContinuous" vertical="center"/>
    </xf>
    <xf numFmtId="0" fontId="39" fillId="8" borderId="14" xfId="0" applyFont="1" applyFill="1" applyBorder="1" applyAlignment="1">
      <alignment horizontal="centerContinuous" vertical="center" wrapText="1"/>
    </xf>
    <xf numFmtId="0" fontId="39" fillId="15" borderId="14" xfId="0" applyFont="1" applyFill="1" applyBorder="1" applyAlignment="1">
      <alignment horizontal="centerContinuous" vertical="center" wrapText="1"/>
    </xf>
    <xf numFmtId="0" fontId="19" fillId="0" borderId="2" xfId="0" applyFont="1" applyBorder="1"/>
    <xf numFmtId="164" fontId="19" fillId="0" borderId="4" xfId="0" applyNumberFormat="1" applyFont="1" applyBorder="1" applyProtection="1">
      <protection/>
    </xf>
    <xf numFmtId="164" fontId="19" fillId="0" borderId="2" xfId="0" applyNumberFormat="1" applyFont="1" applyBorder="1" applyAlignment="1" applyProtection="1">
      <alignment horizontal="center"/>
      <protection/>
    </xf>
    <xf numFmtId="164" fontId="19" fillId="0" borderId="17" xfId="0" applyNumberFormat="1" applyFont="1" applyBorder="1" applyAlignment="1" applyProtection="1">
      <alignment horizontal="center"/>
      <protection/>
    </xf>
    <xf numFmtId="164" fontId="85" fillId="2" borderId="17" xfId="0" applyNumberFormat="1" applyFont="1" applyFill="1" applyBorder="1" applyAlignment="1" applyProtection="1">
      <alignment horizontal="center"/>
      <protection/>
    </xf>
    <xf numFmtId="0" fontId="86" fillId="4" borderId="17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41" fillId="5" borderId="17" xfId="0" applyFont="1" applyFill="1" applyBorder="1" applyAlignment="1">
      <alignment horizontal="center"/>
    </xf>
    <xf numFmtId="0" fontId="76" fillId="13" borderId="17" xfId="0" applyFont="1" applyFill="1" applyBorder="1" applyAlignment="1">
      <alignment horizontal="center"/>
    </xf>
    <xf numFmtId="166" fontId="87" fillId="3" borderId="32" xfId="0" applyNumberFormat="1" applyFont="1" applyFill="1" applyBorder="1" applyAlignment="1" applyProtection="1" quotePrefix="1">
      <alignment horizontal="center"/>
      <protection/>
    </xf>
    <xf numFmtId="166" fontId="87" fillId="3" borderId="55" xfId="0" applyNumberFormat="1" applyFont="1" applyFill="1" applyBorder="1" applyAlignment="1" applyProtection="1" quotePrefix="1">
      <alignment horizontal="center"/>
      <protection/>
    </xf>
    <xf numFmtId="4" fontId="87" fillId="3" borderId="56" xfId="0" applyNumberFormat="1" applyFont="1" applyFill="1" applyBorder="1" applyAlignment="1" applyProtection="1">
      <alignment horizontal="center"/>
      <protection/>
    </xf>
    <xf numFmtId="166" fontId="41" fillId="14" borderId="32" xfId="0" applyNumberFormat="1" applyFont="1" applyFill="1" applyBorder="1" applyAlignment="1" applyProtection="1" quotePrefix="1">
      <alignment horizontal="center"/>
      <protection/>
    </xf>
    <xf numFmtId="166" fontId="41" fillId="14" borderId="55" xfId="0" applyNumberFormat="1" applyFont="1" applyFill="1" applyBorder="1" applyAlignment="1" applyProtection="1" quotePrefix="1">
      <alignment horizontal="center"/>
      <protection/>
    </xf>
    <xf numFmtId="4" fontId="41" fillId="14" borderId="56" xfId="0" applyNumberFormat="1" applyFont="1" applyFill="1" applyBorder="1" applyAlignment="1" applyProtection="1">
      <alignment horizontal="center"/>
      <protection/>
    </xf>
    <xf numFmtId="4" fontId="41" fillId="8" borderId="17" xfId="0" applyNumberFormat="1" applyFont="1" applyFill="1" applyBorder="1" applyAlignment="1" applyProtection="1">
      <alignment horizontal="center"/>
      <protection/>
    </xf>
    <xf numFmtId="4" fontId="41" fillId="15" borderId="17" xfId="0" applyNumberFormat="1" applyFont="1" applyFill="1" applyBorder="1" applyAlignment="1" applyProtection="1">
      <alignment horizontal="center"/>
      <protection/>
    </xf>
    <xf numFmtId="0" fontId="4" fillId="0" borderId="56" xfId="0" applyFont="1" applyBorder="1" applyAlignment="1">
      <alignment horizontal="left"/>
    </xf>
    <xf numFmtId="0" fontId="7" fillId="0" borderId="56" xfId="0" applyFont="1" applyBorder="1" applyAlignment="1">
      <alignment horizontal="center"/>
    </xf>
    <xf numFmtId="165" fontId="4" fillId="0" borderId="2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center"/>
      <protection/>
    </xf>
    <xf numFmtId="0" fontId="85" fillId="2" borderId="2" xfId="0" applyFont="1" applyFill="1" applyBorder="1" applyAlignment="1" applyProtection="1">
      <alignment horizontal="center"/>
      <protection/>
    </xf>
    <xf numFmtId="166" fontId="86" fillId="4" borderId="2" xfId="0" applyNumberFormat="1" applyFont="1" applyFill="1" applyBorder="1" applyAlignment="1" applyProtection="1">
      <alignment horizontal="center"/>
      <protection/>
    </xf>
    <xf numFmtId="22" fontId="4" fillId="0" borderId="2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 applyProtection="1" quotePrefix="1">
      <alignment horizontal="center"/>
      <protection/>
    </xf>
    <xf numFmtId="166" fontId="4" fillId="0" borderId="4" xfId="0" applyNumberFormat="1" applyFont="1" applyBorder="1" applyAlignment="1" applyProtection="1">
      <alignment horizontal="center"/>
      <protection/>
    </xf>
    <xf numFmtId="168" fontId="4" fillId="0" borderId="4" xfId="0" applyNumberFormat="1" applyFont="1" applyBorder="1" applyAlignment="1" applyProtection="1" quotePrefix="1">
      <alignment horizontal="center"/>
      <protection/>
    </xf>
    <xf numFmtId="2" fontId="41" fillId="5" borderId="2" xfId="0" applyNumberFormat="1" applyFont="1" applyFill="1" applyBorder="1" applyAlignment="1" applyProtection="1">
      <alignment horizontal="center"/>
      <protection/>
    </xf>
    <xf numFmtId="2" fontId="76" fillId="13" borderId="2" xfId="0" applyNumberFormat="1" applyFont="1" applyFill="1" applyBorder="1" applyAlignment="1" applyProtection="1">
      <alignment horizontal="center"/>
      <protection/>
    </xf>
    <xf numFmtId="166" fontId="87" fillId="3" borderId="22" xfId="0" applyNumberFormat="1" applyFont="1" applyFill="1" applyBorder="1" applyAlignment="1" applyProtection="1" quotePrefix="1">
      <alignment horizontal="center"/>
      <protection/>
    </xf>
    <xf numFmtId="166" fontId="87" fillId="3" borderId="23" xfId="0" applyNumberFormat="1" applyFont="1" applyFill="1" applyBorder="1" applyAlignment="1" applyProtection="1" quotePrefix="1">
      <alignment horizontal="center"/>
      <protection/>
    </xf>
    <xf numFmtId="4" fontId="87" fillId="3" borderId="4" xfId="0" applyNumberFormat="1" applyFont="1" applyFill="1" applyBorder="1" applyAlignment="1" applyProtection="1">
      <alignment horizontal="center"/>
      <protection/>
    </xf>
    <xf numFmtId="166" fontId="41" fillId="14" borderId="22" xfId="0" applyNumberFormat="1" applyFont="1" applyFill="1" applyBorder="1" applyAlignment="1" applyProtection="1" quotePrefix="1">
      <alignment horizontal="center"/>
      <protection/>
    </xf>
    <xf numFmtId="166" fontId="41" fillId="14" borderId="23" xfId="0" applyNumberFormat="1" applyFont="1" applyFill="1" applyBorder="1" applyAlignment="1" applyProtection="1" quotePrefix="1">
      <alignment horizontal="center"/>
      <protection/>
    </xf>
    <xf numFmtId="4" fontId="41" fillId="14" borderId="4" xfId="0" applyNumberFormat="1" applyFont="1" applyFill="1" applyBorder="1" applyAlignment="1" applyProtection="1">
      <alignment horizontal="center"/>
      <protection/>
    </xf>
    <xf numFmtId="4" fontId="41" fillId="8" borderId="2" xfId="0" applyNumberFormat="1" applyFont="1" applyFill="1" applyBorder="1" applyAlignment="1" applyProtection="1">
      <alignment horizontal="center"/>
      <protection/>
    </xf>
    <xf numFmtId="4" fontId="41" fillId="15" borderId="2" xfId="0" applyNumberFormat="1" applyFont="1" applyFill="1" applyBorder="1" applyAlignment="1" applyProtection="1">
      <alignment horizontal="center"/>
      <protection/>
    </xf>
    <xf numFmtId="4" fontId="4" fillId="0" borderId="4" xfId="0" applyNumberFormat="1" applyFont="1" applyBorder="1" applyAlignment="1" applyProtection="1">
      <alignment horizontal="center"/>
      <protection/>
    </xf>
    <xf numFmtId="0" fontId="19" fillId="0" borderId="3" xfId="0" applyFont="1" applyBorder="1" applyAlignment="1">
      <alignment horizontal="center"/>
    </xf>
    <xf numFmtId="164" fontId="88" fillId="0" borderId="3" xfId="0" applyNumberFormat="1" applyFont="1" applyBorder="1" applyAlignment="1" applyProtection="1">
      <alignment horizontal="center"/>
      <protection/>
    </xf>
    <xf numFmtId="0" fontId="19" fillId="0" borderId="3" xfId="0" applyFont="1" applyBorder="1" applyAlignment="1" applyProtection="1">
      <alignment horizontal="center"/>
      <protection/>
    </xf>
    <xf numFmtId="165" fontId="19" fillId="0" borderId="3" xfId="0" applyNumberFormat="1" applyFont="1" applyBorder="1" applyAlignment="1" applyProtection="1">
      <alignment horizontal="center"/>
      <protection/>
    </xf>
    <xf numFmtId="165" fontId="85" fillId="2" borderId="3" xfId="0" applyNumberFormat="1" applyFont="1" applyFill="1" applyBorder="1" applyAlignment="1" applyProtection="1">
      <alignment horizontal="center"/>
      <protection/>
    </xf>
    <xf numFmtId="166" fontId="86" fillId="4" borderId="3" xfId="0" applyNumberFormat="1" applyFont="1" applyFill="1" applyBorder="1" applyAlignment="1" applyProtection="1">
      <alignment horizontal="center"/>
      <protection/>
    </xf>
    <xf numFmtId="166" fontId="19" fillId="0" borderId="3" xfId="0" applyNumberFormat="1" applyFont="1" applyBorder="1" applyAlignment="1" applyProtection="1">
      <alignment horizontal="center"/>
      <protection/>
    </xf>
    <xf numFmtId="168" fontId="4" fillId="0" borderId="3" xfId="0" applyNumberFormat="1" applyFont="1" applyBorder="1" applyAlignment="1" applyProtection="1" quotePrefix="1">
      <alignment horizontal="center"/>
      <protection/>
    </xf>
    <xf numFmtId="2" fontId="41" fillId="5" borderId="3" xfId="0" applyNumberFormat="1" applyFont="1" applyFill="1" applyBorder="1" applyAlignment="1" applyProtection="1">
      <alignment horizontal="center"/>
      <protection/>
    </xf>
    <xf numFmtId="2" fontId="76" fillId="13" borderId="3" xfId="0" applyNumberFormat="1" applyFont="1" applyFill="1" applyBorder="1" applyAlignment="1" applyProtection="1">
      <alignment horizontal="center"/>
      <protection/>
    </xf>
    <xf numFmtId="166" fontId="87" fillId="3" borderId="25" xfId="0" applyNumberFormat="1" applyFont="1" applyFill="1" applyBorder="1" applyAlignment="1" applyProtection="1" quotePrefix="1">
      <alignment horizontal="center"/>
      <protection/>
    </xf>
    <xf numFmtId="166" fontId="87" fillId="3" borderId="57" xfId="0" applyNumberFormat="1" applyFont="1" applyFill="1" applyBorder="1" applyAlignment="1" applyProtection="1" quotePrefix="1">
      <alignment horizontal="center"/>
      <protection/>
    </xf>
    <xf numFmtId="4" fontId="87" fillId="3" borderId="20" xfId="0" applyNumberFormat="1" applyFont="1" applyFill="1" applyBorder="1" applyAlignment="1" applyProtection="1">
      <alignment horizontal="center"/>
      <protection/>
    </xf>
    <xf numFmtId="166" fontId="41" fillId="14" borderId="25" xfId="0" applyNumberFormat="1" applyFont="1" applyFill="1" applyBorder="1" applyAlignment="1" applyProtection="1" quotePrefix="1">
      <alignment horizontal="center"/>
      <protection/>
    </xf>
    <xf numFmtId="166" fontId="41" fillId="14" borderId="57" xfId="0" applyNumberFormat="1" applyFont="1" applyFill="1" applyBorder="1" applyAlignment="1" applyProtection="1" quotePrefix="1">
      <alignment horizontal="center"/>
      <protection/>
    </xf>
    <xf numFmtId="4" fontId="41" fillId="14" borderId="20" xfId="0" applyNumberFormat="1" applyFont="1" applyFill="1" applyBorder="1" applyAlignment="1" applyProtection="1">
      <alignment horizontal="center"/>
      <protection/>
    </xf>
    <xf numFmtId="4" fontId="41" fillId="8" borderId="3" xfId="0" applyNumberFormat="1" applyFont="1" applyFill="1" applyBorder="1" applyAlignment="1" applyProtection="1">
      <alignment horizontal="center"/>
      <protection/>
    </xf>
    <xf numFmtId="4" fontId="41" fillId="15" borderId="3" xfId="0" applyNumberFormat="1" applyFont="1" applyFill="1" applyBorder="1" applyAlignment="1" applyProtection="1">
      <alignment horizontal="center"/>
      <protection/>
    </xf>
    <xf numFmtId="4" fontId="6" fillId="0" borderId="3" xfId="0" applyNumberFormat="1" applyFont="1" applyBorder="1" applyAlignment="1" applyProtection="1">
      <alignment horizontal="center"/>
      <protection/>
    </xf>
    <xf numFmtId="166" fontId="25" fillId="0" borderId="3" xfId="0" applyNumberFormat="1" applyFont="1" applyFill="1" applyBorder="1" applyAlignment="1">
      <alignment horizontal="center"/>
    </xf>
    <xf numFmtId="164" fontId="88" fillId="0" borderId="0" xfId="0" applyNumberFormat="1" applyFont="1" applyBorder="1" applyAlignment="1" applyProtection="1">
      <alignment horizontal="center"/>
      <protection/>
    </xf>
    <xf numFmtId="165" fontId="19" fillId="0" borderId="0" xfId="0" applyNumberFormat="1" applyFont="1" applyBorder="1" applyAlignment="1" applyProtection="1">
      <alignment horizontal="center"/>
      <protection/>
    </xf>
    <xf numFmtId="166" fontId="19" fillId="0" borderId="0" xfId="0" applyNumberFormat="1" applyFont="1" applyBorder="1" applyAlignment="1" applyProtection="1">
      <alignment horizontal="center"/>
      <protection/>
    </xf>
    <xf numFmtId="168" fontId="19" fillId="0" borderId="0" xfId="0" applyNumberFormat="1" applyFont="1" applyBorder="1" applyAlignment="1" applyProtection="1" quotePrefix="1">
      <alignment horizontal="center"/>
      <protection/>
    </xf>
    <xf numFmtId="2" fontId="86" fillId="5" borderId="14" xfId="0" applyNumberFormat="1" applyFont="1" applyFill="1" applyBorder="1" applyAlignment="1" applyProtection="1">
      <alignment horizontal="center"/>
      <protection/>
    </xf>
    <xf numFmtId="2" fontId="74" fillId="13" borderId="14" xfId="0" applyNumberFormat="1" applyFont="1" applyFill="1" applyBorder="1" applyAlignment="1" applyProtection="1">
      <alignment horizontal="center"/>
      <protection/>
    </xf>
    <xf numFmtId="2" fontId="89" fillId="3" borderId="14" xfId="0" applyNumberFormat="1" applyFont="1" applyFill="1" applyBorder="1" applyAlignment="1" applyProtection="1">
      <alignment horizontal="center"/>
      <protection/>
    </xf>
    <xf numFmtId="2" fontId="86" fillId="14" borderId="14" xfId="0" applyNumberFormat="1" applyFont="1" applyFill="1" applyBorder="1" applyAlignment="1" applyProtection="1">
      <alignment horizontal="center"/>
      <protection/>
    </xf>
    <xf numFmtId="2" fontId="86" fillId="8" borderId="14" xfId="0" applyNumberFormat="1" applyFont="1" applyFill="1" applyBorder="1" applyAlignment="1" applyProtection="1">
      <alignment horizontal="center"/>
      <protection/>
    </xf>
    <xf numFmtId="2" fontId="86" fillId="15" borderId="14" xfId="0" applyNumberFormat="1" applyFont="1" applyFill="1" applyBorder="1" applyAlignment="1" applyProtection="1">
      <alignment horizontal="center"/>
      <protection/>
    </xf>
    <xf numFmtId="2" fontId="19" fillId="0" borderId="31" xfId="0" applyNumberFormat="1" applyFont="1" applyBorder="1" applyAlignment="1" applyProtection="1">
      <alignment horizontal="center"/>
      <protection/>
    </xf>
    <xf numFmtId="7" fontId="7" fillId="0" borderId="14" xfId="0" applyNumberFormat="1" applyFont="1" applyBorder="1" applyAlignment="1" applyProtection="1">
      <alignment horizontal="right"/>
      <protection/>
    </xf>
    <xf numFmtId="2" fontId="86" fillId="0" borderId="15" xfId="0" applyNumberFormat="1" applyFont="1" applyFill="1" applyBorder="1" applyAlignment="1" applyProtection="1">
      <alignment horizontal="center"/>
      <protection/>
    </xf>
    <xf numFmtId="2" fontId="74" fillId="0" borderId="15" xfId="0" applyNumberFormat="1" applyFont="1" applyFill="1" applyBorder="1" applyAlignment="1" applyProtection="1">
      <alignment horizontal="center"/>
      <protection/>
    </xf>
    <xf numFmtId="2" fontId="89" fillId="0" borderId="15" xfId="0" applyNumberFormat="1" applyFont="1" applyFill="1" applyBorder="1" applyAlignment="1" applyProtection="1">
      <alignment horizontal="center"/>
      <protection/>
    </xf>
    <xf numFmtId="2" fontId="19" fillId="0" borderId="0" xfId="0" applyNumberFormat="1" applyFont="1" applyBorder="1" applyAlignment="1" applyProtection="1">
      <alignment horizontal="center"/>
      <protection/>
    </xf>
    <xf numFmtId="7" fontId="19" fillId="0" borderId="0" xfId="0" applyNumberFormat="1" applyFont="1" applyBorder="1" applyAlignment="1" applyProtection="1">
      <alignment horizontal="center"/>
      <protection/>
    </xf>
    <xf numFmtId="0" fontId="32" fillId="16" borderId="14" xfId="0" applyFont="1" applyFill="1" applyBorder="1" applyAlignment="1" applyProtection="1">
      <alignment horizontal="center" vertical="center"/>
      <protection/>
    </xf>
    <xf numFmtId="0" fontId="24" fillId="0" borderId="8" xfId="0" applyFont="1" applyFill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 applyProtection="1">
      <alignment horizontal="centerContinuous" vertical="center"/>
      <protection/>
    </xf>
    <xf numFmtId="0" fontId="39" fillId="17" borderId="14" xfId="0" applyFont="1" applyFill="1" applyBorder="1" applyAlignment="1">
      <alignment horizontal="center" vertical="center" wrapText="1"/>
    </xf>
    <xf numFmtId="0" fontId="39" fillId="18" borderId="8" xfId="0" applyFont="1" applyFill="1" applyBorder="1" applyAlignment="1" applyProtection="1">
      <alignment horizontal="centerContinuous" vertical="center" wrapText="1"/>
      <protection/>
    </xf>
    <xf numFmtId="0" fontId="39" fillId="18" borderId="9" xfId="0" applyFont="1" applyFill="1" applyBorder="1" applyAlignment="1">
      <alignment horizontal="centerContinuous" vertical="center"/>
    </xf>
    <xf numFmtId="0" fontId="39" fillId="3" borderId="14" xfId="0" applyFont="1" applyFill="1" applyBorder="1" applyAlignment="1">
      <alignment horizontal="centerContinuous" vertical="center" wrapText="1"/>
    </xf>
    <xf numFmtId="0" fontId="39" fillId="16" borderId="58" xfId="0" applyFont="1" applyFill="1" applyBorder="1" applyAlignment="1">
      <alignment vertical="center" wrapText="1"/>
    </xf>
    <xf numFmtId="0" fontId="39" fillId="16" borderId="16" xfId="0" applyFont="1" applyFill="1" applyBorder="1" applyAlignment="1">
      <alignment vertical="center" wrapText="1"/>
    </xf>
    <xf numFmtId="0" fontId="39" fillId="16" borderId="31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 applyProtection="1">
      <alignment horizontal="center"/>
      <protection/>
    </xf>
    <xf numFmtId="0" fontId="90" fillId="2" borderId="2" xfId="0" applyFont="1" applyFill="1" applyBorder="1" applyAlignment="1">
      <alignment horizontal="center"/>
    </xf>
    <xf numFmtId="0" fontId="90" fillId="16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2" fillId="17" borderId="17" xfId="0" applyFont="1" applyFill="1" applyBorder="1" applyAlignment="1">
      <alignment horizontal="center"/>
    </xf>
    <xf numFmtId="0" fontId="42" fillId="18" borderId="32" xfId="0" applyFont="1" applyFill="1" applyBorder="1" applyAlignment="1">
      <alignment horizontal="center"/>
    </xf>
    <xf numFmtId="0" fontId="42" fillId="18" borderId="33" xfId="0" applyFont="1" applyFill="1" applyBorder="1" applyAlignment="1">
      <alignment horizontal="left"/>
    </xf>
    <xf numFmtId="0" fontId="42" fillId="3" borderId="17" xfId="0" applyFont="1" applyFill="1" applyBorder="1" applyAlignment="1">
      <alignment horizontal="left"/>
    </xf>
    <xf numFmtId="0" fontId="42" fillId="16" borderId="48" xfId="0" applyFont="1" applyFill="1" applyBorder="1" applyAlignment="1">
      <alignment horizontal="left"/>
    </xf>
    <xf numFmtId="0" fontId="42" fillId="16" borderId="0" xfId="0" applyFont="1" applyFill="1" applyBorder="1" applyAlignment="1">
      <alignment horizontal="left"/>
    </xf>
    <xf numFmtId="0" fontId="42" fillId="16" borderId="47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4" fillId="0" borderId="19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164" fontId="4" fillId="0" borderId="19" xfId="0" applyNumberFormat="1" applyFont="1" applyBorder="1" applyAlignment="1" applyProtection="1">
      <alignment horizontal="center"/>
      <protection/>
    </xf>
    <xf numFmtId="1" fontId="4" fillId="0" borderId="38" xfId="0" applyNumberFormat="1" applyFont="1" applyBorder="1" applyAlignment="1" applyProtection="1" quotePrefix="1">
      <alignment horizontal="center"/>
      <protection/>
    </xf>
    <xf numFmtId="166" fontId="90" fillId="2" borderId="2" xfId="0" applyNumberFormat="1" applyFont="1" applyFill="1" applyBorder="1" applyAlignment="1" applyProtection="1">
      <alignment horizontal="center"/>
      <protection/>
    </xf>
    <xf numFmtId="166" fontId="90" fillId="16" borderId="2" xfId="0" applyNumberFormat="1" applyFont="1" applyFill="1" applyBorder="1" applyAlignment="1" applyProtection="1">
      <alignment horizontal="center"/>
      <protection/>
    </xf>
    <xf numFmtId="22" fontId="4" fillId="0" borderId="2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Border="1" applyAlignment="1" applyProtection="1">
      <alignment horizontal="centerContinuous"/>
      <protection/>
    </xf>
    <xf numFmtId="166" fontId="4" fillId="0" borderId="4" xfId="0" applyNumberFormat="1" applyFont="1" applyBorder="1" applyAlignment="1" applyProtection="1">
      <alignment horizontal="centerContinuous"/>
      <protection/>
    </xf>
    <xf numFmtId="164" fontId="33" fillId="2" borderId="2" xfId="0" applyNumberFormat="1" applyFont="1" applyFill="1" applyBorder="1" applyAlignment="1" applyProtection="1">
      <alignment horizontal="center"/>
      <protection/>
    </xf>
    <xf numFmtId="2" fontId="41" fillId="17" borderId="2" xfId="0" applyNumberFormat="1" applyFont="1" applyFill="1" applyBorder="1" applyAlignment="1">
      <alignment horizontal="center"/>
    </xf>
    <xf numFmtId="166" fontId="41" fillId="18" borderId="37" xfId="0" applyNumberFormat="1" applyFont="1" applyFill="1" applyBorder="1" applyAlignment="1" applyProtection="1" quotePrefix="1">
      <alignment horizontal="center"/>
      <protection/>
    </xf>
    <xf numFmtId="166" fontId="41" fillId="18" borderId="38" xfId="0" applyNumberFormat="1" applyFont="1" applyFill="1" applyBorder="1" applyAlignment="1" applyProtection="1" quotePrefix="1">
      <alignment horizontal="center"/>
      <protection/>
    </xf>
    <xf numFmtId="166" fontId="41" fillId="16" borderId="48" xfId="0" applyNumberFormat="1" applyFont="1" applyFill="1" applyBorder="1" applyAlignment="1" applyProtection="1" quotePrefix="1">
      <alignment horizontal="center"/>
      <protection/>
    </xf>
    <xf numFmtId="166" fontId="41" fillId="16" borderId="0" xfId="0" applyNumberFormat="1" applyFont="1" applyFill="1" applyBorder="1" applyAlignment="1" applyProtection="1" quotePrefix="1">
      <alignment horizontal="center"/>
      <protection/>
    </xf>
    <xf numFmtId="166" fontId="41" fillId="16" borderId="47" xfId="0" applyNumberFormat="1" applyFont="1" applyFill="1" applyBorder="1" applyAlignment="1" applyProtection="1" quotePrefix="1">
      <alignment horizontal="center"/>
      <protection/>
    </xf>
    <xf numFmtId="0" fontId="4" fillId="0" borderId="3" xfId="0" applyFont="1" applyFill="1" applyBorder="1" applyAlignment="1">
      <alignment horizontal="center"/>
    </xf>
    <xf numFmtId="0" fontId="4" fillId="0" borderId="39" xfId="0" applyFont="1" applyBorder="1" applyAlignment="1" applyProtection="1">
      <alignment horizontal="center"/>
      <protection/>
    </xf>
    <xf numFmtId="0" fontId="4" fillId="0" borderId="59" xfId="0" applyFont="1" applyBorder="1" applyAlignment="1" applyProtection="1">
      <alignment horizontal="center"/>
      <protection/>
    </xf>
    <xf numFmtId="164" fontId="4" fillId="0" borderId="39" xfId="0" applyNumberFormat="1" applyFont="1" applyBorder="1" applyAlignment="1" applyProtection="1">
      <alignment horizontal="center"/>
      <protection/>
    </xf>
    <xf numFmtId="1" fontId="4" fillId="0" borderId="41" xfId="0" applyNumberFormat="1" applyFont="1" applyBorder="1" applyAlignment="1" applyProtection="1" quotePrefix="1">
      <alignment horizontal="center"/>
      <protection/>
    </xf>
    <xf numFmtId="166" fontId="90" fillId="2" borderId="3" xfId="0" applyNumberFormat="1" applyFont="1" applyFill="1" applyBorder="1" applyAlignment="1" applyProtection="1">
      <alignment horizontal="center"/>
      <protection/>
    </xf>
    <xf numFmtId="166" fontId="90" fillId="16" borderId="3" xfId="0" applyNumberFormat="1" applyFont="1" applyFill="1" applyBorder="1" applyAlignment="1" applyProtection="1">
      <alignment horizontal="center"/>
      <protection/>
    </xf>
    <xf numFmtId="22" fontId="4" fillId="0" borderId="3" xfId="0" applyNumberFormat="1" applyFont="1" applyFill="1" applyBorder="1" applyAlignment="1">
      <alignment horizontal="center"/>
    </xf>
    <xf numFmtId="22" fontId="4" fillId="0" borderId="3" xfId="0" applyNumberFormat="1" applyFont="1" applyFill="1" applyBorder="1" applyAlignment="1" applyProtection="1">
      <alignment horizontal="center"/>
      <protection/>
    </xf>
    <xf numFmtId="4" fontId="4" fillId="0" borderId="3" xfId="0" applyNumberFormat="1" applyFont="1" applyFill="1" applyBorder="1" applyAlignment="1" applyProtection="1">
      <alignment horizontal="center"/>
      <protection/>
    </xf>
    <xf numFmtId="3" fontId="4" fillId="0" borderId="3" xfId="0" applyNumberFormat="1" applyFont="1" applyFill="1" applyBorder="1" applyAlignment="1" applyProtection="1">
      <alignment horizontal="center"/>
      <protection/>
    </xf>
    <xf numFmtId="166" fontId="4" fillId="0" borderId="3" xfId="0" applyNumberFormat="1" applyFont="1" applyFill="1" applyBorder="1" applyAlignment="1" applyProtection="1">
      <alignment horizontal="center"/>
      <protection/>
    </xf>
    <xf numFmtId="166" fontId="4" fillId="0" borderId="18" xfId="0" applyNumberFormat="1" applyFont="1" applyBorder="1" applyAlignment="1" applyProtection="1">
      <alignment horizontal="centerContinuous"/>
      <protection/>
    </xf>
    <xf numFmtId="166" fontId="4" fillId="0" borderId="20" xfId="0" applyNumberFormat="1" applyFont="1" applyBorder="1" applyAlignment="1" applyProtection="1">
      <alignment horizontal="centerContinuous"/>
      <protection/>
    </xf>
    <xf numFmtId="164" fontId="33" fillId="2" borderId="3" xfId="0" applyNumberFormat="1" applyFont="1" applyFill="1" applyBorder="1" applyAlignment="1" applyProtection="1">
      <alignment horizontal="center"/>
      <protection/>
    </xf>
    <xf numFmtId="2" fontId="42" fillId="17" borderId="3" xfId="0" applyNumberFormat="1" applyFont="1" applyFill="1" applyBorder="1" applyAlignment="1">
      <alignment horizontal="center"/>
    </xf>
    <xf numFmtId="166" fontId="42" fillId="18" borderId="40" xfId="0" applyNumberFormat="1" applyFont="1" applyFill="1" applyBorder="1" applyAlignment="1" applyProtection="1" quotePrefix="1">
      <alignment horizontal="center"/>
      <protection/>
    </xf>
    <xf numFmtId="166" fontId="42" fillId="18" borderId="41" xfId="0" applyNumberFormat="1" applyFont="1" applyFill="1" applyBorder="1" applyAlignment="1" applyProtection="1" quotePrefix="1">
      <alignment horizontal="center"/>
      <protection/>
    </xf>
    <xf numFmtId="166" fontId="42" fillId="3" borderId="3" xfId="0" applyNumberFormat="1" applyFont="1" applyFill="1" applyBorder="1" applyAlignment="1" applyProtection="1" quotePrefix="1">
      <alignment horizontal="center"/>
      <protection/>
    </xf>
    <xf numFmtId="166" fontId="42" fillId="16" borderId="18" xfId="0" applyNumberFormat="1" applyFont="1" applyFill="1" applyBorder="1" applyAlignment="1" applyProtection="1" quotePrefix="1">
      <alignment horizontal="center"/>
      <protection/>
    </xf>
    <xf numFmtId="166" fontId="42" fillId="16" borderId="52" xfId="0" applyNumberFormat="1" applyFont="1" applyFill="1" applyBorder="1" applyAlignment="1" applyProtection="1" quotePrefix="1">
      <alignment horizontal="center"/>
      <protection/>
    </xf>
    <xf numFmtId="166" fontId="42" fillId="16" borderId="20" xfId="0" applyNumberFormat="1" applyFont="1" applyFill="1" applyBorder="1" applyAlignment="1" applyProtection="1" quotePrefix="1">
      <alignment horizontal="center"/>
      <protection/>
    </xf>
    <xf numFmtId="166" fontId="4" fillId="0" borderId="20" xfId="0" applyNumberFormat="1" applyFont="1" applyFill="1" applyBorder="1" applyAlignment="1">
      <alignment horizontal="center"/>
    </xf>
    <xf numFmtId="4" fontId="26" fillId="0" borderId="2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 quotePrefix="1">
      <alignment horizontal="center"/>
      <protection/>
    </xf>
    <xf numFmtId="166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2" fontId="54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 applyProtection="1" quotePrefix="1">
      <alignment horizontal="center"/>
      <protection/>
    </xf>
    <xf numFmtId="166" fontId="4" fillId="0" borderId="0" xfId="0" applyNumberFormat="1" applyFont="1" applyBorder="1" applyAlignment="1" applyProtection="1" quotePrefix="1">
      <alignment horizontal="centerContinuous"/>
      <protection/>
    </xf>
    <xf numFmtId="166" fontId="4" fillId="0" borderId="0" xfId="0" applyNumberFormat="1" applyFont="1" applyBorder="1" applyAlignment="1" applyProtection="1">
      <alignment horizontal="centerContinuous"/>
      <protection/>
    </xf>
    <xf numFmtId="4" fontId="26" fillId="0" borderId="0" xfId="0" applyNumberFormat="1" applyFont="1" applyFill="1" applyBorder="1" applyAlignment="1">
      <alignment horizontal="right"/>
    </xf>
    <xf numFmtId="2" fontId="50" fillId="0" borderId="0" xfId="0" applyNumberFormat="1" applyFont="1" applyBorder="1" applyAlignment="1" applyProtection="1">
      <alignment horizontal="left"/>
      <protection/>
    </xf>
    <xf numFmtId="166" fontId="50" fillId="0" borderId="0" xfId="0" applyNumberFormat="1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 horizontal="center"/>
      <protection/>
    </xf>
    <xf numFmtId="165" fontId="50" fillId="0" borderId="0" xfId="0" applyNumberFormat="1" applyFont="1" applyBorder="1" applyAlignment="1" applyProtection="1">
      <alignment horizontal="center"/>
      <protection/>
    </xf>
    <xf numFmtId="168" fontId="50" fillId="0" borderId="0" xfId="0" applyNumberFormat="1" applyFont="1" applyBorder="1" applyAlignment="1" applyProtection="1" quotePrefix="1">
      <alignment horizontal="center"/>
      <protection/>
    </xf>
    <xf numFmtId="0" fontId="50" fillId="0" borderId="0" xfId="0" applyFont="1"/>
    <xf numFmtId="2" fontId="50" fillId="0" borderId="0" xfId="0" applyNumberFormat="1" applyFont="1" applyBorder="1" applyAlignment="1" applyProtection="1">
      <alignment horizontal="center"/>
      <protection/>
    </xf>
    <xf numFmtId="166" fontId="50" fillId="0" borderId="0" xfId="0" applyNumberFormat="1" applyFont="1" applyBorder="1" applyAlignment="1" applyProtection="1" quotePrefix="1">
      <alignment horizontal="center"/>
      <protection/>
    </xf>
    <xf numFmtId="4" fontId="19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91" fillId="0" borderId="0" xfId="0" applyNumberFormat="1" applyFont="1" applyBorder="1" applyAlignment="1" applyProtection="1">
      <alignment horizontal="left"/>
      <protection/>
    </xf>
    <xf numFmtId="0" fontId="19" fillId="0" borderId="0" xfId="0" applyFont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166" fontId="10" fillId="0" borderId="0" xfId="0" applyNumberFormat="1" applyFont="1" applyBorder="1" applyAlignment="1" applyProtection="1">
      <alignment horizontal="left"/>
      <protection/>
    </xf>
    <xf numFmtId="2" fontId="92" fillId="0" borderId="0" xfId="0" applyNumberFormat="1" applyFont="1" applyBorder="1" applyAlignment="1" applyProtection="1">
      <alignment horizontal="center"/>
      <protection/>
    </xf>
    <xf numFmtId="166" fontId="88" fillId="0" borderId="0" xfId="0" applyNumberFormat="1" applyFont="1" applyBorder="1" applyAlignment="1" applyProtection="1" quotePrefix="1">
      <alignment horizontal="center"/>
      <protection/>
    </xf>
    <xf numFmtId="4" fontId="88" fillId="0" borderId="0" xfId="0" applyNumberFormat="1" applyFont="1" applyBorder="1" applyAlignment="1" applyProtection="1">
      <alignment horizontal="center"/>
      <protection/>
    </xf>
    <xf numFmtId="1" fontId="19" fillId="0" borderId="0" xfId="0" applyNumberFormat="1" applyFont="1" applyBorder="1" applyAlignment="1" applyProtection="1">
      <alignment horizontal="center"/>
      <protection/>
    </xf>
    <xf numFmtId="172" fontId="19" fillId="0" borderId="0" xfId="0" applyNumberFormat="1" applyFont="1" applyBorder="1" applyAlignment="1" applyProtection="1">
      <alignment horizontal="centerContinuous"/>
      <protection/>
    </xf>
    <xf numFmtId="172" fontId="50" fillId="0" borderId="0" xfId="0" applyNumberFormat="1" applyFont="1" applyBorder="1" applyAlignment="1" applyProtection="1">
      <alignment horizontal="centerContinuous"/>
      <protection/>
    </xf>
    <xf numFmtId="166" fontId="50" fillId="0" borderId="0" xfId="0" applyNumberFormat="1" applyFont="1" applyBorder="1" applyAlignment="1" applyProtection="1" quotePrefix="1">
      <alignment horizontal="left"/>
      <protection/>
    </xf>
    <xf numFmtId="166" fontId="19" fillId="0" borderId="0" xfId="0" applyNumberFormat="1" applyFont="1" applyBorder="1"/>
    <xf numFmtId="0" fontId="19" fillId="0" borderId="0" xfId="0" applyFont="1" applyAlignment="1">
      <alignment horizontal="centerContinuous"/>
    </xf>
    <xf numFmtId="166" fontId="19" fillId="0" borderId="0" xfId="0" applyNumberFormat="1" applyFont="1" applyBorder="1" applyAlignment="1" applyProtection="1">
      <alignment horizontal="centerContinuous"/>
      <protection/>
    </xf>
    <xf numFmtId="166" fontId="50" fillId="0" borderId="0" xfId="0" applyNumberFormat="1" applyFont="1" applyBorder="1" applyAlignment="1" applyProtection="1" quotePrefix="1">
      <alignment horizontal="right"/>
      <protection/>
    </xf>
    <xf numFmtId="7" fontId="19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 applyProtection="1">
      <alignment horizontal="left"/>
      <protection/>
    </xf>
    <xf numFmtId="10" fontId="19" fillId="0" borderId="0" xfId="0" applyNumberFormat="1" applyFont="1" applyBorder="1" applyAlignment="1" applyProtection="1">
      <alignment horizontal="center"/>
      <protection/>
    </xf>
    <xf numFmtId="7" fontId="19" fillId="0" borderId="0" xfId="0" applyNumberFormat="1" applyFont="1" applyAlignment="1">
      <alignment horizontal="right"/>
    </xf>
    <xf numFmtId="0" fontId="19" fillId="0" borderId="0" xfId="0" applyFont="1" quotePrefix="1"/>
    <xf numFmtId="166" fontId="19" fillId="0" borderId="0" xfId="0" applyNumberFormat="1" applyFont="1" applyBorder="1" applyAlignment="1" applyProtection="1" quotePrefix="1">
      <alignment horizontal="center"/>
      <protection/>
    </xf>
    <xf numFmtId="7" fontId="19" fillId="0" borderId="0" xfId="0" applyNumberFormat="1" applyFont="1" applyBorder="1" applyAlignment="1" applyProtection="1">
      <alignment horizontal="left"/>
      <protection/>
    </xf>
    <xf numFmtId="0" fontId="55" fillId="0" borderId="0" xfId="0" applyFont="1" quotePrefix="1"/>
    <xf numFmtId="0" fontId="27" fillId="0" borderId="0" xfId="0" applyFont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Font="1" applyAlignment="1" quotePrefix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165" fontId="20" fillId="0" borderId="0" xfId="0" applyNumberFormat="1" applyFont="1" applyBorder="1" applyAlignment="1" applyProtection="1">
      <alignment horizontal="center" vertical="center"/>
      <protection/>
    </xf>
    <xf numFmtId="4" fontId="22" fillId="0" borderId="8" xfId="0" applyNumberFormat="1" applyFont="1" applyBorder="1" applyAlignment="1" applyProtection="1">
      <alignment horizontal="center" vertical="center"/>
      <protection/>
    </xf>
    <xf numFmtId="7" fontId="93" fillId="0" borderId="9" xfId="0" applyNumberFormat="1" applyFont="1" applyFill="1" applyBorder="1" applyAlignment="1">
      <alignment horizontal="center" vertical="center"/>
    </xf>
    <xf numFmtId="166" fontId="20" fillId="0" borderId="0" xfId="0" applyNumberFormat="1" applyFont="1" applyBorder="1" applyAlignment="1" applyProtection="1">
      <alignment horizontal="center" vertical="center"/>
      <protection/>
    </xf>
    <xf numFmtId="2" fontId="94" fillId="0" borderId="0" xfId="0" applyNumberFormat="1" applyFont="1" applyBorder="1" applyAlignment="1" applyProtection="1">
      <alignment horizontal="center" vertical="center"/>
      <protection/>
    </xf>
    <xf numFmtId="166" fontId="95" fillId="0" borderId="0" xfId="0" applyNumberFormat="1" applyFont="1" applyBorder="1" applyAlignment="1" applyProtection="1" quotePrefix="1">
      <alignment horizontal="center" vertical="center"/>
      <protection/>
    </xf>
    <xf numFmtId="4" fontId="20" fillId="0" borderId="1" xfId="0" applyNumberFormat="1" applyFont="1" applyFill="1" applyBorder="1" applyAlignment="1">
      <alignment horizontal="center" vertical="center"/>
    </xf>
    <xf numFmtId="0" fontId="19" fillId="0" borderId="12" xfId="0" applyFont="1" applyFill="1" applyBorder="1"/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172" fontId="19" fillId="0" borderId="0" xfId="0" applyNumberFormat="1" applyFont="1" applyBorder="1"/>
    <xf numFmtId="4" fontId="50" fillId="0" borderId="0" xfId="0" applyNumberFormat="1" applyFont="1" applyBorder="1" applyAlignment="1" applyProtection="1">
      <alignment horizontal="center"/>
      <protection/>
    </xf>
    <xf numFmtId="7" fontId="50" fillId="0" borderId="0" xfId="0" applyNumberFormat="1" applyFont="1" applyFill="1" applyBorder="1" applyAlignment="1">
      <alignment horizontal="center"/>
    </xf>
    <xf numFmtId="7" fontId="50" fillId="0" borderId="50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 applyProtection="1" quotePrefix="1">
      <alignment horizontal="center"/>
      <protection/>
    </xf>
    <xf numFmtId="164" fontId="42" fillId="4" borderId="2" xfId="0" applyNumberFormat="1" applyFont="1" applyFill="1" applyBorder="1" applyAlignment="1" applyProtection="1">
      <alignment horizontal="center"/>
      <protection/>
    </xf>
    <xf numFmtId="164" fontId="24" fillId="0" borderId="14" xfId="0" applyNumberFormat="1" applyFont="1" applyBorder="1" applyAlignment="1" applyProtection="1">
      <alignment horizontal="center" vertical="center" wrapText="1"/>
      <protection/>
    </xf>
    <xf numFmtId="166" fontId="77" fillId="19" borderId="14" xfId="0" applyNumberFormat="1" applyFont="1" applyFill="1" applyBorder="1" applyAlignment="1" applyProtection="1">
      <alignment horizontal="center" vertical="center"/>
      <protection/>
    </xf>
    <xf numFmtId="0" fontId="52" fillId="4" borderId="14" xfId="0" applyFont="1" applyFill="1" applyBorder="1" applyAlignment="1" applyProtection="1">
      <alignment horizontal="center" vertical="center"/>
      <protection/>
    </xf>
    <xf numFmtId="0" fontId="57" fillId="6" borderId="14" xfId="0" applyFont="1" applyFill="1" applyBorder="1" applyAlignment="1">
      <alignment horizontal="center" vertical="center" wrapText="1"/>
    </xf>
    <xf numFmtId="0" fontId="46" fillId="20" borderId="8" xfId="0" applyFont="1" applyFill="1" applyBorder="1" applyAlignment="1">
      <alignment horizontal="centerContinuous" vertical="center" wrapText="1"/>
    </xf>
    <xf numFmtId="0" fontId="96" fillId="20" borderId="15" xfId="0" applyFont="1" applyFill="1" applyBorder="1" applyAlignment="1">
      <alignment horizontal="centerContinuous"/>
    </xf>
    <xf numFmtId="0" fontId="46" fillId="20" borderId="9" xfId="0" applyFont="1" applyFill="1" applyBorder="1" applyAlignment="1">
      <alignment horizontal="centerContinuous" vertical="center"/>
    </xf>
    <xf numFmtId="7" fontId="7" fillId="0" borderId="17" xfId="0" applyNumberFormat="1" applyFont="1" applyBorder="1" applyAlignment="1">
      <alignment/>
    </xf>
    <xf numFmtId="0" fontId="78" fillId="19" borderId="2" xfId="0" applyFont="1" applyFill="1" applyBorder="1"/>
    <xf numFmtId="0" fontId="53" fillId="4" borderId="2" xfId="0" applyFont="1" applyFill="1" applyBorder="1"/>
    <xf numFmtId="0" fontId="97" fillId="3" borderId="2" xfId="0" applyFont="1" applyFill="1" applyBorder="1"/>
    <xf numFmtId="0" fontId="58" fillId="6" borderId="4" xfId="0" applyFont="1" applyFill="1" applyBorder="1"/>
    <xf numFmtId="166" fontId="6" fillId="2" borderId="22" xfId="0" applyNumberFormat="1" applyFont="1" applyFill="1" applyBorder="1" applyAlignment="1" applyProtection="1" quotePrefix="1">
      <alignment horizontal="center"/>
      <protection/>
    </xf>
    <xf numFmtId="166" fontId="6" fillId="2" borderId="23" xfId="0" applyNumberFormat="1" applyFont="1" applyFill="1" applyBorder="1" applyAlignment="1" applyProtection="1" quotePrefix="1">
      <alignment horizontal="center"/>
      <protection/>
    </xf>
    <xf numFmtId="4" fontId="6" fillId="2" borderId="4" xfId="0" applyNumberFormat="1" applyFont="1" applyFill="1" applyBorder="1" applyAlignment="1" applyProtection="1">
      <alignment horizontal="center"/>
      <protection/>
    </xf>
    <xf numFmtId="166" fontId="98" fillId="20" borderId="22" xfId="0" applyNumberFormat="1" applyFont="1" applyFill="1" applyBorder="1" applyAlignment="1" applyProtection="1" quotePrefix="1">
      <alignment horizontal="center"/>
      <protection/>
    </xf>
    <xf numFmtId="166" fontId="98" fillId="20" borderId="23" xfId="0" applyNumberFormat="1" applyFont="1" applyFill="1" applyBorder="1" applyAlignment="1" applyProtection="1" quotePrefix="1">
      <alignment horizontal="center"/>
      <protection/>
    </xf>
    <xf numFmtId="4" fontId="98" fillId="20" borderId="4" xfId="0" applyNumberFormat="1" applyFont="1" applyFill="1" applyBorder="1" applyAlignment="1" applyProtection="1">
      <alignment horizontal="center"/>
      <protection/>
    </xf>
    <xf numFmtId="0" fontId="78" fillId="19" borderId="2" xfId="0" applyFont="1" applyFill="1" applyBorder="1" applyAlignment="1" applyProtection="1">
      <alignment horizontal="center"/>
      <protection/>
    </xf>
    <xf numFmtId="169" fontId="53" fillId="4" borderId="2" xfId="0" applyNumberFormat="1" applyFont="1" applyFill="1" applyBorder="1" applyAlignment="1" applyProtection="1">
      <alignment horizontal="center"/>
      <protection/>
    </xf>
    <xf numFmtId="22" fontId="4" fillId="0" borderId="4" xfId="0" applyNumberFormat="1" applyFont="1" applyFill="1" applyBorder="1" applyAlignment="1" applyProtection="1">
      <alignment horizontal="center"/>
      <protection locked="0"/>
    </xf>
    <xf numFmtId="22" fontId="4" fillId="0" borderId="24" xfId="0" applyNumberFormat="1" applyFont="1" applyFill="1" applyBorder="1" applyAlignment="1" applyProtection="1">
      <alignment horizontal="center"/>
      <protection locked="0"/>
    </xf>
    <xf numFmtId="2" fontId="44" fillId="3" borderId="2" xfId="0" applyNumberFormat="1" applyFont="1" applyFill="1" applyBorder="1" applyAlignment="1" applyProtection="1">
      <alignment horizontal="center"/>
      <protection locked="0"/>
    </xf>
    <xf numFmtId="2" fontId="59" fillId="6" borderId="4" xfId="0" applyNumberFormat="1" applyFont="1" applyFill="1" applyBorder="1" applyAlignment="1" applyProtection="1">
      <alignment horizontal="center"/>
      <protection locked="0"/>
    </xf>
    <xf numFmtId="166" fontId="47" fillId="20" borderId="22" xfId="0" applyNumberFormat="1" applyFont="1" applyFill="1" applyBorder="1" applyAlignment="1" applyProtection="1" quotePrefix="1">
      <alignment horizontal="center"/>
      <protection locked="0"/>
    </xf>
    <xf numFmtId="166" fontId="47" fillId="20" borderId="23" xfId="0" applyNumberFormat="1" applyFont="1" applyFill="1" applyBorder="1" applyAlignment="1" applyProtection="1" quotePrefix="1">
      <alignment horizontal="center"/>
      <protection locked="0"/>
    </xf>
    <xf numFmtId="4" fontId="47" fillId="20" borderId="4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/>
    </xf>
    <xf numFmtId="0" fontId="4" fillId="0" borderId="2" xfId="23" applyFont="1" applyFill="1" applyBorder="1" applyAlignment="1" applyProtection="1">
      <alignment horizontal="center"/>
      <protection locked="0"/>
    </xf>
    <xf numFmtId="164" fontId="4" fillId="0" borderId="2" xfId="23" applyNumberFormat="1" applyFont="1" applyFill="1" applyBorder="1" applyAlignment="1" applyProtection="1">
      <alignment horizontal="center"/>
      <protection locked="0"/>
    </xf>
    <xf numFmtId="22" fontId="4" fillId="0" borderId="4" xfId="23" applyNumberFormat="1" applyFont="1" applyFill="1" applyBorder="1" applyAlignment="1" applyProtection="1">
      <alignment horizontal="center"/>
      <protection locked="0"/>
    </xf>
    <xf numFmtId="22" fontId="4" fillId="0" borderId="21" xfId="23" applyNumberFormat="1" applyFont="1" applyFill="1" applyBorder="1" applyAlignment="1" applyProtection="1">
      <alignment horizontal="center"/>
      <protection locked="0"/>
    </xf>
    <xf numFmtId="0" fontId="78" fillId="19" borderId="3" xfId="0" applyFont="1" applyFill="1" applyBorder="1" applyAlignment="1" applyProtection="1">
      <alignment horizontal="center"/>
      <protection/>
    </xf>
    <xf numFmtId="169" fontId="53" fillId="4" borderId="3" xfId="0" applyNumberFormat="1" applyFont="1" applyFill="1" applyBorder="1" applyAlignment="1" applyProtection="1">
      <alignment horizontal="center"/>
      <protection/>
    </xf>
    <xf numFmtId="2" fontId="97" fillId="3" borderId="3" xfId="0" applyNumberFormat="1" applyFont="1" applyFill="1" applyBorder="1" applyAlignment="1" applyProtection="1">
      <alignment horizontal="center"/>
      <protection locked="0"/>
    </xf>
    <xf numFmtId="2" fontId="59" fillId="6" borderId="3" xfId="0" applyNumberFormat="1" applyFont="1" applyFill="1" applyBorder="1" applyAlignment="1" applyProtection="1">
      <alignment horizontal="center"/>
      <protection locked="0"/>
    </xf>
    <xf numFmtId="166" fontId="47" fillId="20" borderId="25" xfId="0" applyNumberFormat="1" applyFont="1" applyFill="1" applyBorder="1" applyAlignment="1" applyProtection="1" quotePrefix="1">
      <alignment horizontal="center"/>
      <protection locked="0"/>
    </xf>
    <xf numFmtId="166" fontId="47" fillId="20" borderId="26" xfId="0" applyNumberFormat="1" applyFont="1" applyFill="1" applyBorder="1" applyAlignment="1" applyProtection="1" quotePrefix="1">
      <alignment horizontal="center"/>
      <protection locked="0"/>
    </xf>
    <xf numFmtId="4" fontId="47" fillId="20" borderId="27" xfId="0" applyNumberFormat="1" applyFont="1" applyFill="1" applyBorder="1" applyAlignment="1" applyProtection="1">
      <alignment horizontal="center"/>
      <protection locked="0"/>
    </xf>
    <xf numFmtId="4" fontId="6" fillId="0" borderId="3" xfId="0" applyNumberFormat="1" applyFont="1" applyBorder="1" applyAlignment="1" applyProtection="1">
      <alignment horizontal="center"/>
      <protection locked="0"/>
    </xf>
    <xf numFmtId="2" fontId="44" fillId="3" borderId="14" xfId="0" applyNumberFormat="1" applyFont="1" applyFill="1" applyBorder="1" applyAlignment="1" applyProtection="1">
      <alignment horizontal="center"/>
      <protection/>
    </xf>
    <xf numFmtId="2" fontId="59" fillId="6" borderId="14" xfId="0" applyNumberFormat="1" applyFont="1" applyFill="1" applyBorder="1" applyAlignment="1" applyProtection="1">
      <alignment horizontal="center"/>
      <protection/>
    </xf>
    <xf numFmtId="2" fontId="34" fillId="2" borderId="14" xfId="0" applyNumberFormat="1" applyFont="1" applyFill="1" applyBorder="1" applyAlignment="1" applyProtection="1">
      <alignment horizontal="center"/>
      <protection/>
    </xf>
    <xf numFmtId="2" fontId="47" fillId="20" borderId="14" xfId="0" applyNumberFormat="1" applyFont="1" applyFill="1" applyBorder="1" applyAlignment="1" applyProtection="1">
      <alignment horizontal="center"/>
      <protection/>
    </xf>
    <xf numFmtId="0" fontId="19" fillId="0" borderId="13" xfId="0" applyFont="1" applyBorder="1"/>
    <xf numFmtId="171" fontId="19" fillId="0" borderId="5" xfId="0" applyNumberFormat="1" applyFont="1" applyBorder="1"/>
    <xf numFmtId="171" fontId="21" fillId="0" borderId="0" xfId="0" applyNumberFormat="1" applyFont="1" applyBorder="1" applyAlignment="1">
      <alignment horizontal="centerContinuous"/>
    </xf>
    <xf numFmtId="171" fontId="4" fillId="0" borderId="0" xfId="0" applyNumberFormat="1" applyFont="1" applyBorder="1"/>
    <xf numFmtId="0" fontId="4" fillId="0" borderId="17" xfId="0" applyFont="1" applyFill="1" applyBorder="1"/>
    <xf numFmtId="0" fontId="4" fillId="0" borderId="17" xfId="0" applyFont="1" applyFill="1" applyBorder="1" applyAlignment="1">
      <alignment horizontal="center"/>
    </xf>
    <xf numFmtId="0" fontId="78" fillId="0" borderId="17" xfId="0" applyFont="1" applyFill="1" applyBorder="1"/>
    <xf numFmtId="0" fontId="53" fillId="0" borderId="17" xfId="0" applyFont="1" applyFill="1" applyBorder="1"/>
    <xf numFmtId="0" fontId="97" fillId="0" borderId="17" xfId="0" applyFont="1" applyFill="1" applyBorder="1"/>
    <xf numFmtId="0" fontId="58" fillId="0" borderId="17" xfId="0" applyFont="1" applyFill="1" applyBorder="1"/>
    <xf numFmtId="0" fontId="4" fillId="0" borderId="32" xfId="0" applyFont="1" applyFill="1" applyBorder="1"/>
    <xf numFmtId="0" fontId="4" fillId="0" borderId="60" xfId="0" applyFont="1" applyFill="1" applyBorder="1"/>
    <xf numFmtId="0" fontId="4" fillId="0" borderId="33" xfId="0" applyFont="1" applyFill="1" applyBorder="1"/>
    <xf numFmtId="0" fontId="98" fillId="0" borderId="32" xfId="0" applyFont="1" applyFill="1" applyBorder="1"/>
    <xf numFmtId="0" fontId="98" fillId="0" borderId="60" xfId="0" applyFont="1" applyFill="1" applyBorder="1"/>
    <xf numFmtId="0" fontId="98" fillId="0" borderId="33" xfId="0" applyFont="1" applyFill="1" applyBorder="1"/>
    <xf numFmtId="0" fontId="63" fillId="0" borderId="17" xfId="0" applyFont="1" applyFill="1" applyBorder="1"/>
    <xf numFmtId="0" fontId="64" fillId="0" borderId="17" xfId="0" applyFont="1" applyFill="1" applyBorder="1"/>
    <xf numFmtId="22" fontId="4" fillId="0" borderId="17" xfId="0" applyNumberFormat="1" applyFont="1" applyFill="1" applyBorder="1"/>
    <xf numFmtId="22" fontId="4" fillId="0" borderId="3" xfId="0" applyNumberFormat="1" applyFont="1" applyBorder="1" applyAlignment="1" applyProtection="1">
      <alignment horizontal="center"/>
      <protection locked="0"/>
    </xf>
    <xf numFmtId="0" fontId="12" fillId="0" borderId="0" xfId="0" applyFont="1" quotePrefix="1"/>
    <xf numFmtId="167" fontId="4" fillId="0" borderId="3" xfId="0" applyNumberFormat="1" applyFont="1" applyBorder="1" applyAlignment="1" applyProtection="1">
      <alignment horizontal="center"/>
      <protection locked="0"/>
    </xf>
    <xf numFmtId="169" fontId="1" fillId="0" borderId="8" xfId="0" applyNumberFormat="1" applyFont="1" applyBorder="1" applyAlignment="1">
      <alignment horizontal="centerContinuous"/>
    </xf>
    <xf numFmtId="167" fontId="4" fillId="0" borderId="17" xfId="0" applyNumberFormat="1" applyFont="1" applyFill="1" applyBorder="1"/>
    <xf numFmtId="167" fontId="4" fillId="0" borderId="2" xfId="0" applyNumberFormat="1" applyFont="1" applyBorder="1"/>
    <xf numFmtId="167" fontId="4" fillId="0" borderId="2" xfId="0" applyNumberFormat="1" applyFont="1" applyFill="1" applyBorder="1" applyAlignment="1" applyProtection="1">
      <alignment horizontal="center"/>
      <protection locked="0"/>
    </xf>
    <xf numFmtId="167" fontId="4" fillId="0" borderId="2" xfId="23" applyNumberFormat="1" applyFont="1" applyFill="1" applyBorder="1" applyAlignment="1" applyProtection="1">
      <alignment horizontal="center"/>
      <protection locked="0"/>
    </xf>
    <xf numFmtId="167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20" applyFont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/>
    </xf>
    <xf numFmtId="169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 applyProtection="1">
      <alignment horizontal="center"/>
      <protection/>
    </xf>
    <xf numFmtId="0" fontId="99" fillId="0" borderId="0" xfId="0" applyFont="1" applyBorder="1"/>
    <xf numFmtId="0" fontId="67" fillId="0" borderId="0" xfId="0" applyFont="1" applyBorder="1"/>
    <xf numFmtId="0" fontId="100" fillId="0" borderId="0" xfId="0" applyFont="1"/>
    <xf numFmtId="0" fontId="8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7" xfId="0" applyFont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vertical="top"/>
      <protection/>
    </xf>
    <xf numFmtId="0" fontId="4" fillId="0" borderId="1" xfId="0" applyFont="1" applyFill="1" applyBorder="1" applyAlignment="1">
      <alignment vertical="top"/>
    </xf>
    <xf numFmtId="0" fontId="17" fillId="0" borderId="0" xfId="0" applyFont="1" applyFill="1" applyAlignment="1">
      <alignment vertical="center"/>
    </xf>
    <xf numFmtId="0" fontId="17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top"/>
    </xf>
    <xf numFmtId="0" fontId="48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7" fillId="0" borderId="0" xfId="0" applyFont="1" applyFill="1" applyBorder="1" applyAlignment="1" applyProtection="1">
      <alignment vertical="top"/>
      <protection/>
    </xf>
    <xf numFmtId="0" fontId="17" fillId="0" borderId="1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 applyProtection="1">
      <alignment vertical="top"/>
      <protection/>
    </xf>
    <xf numFmtId="0" fontId="23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/>
      <protection/>
    </xf>
    <xf numFmtId="173" fontId="0" fillId="0" borderId="0" xfId="0" applyNumberFormat="1" applyFont="1" applyBorder="1" applyAlignment="1">
      <alignment horizontal="center"/>
    </xf>
    <xf numFmtId="0" fontId="4" fillId="0" borderId="39" xfId="0" applyFont="1" applyFill="1" applyBorder="1" applyAlignment="1" applyProtection="1">
      <alignment horizontal="center"/>
      <protection locked="0"/>
    </xf>
    <xf numFmtId="168" fontId="4" fillId="0" borderId="2" xfId="0" applyNumberFormat="1" applyFont="1" applyBorder="1" applyAlignment="1" applyProtection="1" quotePrefix="1">
      <alignment horizontal="center"/>
      <protection/>
    </xf>
    <xf numFmtId="4" fontId="6" fillId="0" borderId="2" xfId="0" applyNumberFormat="1" applyFont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 locked="0"/>
    </xf>
    <xf numFmtId="4" fontId="4" fillId="0" borderId="2" xfId="0" applyNumberFormat="1" applyFont="1" applyBorder="1" applyAlignment="1" applyProtection="1">
      <alignment horizontal="center"/>
      <protection/>
    </xf>
    <xf numFmtId="2" fontId="44" fillId="3" borderId="2" xfId="0" applyNumberFormat="1" applyFont="1" applyFill="1" applyBorder="1" applyAlignment="1" applyProtection="1">
      <alignment horizontal="center"/>
      <protection/>
    </xf>
    <xf numFmtId="2" fontId="59" fillId="6" borderId="4" xfId="0" applyNumberFormat="1" applyFont="1" applyFill="1" applyBorder="1" applyAlignment="1" applyProtection="1">
      <alignment horizontal="center"/>
      <protection/>
    </xf>
    <xf numFmtId="166" fontId="47" fillId="20" borderId="22" xfId="0" applyNumberFormat="1" applyFont="1" applyFill="1" applyBorder="1" applyAlignment="1" applyProtection="1" quotePrefix="1">
      <alignment horizontal="center"/>
      <protection/>
    </xf>
    <xf numFmtId="166" fontId="47" fillId="20" borderId="23" xfId="0" applyNumberFormat="1" applyFont="1" applyFill="1" applyBorder="1" applyAlignment="1" applyProtection="1" quotePrefix="1">
      <alignment horizontal="center"/>
      <protection/>
    </xf>
    <xf numFmtId="4" fontId="47" fillId="20" borderId="4" xfId="0" applyNumberFormat="1" applyFont="1" applyFill="1" applyBorder="1" applyAlignment="1" applyProtection="1">
      <alignment horizontal="center"/>
      <protection/>
    </xf>
    <xf numFmtId="4" fontId="65" fillId="8" borderId="2" xfId="0" applyNumberFormat="1" applyFont="1" applyFill="1" applyBorder="1" applyAlignment="1" applyProtection="1">
      <alignment horizontal="center"/>
      <protection/>
    </xf>
    <xf numFmtId="4" fontId="66" fillId="9" borderId="2" xfId="0" applyNumberFormat="1" applyFont="1" applyFill="1" applyBorder="1" applyAlignment="1" applyProtection="1">
      <alignment horizontal="center"/>
      <protection/>
    </xf>
    <xf numFmtId="2" fontId="71" fillId="6" borderId="2" xfId="0" applyNumberFormat="1" applyFont="1" applyFill="1" applyBorder="1" applyAlignment="1" applyProtection="1">
      <alignment horizontal="center"/>
      <protection/>
    </xf>
    <xf numFmtId="2" fontId="72" fillId="10" borderId="2" xfId="0" applyNumberFormat="1" applyFont="1" applyFill="1" applyBorder="1" applyAlignment="1" applyProtection="1">
      <alignment horizontal="center"/>
      <protection/>
    </xf>
    <xf numFmtId="164" fontId="33" fillId="2" borderId="50" xfId="0" applyNumberFormat="1" applyFont="1" applyFill="1" applyBorder="1" applyAlignment="1" applyProtection="1">
      <alignment horizontal="center"/>
      <protection/>
    </xf>
    <xf numFmtId="2" fontId="76" fillId="8" borderId="2" xfId="0" applyNumberFormat="1" applyFont="1" applyFill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/>
      <protection/>
    </xf>
    <xf numFmtId="166" fontId="42" fillId="16" borderId="0" xfId="0" applyNumberFormat="1" applyFont="1" applyFill="1" applyBorder="1" applyAlignment="1" applyProtection="1" quotePrefix="1">
      <alignment horizontal="center"/>
      <protection/>
    </xf>
    <xf numFmtId="0" fontId="101" fillId="0" borderId="62" xfId="0" applyFont="1" applyBorder="1"/>
    <xf numFmtId="0" fontId="101" fillId="0" borderId="62" xfId="0" applyFont="1" applyFill="1" applyBorder="1"/>
    <xf numFmtId="0" fontId="102" fillId="0" borderId="0" xfId="0" applyFont="1" applyFill="1"/>
    <xf numFmtId="0" fontId="101" fillId="0" borderId="63" xfId="0" applyFont="1" applyBorder="1"/>
    <xf numFmtId="0" fontId="101" fillId="0" borderId="63" xfId="0" applyFont="1" applyFill="1" applyBorder="1"/>
    <xf numFmtId="0" fontId="103" fillId="0" borderId="62" xfId="0" applyFont="1" applyBorder="1"/>
    <xf numFmtId="0" fontId="103" fillId="0" borderId="63" xfId="0" applyFont="1" applyBorder="1"/>
    <xf numFmtId="0" fontId="103" fillId="0" borderId="62" xfId="0" applyFont="1" applyFill="1" applyBorder="1"/>
    <xf numFmtId="0" fontId="103" fillId="0" borderId="63" xfId="0" applyFont="1" applyFill="1" applyBorder="1"/>
    <xf numFmtId="0" fontId="104" fillId="0" borderId="62" xfId="0" applyFont="1" applyFill="1" applyBorder="1"/>
    <xf numFmtId="0" fontId="104" fillId="0" borderId="63" xfId="0" applyFont="1" applyFill="1" applyBorder="1"/>
    <xf numFmtId="0" fontId="104" fillId="21" borderId="62" xfId="0" applyFont="1" applyFill="1" applyBorder="1"/>
    <xf numFmtId="0" fontId="102" fillId="2" borderId="62" xfId="0" applyFont="1" applyFill="1" applyBorder="1"/>
    <xf numFmtId="0" fontId="102" fillId="0" borderId="0" xfId="0" applyFont="1"/>
    <xf numFmtId="0" fontId="102" fillId="0" borderId="62" xfId="0" applyFont="1" applyBorder="1"/>
    <xf numFmtId="0" fontId="102" fillId="0" borderId="62" xfId="0" applyFont="1" applyBorder="1" quotePrefix="1"/>
    <xf numFmtId="0" fontId="105" fillId="0" borderId="0" xfId="21" applyFont="1" applyFill="1" applyAlignment="1">
      <alignment/>
      <protection/>
    </xf>
    <xf numFmtId="0" fontId="102" fillId="2" borderId="62" xfId="0" applyFont="1" applyFill="1" applyBorder="1" applyAlignment="1">
      <alignment horizontal="center"/>
    </xf>
    <xf numFmtId="0" fontId="102" fillId="22" borderId="0" xfId="0" applyFont="1" applyFill="1"/>
    <xf numFmtId="0" fontId="102" fillId="22" borderId="0" xfId="0" applyNumberFormat="1" applyFont="1" applyFill="1"/>
    <xf numFmtId="0" fontId="102" fillId="0" borderId="62" xfId="0" applyFont="1" applyFill="1" applyBorder="1" applyAlignment="1">
      <alignment horizontal="center"/>
    </xf>
    <xf numFmtId="0" fontId="102" fillId="22" borderId="0" xfId="21" applyFont="1" applyFill="1" applyAlignment="1">
      <alignment/>
      <protection/>
    </xf>
    <xf numFmtId="0" fontId="0" fillId="0" borderId="0" xfId="0" quotePrefix="1"/>
    <xf numFmtId="0" fontId="42" fillId="0" borderId="0" xfId="0" applyFont="1" applyBorder="1"/>
    <xf numFmtId="0" fontId="42" fillId="0" borderId="0" xfId="0" applyFont="1" applyFill="1" applyBorder="1"/>
    <xf numFmtId="171" fontId="22" fillId="0" borderId="0" xfId="0" applyNumberFormat="1" applyFont="1" applyBorder="1"/>
    <xf numFmtId="0" fontId="21" fillId="0" borderId="0" xfId="0" applyFont="1" applyBorder="1"/>
    <xf numFmtId="7" fontId="22" fillId="0" borderId="0" xfId="0" applyNumberFormat="1" applyFont="1" applyBorder="1" applyAlignment="1">
      <alignment horizontal="right"/>
    </xf>
    <xf numFmtId="171" fontId="4" fillId="0" borderId="0" xfId="0" applyNumberFormat="1" applyFont="1" applyBorder="1"/>
    <xf numFmtId="0" fontId="23" fillId="0" borderId="0" xfId="0" applyFont="1" applyBorder="1"/>
    <xf numFmtId="7" fontId="2" fillId="0" borderId="0" xfId="0" applyNumberFormat="1" applyFont="1" applyBorder="1" applyAlignment="1">
      <alignment horizontal="right"/>
    </xf>
    <xf numFmtId="171" fontId="20" fillId="0" borderId="0" xfId="0" applyNumberFormat="1" applyFont="1" applyBorder="1"/>
    <xf numFmtId="171" fontId="22" fillId="0" borderId="0" xfId="0" applyNumberFormat="1" applyFont="1" applyBorder="1" applyAlignment="1">
      <alignment horizontal="right"/>
    </xf>
    <xf numFmtId="0" fontId="22" fillId="0" borderId="0" xfId="0" applyFont="1" applyBorder="1"/>
    <xf numFmtId="0" fontId="101" fillId="0" borderId="0" xfId="0" applyFont="1" applyFill="1"/>
    <xf numFmtId="0" fontId="24" fillId="0" borderId="8" xfId="0" applyFont="1" applyFill="1" applyBorder="1" applyAlignment="1" applyProtection="1">
      <alignment horizontal="center" vertical="center"/>
      <protection/>
    </xf>
    <xf numFmtId="7" fontId="47" fillId="6" borderId="30" xfId="0" applyNumberFormat="1" applyFont="1" applyFill="1" applyBorder="1" applyAlignment="1">
      <alignment horizontal="center"/>
    </xf>
    <xf numFmtId="0" fontId="24" fillId="0" borderId="8" xfId="0" applyFont="1" applyBorder="1" applyAlignment="1" applyProtection="1">
      <alignment horizontal="center" vertical="center"/>
      <protection/>
    </xf>
    <xf numFmtId="0" fontId="4" fillId="0" borderId="0" xfId="24" applyFont="1" applyFill="1">
      <alignment/>
      <protection/>
    </xf>
    <xf numFmtId="0" fontId="4" fillId="0" borderId="0" xfId="24" applyFont="1">
      <alignment/>
      <protection/>
    </xf>
    <xf numFmtId="0" fontId="0" fillId="0" borderId="0" xfId="24">
      <alignment/>
      <protection/>
    </xf>
    <xf numFmtId="0" fontId="51" fillId="0" borderId="0" xfId="24" applyFont="1" applyAlignment="1">
      <alignment horizontal="right" vertical="top"/>
      <protection/>
    </xf>
    <xf numFmtId="0" fontId="79" fillId="0" borderId="0" xfId="24" applyFont="1" applyFill="1">
      <alignment/>
      <protection/>
    </xf>
    <xf numFmtId="0" fontId="80" fillId="0" borderId="0" xfId="24" applyFont="1" applyAlignment="1">
      <alignment horizontal="centerContinuous"/>
      <protection/>
    </xf>
    <xf numFmtId="0" fontId="79" fillId="0" borderId="0" xfId="24" applyFont="1" applyAlignment="1">
      <alignment horizontal="centerContinuous"/>
      <protection/>
    </xf>
    <xf numFmtId="0" fontId="79" fillId="0" borderId="0" xfId="24" applyFont="1">
      <alignment/>
      <protection/>
    </xf>
    <xf numFmtId="0" fontId="11" fillId="0" borderId="0" xfId="24" applyFont="1" applyFill="1" applyBorder="1" applyAlignment="1" applyProtection="1">
      <alignment horizontal="center"/>
      <protection/>
    </xf>
    <xf numFmtId="0" fontId="11" fillId="0" borderId="0" xfId="24" applyFont="1" applyFill="1" applyBorder="1" applyAlignment="1" applyProtection="1">
      <alignment horizontal="left"/>
      <protection/>
    </xf>
    <xf numFmtId="0" fontId="15" fillId="0" borderId="0" xfId="24" applyFont="1">
      <alignment/>
      <protection/>
    </xf>
    <xf numFmtId="0" fontId="4" fillId="0" borderId="13" xfId="24" applyFont="1" applyBorder="1">
      <alignment/>
      <protection/>
    </xf>
    <xf numFmtId="0" fontId="4" fillId="0" borderId="5" xfId="24" applyFont="1" applyBorder="1">
      <alignment/>
      <protection/>
    </xf>
    <xf numFmtId="0" fontId="4" fillId="0" borderId="5" xfId="24" applyFont="1" applyBorder="1" applyAlignment="1" applyProtection="1">
      <alignment horizontal="left"/>
      <protection/>
    </xf>
    <xf numFmtId="0" fontId="0" fillId="0" borderId="5" xfId="24" applyBorder="1">
      <alignment/>
      <protection/>
    </xf>
    <xf numFmtId="0" fontId="4" fillId="0" borderId="6" xfId="24" applyFont="1" applyFill="1" applyBorder="1">
      <alignment/>
      <protection/>
    </xf>
    <xf numFmtId="0" fontId="4" fillId="0" borderId="7" xfId="24" applyFont="1" applyBorder="1">
      <alignment/>
      <protection/>
    </xf>
    <xf numFmtId="0" fontId="4" fillId="0" borderId="0" xfId="24" applyFont="1" applyBorder="1">
      <alignment/>
      <protection/>
    </xf>
    <xf numFmtId="0" fontId="8" fillId="0" borderId="0" xfId="24" applyFont="1" applyBorder="1" applyAlignment="1">
      <alignment horizontal="left"/>
      <protection/>
    </xf>
    <xf numFmtId="0" fontId="18" fillId="0" borderId="0" xfId="24" applyFont="1" applyBorder="1">
      <alignment/>
      <protection/>
    </xf>
    <xf numFmtId="0" fontId="4" fillId="0" borderId="1" xfId="24" applyFont="1" applyFill="1" applyBorder="1">
      <alignment/>
      <protection/>
    </xf>
    <xf numFmtId="0" fontId="20" fillId="0" borderId="0" xfId="24" applyFont="1">
      <alignment/>
      <protection/>
    </xf>
    <xf numFmtId="0" fontId="20" fillId="0" borderId="7" xfId="24" applyFont="1" applyBorder="1">
      <alignment/>
      <protection/>
    </xf>
    <xf numFmtId="0" fontId="20" fillId="0" borderId="0" xfId="24" applyFont="1" applyBorder="1">
      <alignment/>
      <protection/>
    </xf>
    <xf numFmtId="0" fontId="5" fillId="0" borderId="0" xfId="24" applyFont="1" applyBorder="1">
      <alignment/>
      <protection/>
    </xf>
    <xf numFmtId="0" fontId="20" fillId="0" borderId="1" xfId="24" applyFont="1" applyFill="1" applyBorder="1">
      <alignment/>
      <protection/>
    </xf>
    <xf numFmtId="0" fontId="4" fillId="0" borderId="0" xfId="24" applyFont="1" applyBorder="1" applyProtection="1">
      <alignment/>
      <protection/>
    </xf>
    <xf numFmtId="0" fontId="21" fillId="0" borderId="7" xfId="24" applyFont="1" applyBorder="1" applyAlignment="1">
      <alignment horizontal="centerContinuous"/>
      <protection/>
    </xf>
    <xf numFmtId="0" fontId="0" fillId="0" borderId="0" xfId="24" applyNumberFormat="1" applyAlignment="1">
      <alignment horizontal="centerContinuous"/>
      <protection/>
    </xf>
    <xf numFmtId="0" fontId="21" fillId="0" borderId="0" xfId="24" applyFont="1" applyBorder="1" applyAlignment="1">
      <alignment horizontal="centerContinuous"/>
      <protection/>
    </xf>
    <xf numFmtId="0" fontId="20" fillId="0" borderId="0" xfId="24" applyFont="1" applyBorder="1" applyAlignment="1">
      <alignment horizontal="centerContinuous"/>
      <protection/>
    </xf>
    <xf numFmtId="0" fontId="0" fillId="0" borderId="0" xfId="24" applyAlignment="1">
      <alignment horizontal="centerContinuous"/>
      <protection/>
    </xf>
    <xf numFmtId="0" fontId="20" fillId="0" borderId="0" xfId="24" applyFont="1" applyAlignment="1">
      <alignment horizontal="centerContinuous"/>
      <protection/>
    </xf>
    <xf numFmtId="0" fontId="20" fillId="0" borderId="0" xfId="24" applyFont="1" applyAlignment="1">
      <alignment/>
      <protection/>
    </xf>
    <xf numFmtId="0" fontId="20" fillId="0" borderId="1" xfId="24" applyFont="1" applyBorder="1" applyAlignment="1">
      <alignment horizontal="centerContinuous"/>
      <protection/>
    </xf>
    <xf numFmtId="0" fontId="4" fillId="0" borderId="0" xfId="24" applyFont="1" applyBorder="1" applyAlignment="1">
      <alignment horizontal="center"/>
      <protection/>
    </xf>
    <xf numFmtId="0" fontId="81" fillId="0" borderId="0" xfId="24" applyFont="1" applyBorder="1" applyAlignment="1" quotePrefix="1">
      <alignment horizontal="left"/>
      <protection/>
    </xf>
    <xf numFmtId="166" fontId="7" fillId="0" borderId="0" xfId="24" applyNumberFormat="1" applyFont="1" applyBorder="1" applyAlignment="1" applyProtection="1">
      <alignment horizontal="left"/>
      <protection/>
    </xf>
    <xf numFmtId="0" fontId="0" fillId="0" borderId="0" xfId="24" applyBorder="1">
      <alignment/>
      <protection/>
    </xf>
    <xf numFmtId="0" fontId="22" fillId="0" borderId="0" xfId="24" applyFont="1" applyBorder="1" applyAlignment="1">
      <alignment horizontal="center"/>
      <protection/>
    </xf>
    <xf numFmtId="0" fontId="22" fillId="0" borderId="0" xfId="24" applyFont="1" applyBorder="1">
      <alignment/>
      <protection/>
    </xf>
    <xf numFmtId="0" fontId="19" fillId="0" borderId="0" xfId="24" applyFont="1">
      <alignment/>
      <protection/>
    </xf>
    <xf numFmtId="0" fontId="19" fillId="0" borderId="7" xfId="24" applyFont="1" applyBorder="1">
      <alignment/>
      <protection/>
    </xf>
    <xf numFmtId="0" fontId="19" fillId="0" borderId="0" xfId="24" applyFont="1" applyBorder="1">
      <alignment/>
      <protection/>
    </xf>
    <xf numFmtId="0" fontId="19" fillId="0" borderId="0" xfId="24" applyFont="1" applyBorder="1" applyAlignment="1">
      <alignment horizontal="right"/>
      <protection/>
    </xf>
    <xf numFmtId="7" fontId="19" fillId="0" borderId="0" xfId="24" applyNumberFormat="1" applyFont="1" applyBorder="1" applyAlignment="1">
      <alignment horizontal="center"/>
      <protection/>
    </xf>
    <xf numFmtId="0" fontId="19" fillId="0" borderId="0" xfId="24" applyFont="1" applyBorder="1" applyAlignment="1">
      <alignment horizontal="center"/>
      <protection/>
    </xf>
    <xf numFmtId="0" fontId="82" fillId="0" borderId="0" xfId="24" applyFont="1" applyBorder="1" applyAlignment="1" quotePrefix="1">
      <alignment horizontal="left"/>
      <protection/>
    </xf>
    <xf numFmtId="0" fontId="19" fillId="0" borderId="1" xfId="24" applyFont="1" applyFill="1" applyBorder="1">
      <alignment/>
      <protection/>
    </xf>
    <xf numFmtId="0" fontId="19" fillId="0" borderId="0" xfId="24" applyFont="1" applyBorder="1" applyAlignment="1" applyProtection="1">
      <alignment horizontal="left"/>
      <protection/>
    </xf>
    <xf numFmtId="169" fontId="19" fillId="0" borderId="0" xfId="24" applyNumberFormat="1" applyFont="1" applyBorder="1" applyAlignment="1">
      <alignment horizontal="center"/>
      <protection/>
    </xf>
    <xf numFmtId="166" fontId="19" fillId="0" borderId="0" xfId="24" applyNumberFormat="1" applyFont="1" applyBorder="1" applyAlignment="1" applyProtection="1">
      <alignment horizontal="left"/>
      <protection/>
    </xf>
    <xf numFmtId="0" fontId="19" fillId="0" borderId="0" xfId="24" applyFont="1" applyAlignment="1">
      <alignment horizontal="right"/>
      <protection/>
    </xf>
    <xf numFmtId="10" fontId="19" fillId="0" borderId="0" xfId="24" applyNumberFormat="1" applyFont="1" applyBorder="1" applyAlignment="1" applyProtection="1">
      <alignment horizontal="right"/>
      <protection/>
    </xf>
    <xf numFmtId="172" fontId="19" fillId="0" borderId="0" xfId="24" applyNumberFormat="1" applyFont="1" applyBorder="1">
      <alignment/>
      <protection/>
    </xf>
    <xf numFmtId="0" fontId="0" fillId="0" borderId="0" xfId="24" applyFont="1" applyBorder="1" applyAlignment="1" applyProtection="1">
      <alignment horizontal="center"/>
      <protection/>
    </xf>
    <xf numFmtId="169" fontId="0" fillId="0" borderId="0" xfId="24" applyNumberFormat="1" applyFont="1" applyBorder="1" applyAlignment="1">
      <alignment horizontal="centerContinuous"/>
      <protection/>
    </xf>
    <xf numFmtId="0" fontId="19" fillId="0" borderId="0" xfId="24" applyFont="1" applyBorder="1" applyAlignment="1" applyProtection="1">
      <alignment horizontal="center"/>
      <protection/>
    </xf>
    <xf numFmtId="0" fontId="3" fillId="0" borderId="0" xfId="24" applyFont="1" applyBorder="1">
      <alignment/>
      <protection/>
    </xf>
    <xf numFmtId="166" fontId="10" fillId="0" borderId="8" xfId="24" applyNumberFormat="1" applyFont="1" applyBorder="1" applyAlignment="1" applyProtection="1">
      <alignment horizontal="center"/>
      <protection/>
    </xf>
    <xf numFmtId="172" fontId="19" fillId="0" borderId="9" xfId="24" applyNumberFormat="1" applyFont="1" applyBorder="1" applyAlignment="1" applyProtection="1">
      <alignment horizontal="centerContinuous"/>
      <protection/>
    </xf>
    <xf numFmtId="0" fontId="4" fillId="0" borderId="0" xfId="24" applyFont="1" applyBorder="1" applyAlignment="1" applyProtection="1">
      <alignment horizontal="center"/>
      <protection/>
    </xf>
    <xf numFmtId="164" fontId="88" fillId="0" borderId="0" xfId="24" applyNumberFormat="1" applyFont="1" applyBorder="1" applyAlignment="1" applyProtection="1">
      <alignment horizontal="center"/>
      <protection/>
    </xf>
    <xf numFmtId="165" fontId="19" fillId="0" borderId="0" xfId="24" applyNumberFormat="1" applyFont="1" applyBorder="1" applyAlignment="1" applyProtection="1">
      <alignment horizontal="center"/>
      <protection/>
    </xf>
    <xf numFmtId="166" fontId="19" fillId="0" borderId="0" xfId="24" applyNumberFormat="1" applyFont="1" applyBorder="1" applyAlignment="1" applyProtection="1">
      <alignment horizontal="center"/>
      <protection/>
    </xf>
    <xf numFmtId="168" fontId="19" fillId="0" borderId="0" xfId="24" applyNumberFormat="1" applyFont="1" applyBorder="1" applyAlignment="1" applyProtection="1" quotePrefix="1">
      <alignment horizontal="center"/>
      <protection/>
    </xf>
    <xf numFmtId="2" fontId="86" fillId="0" borderId="15" xfId="24" applyNumberFormat="1" applyFont="1" applyFill="1" applyBorder="1" applyAlignment="1" applyProtection="1">
      <alignment horizontal="center"/>
      <protection/>
    </xf>
    <xf numFmtId="2" fontId="74" fillId="0" borderId="15" xfId="24" applyNumberFormat="1" applyFont="1" applyFill="1" applyBorder="1" applyAlignment="1" applyProtection="1">
      <alignment horizontal="center"/>
      <protection/>
    </xf>
    <xf numFmtId="2" fontId="89" fillId="0" borderId="15" xfId="24" applyNumberFormat="1" applyFont="1" applyFill="1" applyBorder="1" applyAlignment="1" applyProtection="1">
      <alignment horizontal="center"/>
      <protection/>
    </xf>
    <xf numFmtId="2" fontId="19" fillId="0" borderId="0" xfId="24" applyNumberFormat="1" applyFont="1" applyBorder="1" applyAlignment="1" applyProtection="1">
      <alignment horizontal="center"/>
      <protection/>
    </xf>
    <xf numFmtId="7" fontId="19" fillId="0" borderId="0" xfId="24" applyNumberFormat="1" applyFont="1" applyBorder="1" applyAlignment="1" applyProtection="1">
      <alignment horizontal="center"/>
      <protection/>
    </xf>
    <xf numFmtId="4" fontId="4" fillId="0" borderId="1" xfId="24" applyNumberFormat="1" applyFont="1" applyFill="1" applyBorder="1" applyAlignment="1">
      <alignment horizontal="center"/>
      <protection/>
    </xf>
    <xf numFmtId="0" fontId="4" fillId="0" borderId="7" xfId="24" applyFont="1" applyFill="1" applyBorder="1">
      <alignment/>
      <protection/>
    </xf>
    <xf numFmtId="0" fontId="24" fillId="0" borderId="14" xfId="24" applyFont="1" applyFill="1" applyBorder="1" applyAlignment="1">
      <alignment horizontal="center" vertical="center"/>
      <protection/>
    </xf>
    <xf numFmtId="0" fontId="24" fillId="0" borderId="14" xfId="24" applyFont="1" applyFill="1" applyBorder="1" applyAlignment="1" applyProtection="1">
      <alignment horizontal="center" vertical="center" wrapText="1"/>
      <protection/>
    </xf>
    <xf numFmtId="0" fontId="24" fillId="0" borderId="14" xfId="24" applyFont="1" applyFill="1" applyBorder="1" applyAlignment="1" applyProtection="1">
      <alignment horizontal="center" vertical="center"/>
      <protection/>
    </xf>
    <xf numFmtId="0" fontId="24" fillId="0" borderId="14" xfId="24" applyFont="1" applyFill="1" applyBorder="1" applyAlignment="1" applyProtection="1" quotePrefix="1">
      <alignment horizontal="center" vertical="center" wrapText="1"/>
      <protection/>
    </xf>
    <xf numFmtId="0" fontId="24" fillId="0" borderId="14" xfId="24" applyFont="1" applyFill="1" applyBorder="1" applyAlignment="1">
      <alignment horizontal="center" vertical="center" wrapText="1"/>
      <protection/>
    </xf>
    <xf numFmtId="0" fontId="32" fillId="2" borderId="14" xfId="24" applyFont="1" applyFill="1" applyBorder="1" applyAlignment="1" applyProtection="1">
      <alignment horizontal="center" vertical="center"/>
      <protection/>
    </xf>
    <xf numFmtId="0" fontId="32" fillId="16" borderId="14" xfId="24" applyFont="1" applyFill="1" applyBorder="1" applyAlignment="1" applyProtection="1">
      <alignment horizontal="center" vertical="center"/>
      <protection/>
    </xf>
    <xf numFmtId="0" fontId="24" fillId="0" borderId="8" xfId="24" applyFont="1" applyBorder="1" applyAlignment="1" applyProtection="1">
      <alignment horizontal="center" vertical="center" wrapText="1"/>
      <protection/>
    </xf>
    <xf numFmtId="0" fontId="24" fillId="0" borderId="8" xfId="24" applyFont="1" applyFill="1" applyBorder="1" applyAlignment="1" applyProtection="1">
      <alignment horizontal="centerContinuous" vertical="center"/>
      <protection/>
    </xf>
    <xf numFmtId="0" fontId="24" fillId="0" borderId="15" xfId="24" applyFont="1" applyFill="1" applyBorder="1" applyAlignment="1" applyProtection="1">
      <alignment horizontal="centerContinuous" vertical="center"/>
      <protection/>
    </xf>
    <xf numFmtId="0" fontId="39" fillId="17" borderId="14" xfId="24" applyFont="1" applyFill="1" applyBorder="1" applyAlignment="1">
      <alignment horizontal="center" vertical="center" wrapText="1"/>
      <protection/>
    </xf>
    <xf numFmtId="0" fontId="39" fillId="18" borderId="8" xfId="24" applyFont="1" applyFill="1" applyBorder="1" applyAlignment="1" applyProtection="1">
      <alignment horizontal="centerContinuous" vertical="center" wrapText="1"/>
      <protection/>
    </xf>
    <xf numFmtId="0" fontId="39" fillId="18" borderId="9" xfId="24" applyFont="1" applyFill="1" applyBorder="1" applyAlignment="1">
      <alignment horizontal="centerContinuous" vertical="center"/>
      <protection/>
    </xf>
    <xf numFmtId="0" fontId="39" fillId="3" borderId="14" xfId="24" applyFont="1" applyFill="1" applyBorder="1" applyAlignment="1">
      <alignment horizontal="centerContinuous" vertical="center" wrapText="1"/>
      <protection/>
    </xf>
    <xf numFmtId="0" fontId="39" fillId="16" borderId="58" xfId="24" applyFont="1" applyFill="1" applyBorder="1" applyAlignment="1">
      <alignment vertical="center" wrapText="1"/>
      <protection/>
    </xf>
    <xf numFmtId="0" fontId="39" fillId="16" borderId="16" xfId="24" applyFont="1" applyFill="1" applyBorder="1" applyAlignment="1">
      <alignment vertical="center" wrapText="1"/>
      <protection/>
    </xf>
    <xf numFmtId="0" fontId="39" fillId="16" borderId="31" xfId="24" applyFont="1" applyFill="1" applyBorder="1" applyAlignment="1">
      <alignment vertical="center" wrapText="1"/>
      <protection/>
    </xf>
    <xf numFmtId="0" fontId="24" fillId="0" borderId="14" xfId="24" applyFont="1" applyBorder="1" applyAlignment="1">
      <alignment horizontal="center" vertical="center" wrapText="1"/>
      <protection/>
    </xf>
    <xf numFmtId="0" fontId="4" fillId="0" borderId="2" xfId="24" applyFont="1" applyBorder="1" applyAlignment="1">
      <alignment horizontal="center"/>
      <protection/>
    </xf>
    <xf numFmtId="0" fontId="4" fillId="0" borderId="2" xfId="24" applyFont="1" applyFill="1" applyBorder="1" applyAlignment="1">
      <alignment horizontal="center"/>
      <protection/>
    </xf>
    <xf numFmtId="164" fontId="4" fillId="0" borderId="2" xfId="24" applyNumberFormat="1" applyFont="1" applyFill="1" applyBorder="1" applyAlignment="1" applyProtection="1">
      <alignment horizontal="center"/>
      <protection/>
    </xf>
    <xf numFmtId="0" fontId="90" fillId="2" borderId="2" xfId="24" applyFont="1" applyFill="1" applyBorder="1" applyAlignment="1">
      <alignment horizontal="center"/>
      <protection/>
    </xf>
    <xf numFmtId="0" fontId="90" fillId="16" borderId="2" xfId="24" applyFont="1" applyFill="1" applyBorder="1" applyAlignment="1">
      <alignment horizontal="center"/>
      <protection/>
    </xf>
    <xf numFmtId="0" fontId="4" fillId="0" borderId="4" xfId="24" applyFont="1" applyFill="1" applyBorder="1" applyAlignment="1">
      <alignment horizontal="center"/>
      <protection/>
    </xf>
    <xf numFmtId="0" fontId="33" fillId="2" borderId="17" xfId="24" applyFont="1" applyFill="1" applyBorder="1" applyAlignment="1">
      <alignment horizontal="center"/>
      <protection/>
    </xf>
    <xf numFmtId="0" fontId="42" fillId="17" borderId="17" xfId="24" applyFont="1" applyFill="1" applyBorder="1" applyAlignment="1">
      <alignment horizontal="center"/>
      <protection/>
    </xf>
    <xf numFmtId="0" fontId="42" fillId="18" borderId="32" xfId="24" applyFont="1" applyFill="1" applyBorder="1" applyAlignment="1">
      <alignment horizontal="center"/>
      <protection/>
    </xf>
    <xf numFmtId="0" fontId="42" fillId="18" borderId="33" xfId="24" applyFont="1" applyFill="1" applyBorder="1" applyAlignment="1">
      <alignment horizontal="left"/>
      <protection/>
    </xf>
    <xf numFmtId="0" fontId="42" fillId="3" borderId="17" xfId="24" applyFont="1" applyFill="1" applyBorder="1" applyAlignment="1">
      <alignment horizontal="left"/>
      <protection/>
    </xf>
    <xf numFmtId="0" fontId="42" fillId="16" borderId="48" xfId="24" applyFont="1" applyFill="1" applyBorder="1" applyAlignment="1">
      <alignment horizontal="left"/>
      <protection/>
    </xf>
    <xf numFmtId="0" fontId="42" fillId="16" borderId="0" xfId="24" applyFont="1" applyFill="1" applyBorder="1" applyAlignment="1">
      <alignment horizontal="left"/>
      <protection/>
    </xf>
    <xf numFmtId="0" fontId="42" fillId="16" borderId="47" xfId="24" applyFont="1" applyFill="1" applyBorder="1" applyAlignment="1">
      <alignment horizontal="left"/>
      <protection/>
    </xf>
    <xf numFmtId="0" fontId="7" fillId="0" borderId="4" xfId="24" applyFont="1" applyFill="1" applyBorder="1" applyAlignment="1">
      <alignment horizontal="center"/>
      <protection/>
    </xf>
    <xf numFmtId="0" fontId="4" fillId="0" borderId="2" xfId="25" applyFont="1" applyBorder="1" applyAlignment="1" applyProtection="1">
      <alignment horizontal="center"/>
      <protection locked="0"/>
    </xf>
    <xf numFmtId="0" fontId="4" fillId="0" borderId="19" xfId="26" applyFont="1" applyBorder="1" applyAlignment="1" applyProtection="1">
      <alignment horizontal="center"/>
      <protection locked="0"/>
    </xf>
    <xf numFmtId="0" fontId="4" fillId="0" borderId="24" xfId="26" applyFont="1" applyBorder="1" applyAlignment="1" applyProtection="1">
      <alignment horizontal="center"/>
      <protection locked="0"/>
    </xf>
    <xf numFmtId="164" fontId="4" fillId="0" borderId="19" xfId="26" applyNumberFormat="1" applyFont="1" applyBorder="1" applyAlignment="1" applyProtection="1">
      <alignment horizontal="center"/>
      <protection locked="0"/>
    </xf>
    <xf numFmtId="1" fontId="4" fillId="0" borderId="38" xfId="26" applyNumberFormat="1" applyFont="1" applyBorder="1" applyAlignment="1" applyProtection="1">
      <alignment horizontal="center"/>
      <protection locked="0"/>
    </xf>
    <xf numFmtId="166" fontId="90" fillId="2" borderId="2" xfId="24" applyNumberFormat="1" applyFont="1" applyFill="1" applyBorder="1" applyAlignment="1" applyProtection="1">
      <alignment horizontal="center"/>
      <protection/>
    </xf>
    <xf numFmtId="166" fontId="90" fillId="16" borderId="2" xfId="24" applyNumberFormat="1" applyFont="1" applyFill="1" applyBorder="1" applyAlignment="1" applyProtection="1">
      <alignment horizontal="center"/>
      <protection/>
    </xf>
    <xf numFmtId="22" fontId="4" fillId="0" borderId="19" xfId="26" applyNumberFormat="1" applyFont="1" applyFill="1" applyBorder="1" applyAlignment="1" applyProtection="1">
      <alignment horizontal="center"/>
      <protection locked="0"/>
    </xf>
    <xf numFmtId="4" fontId="4" fillId="0" borderId="2" xfId="24" applyNumberFormat="1" applyFont="1" applyFill="1" applyBorder="1" applyAlignment="1" applyProtection="1">
      <alignment horizontal="center"/>
      <protection/>
    </xf>
    <xf numFmtId="3" fontId="4" fillId="0" borderId="2" xfId="24" applyNumberFormat="1" applyFont="1" applyFill="1" applyBorder="1" applyAlignment="1" applyProtection="1">
      <alignment horizontal="center"/>
      <protection/>
    </xf>
    <xf numFmtId="166" fontId="4" fillId="0" borderId="2" xfId="24" applyNumberFormat="1" applyFont="1" applyFill="1" applyBorder="1" applyAlignment="1" applyProtection="1">
      <alignment horizontal="center"/>
      <protection/>
    </xf>
    <xf numFmtId="166" fontId="4" fillId="0" borderId="2" xfId="24" applyNumberFormat="1" applyFont="1" applyBorder="1" applyAlignment="1" applyProtection="1" quotePrefix="1">
      <alignment horizontal="center"/>
      <protection/>
    </xf>
    <xf numFmtId="164" fontId="33" fillId="2" borderId="2" xfId="24" applyNumberFormat="1" applyFont="1" applyFill="1" applyBorder="1" applyAlignment="1" applyProtection="1">
      <alignment horizontal="center"/>
      <protection/>
    </xf>
    <xf numFmtId="2" fontId="41" fillId="17" borderId="2" xfId="24" applyNumberFormat="1" applyFont="1" applyFill="1" applyBorder="1" applyAlignment="1">
      <alignment horizontal="center"/>
      <protection/>
    </xf>
    <xf numFmtId="166" fontId="41" fillId="18" borderId="37" xfId="24" applyNumberFormat="1" applyFont="1" applyFill="1" applyBorder="1" applyAlignment="1" applyProtection="1" quotePrefix="1">
      <alignment horizontal="center"/>
      <protection/>
    </xf>
    <xf numFmtId="166" fontId="41" fillId="18" borderId="38" xfId="24" applyNumberFormat="1" applyFont="1" applyFill="1" applyBorder="1" applyAlignment="1" applyProtection="1" quotePrefix="1">
      <alignment horizontal="center"/>
      <protection/>
    </xf>
    <xf numFmtId="166" fontId="41" fillId="3" borderId="2" xfId="24" applyNumberFormat="1" applyFont="1" applyFill="1" applyBorder="1" applyAlignment="1" applyProtection="1" quotePrefix="1">
      <alignment horizontal="center"/>
      <protection/>
    </xf>
    <xf numFmtId="166" fontId="41" fillId="16" borderId="48" xfId="24" applyNumberFormat="1" applyFont="1" applyFill="1" applyBorder="1" applyAlignment="1" applyProtection="1" quotePrefix="1">
      <alignment horizontal="center"/>
      <protection/>
    </xf>
    <xf numFmtId="166" fontId="41" fillId="16" borderId="0" xfId="24" applyNumberFormat="1" applyFont="1" applyFill="1" applyBorder="1" applyAlignment="1" applyProtection="1" quotePrefix="1">
      <alignment horizontal="center"/>
      <protection/>
    </xf>
    <xf numFmtId="166" fontId="41" fillId="16" borderId="47" xfId="24" applyNumberFormat="1" applyFont="1" applyFill="1" applyBorder="1" applyAlignment="1" applyProtection="1" quotePrefix="1">
      <alignment horizontal="center"/>
      <protection/>
    </xf>
    <xf numFmtId="166" fontId="4" fillId="0" borderId="4" xfId="24" applyNumberFormat="1" applyFont="1" applyFill="1" applyBorder="1" applyAlignment="1">
      <alignment horizontal="center"/>
      <protection/>
    </xf>
    <xf numFmtId="4" fontId="26" fillId="0" borderId="4" xfId="24" applyNumberFormat="1" applyFont="1" applyFill="1" applyBorder="1" applyAlignment="1">
      <alignment horizontal="right"/>
      <protection/>
    </xf>
    <xf numFmtId="0" fontId="4" fillId="0" borderId="19" xfId="24" applyFont="1" applyBorder="1" applyAlignment="1" applyProtection="1">
      <alignment horizontal="center"/>
      <protection/>
    </xf>
    <xf numFmtId="0" fontId="4" fillId="0" borderId="24" xfId="24" applyFont="1" applyBorder="1" applyAlignment="1" applyProtection="1">
      <alignment horizontal="center"/>
      <protection/>
    </xf>
    <xf numFmtId="164" fontId="4" fillId="0" borderId="19" xfId="24" applyNumberFormat="1" applyFont="1" applyBorder="1" applyAlignment="1" applyProtection="1">
      <alignment horizontal="center"/>
      <protection/>
    </xf>
    <xf numFmtId="1" fontId="4" fillId="0" borderId="38" xfId="24" applyNumberFormat="1" applyFont="1" applyBorder="1" applyAlignment="1" applyProtection="1">
      <alignment horizontal="center"/>
      <protection/>
    </xf>
    <xf numFmtId="22" fontId="4" fillId="0" borderId="2" xfId="26" applyNumberFormat="1" applyFont="1" applyFill="1" applyBorder="1" applyAlignment="1" applyProtection="1">
      <alignment horizontal="center"/>
      <protection locked="0"/>
    </xf>
    <xf numFmtId="22" fontId="4" fillId="0" borderId="2" xfId="24" applyNumberFormat="1" applyFont="1" applyFill="1" applyBorder="1" applyAlignment="1" applyProtection="1">
      <alignment horizontal="center"/>
      <protection/>
    </xf>
    <xf numFmtId="0" fontId="4" fillId="0" borderId="3" xfId="24" applyFont="1" applyFill="1" applyBorder="1" applyAlignment="1">
      <alignment horizontal="center"/>
      <protection/>
    </xf>
    <xf numFmtId="0" fontId="4" fillId="0" borderId="39" xfId="24" applyFont="1" applyBorder="1" applyAlignment="1" applyProtection="1">
      <alignment horizontal="center"/>
      <protection/>
    </xf>
    <xf numFmtId="0" fontId="4" fillId="0" borderId="59" xfId="24" applyFont="1" applyBorder="1" applyAlignment="1" applyProtection="1">
      <alignment horizontal="center"/>
      <protection/>
    </xf>
    <xf numFmtId="164" fontId="4" fillId="0" borderId="39" xfId="24" applyNumberFormat="1" applyFont="1" applyBorder="1" applyAlignment="1" applyProtection="1">
      <alignment horizontal="center"/>
      <protection/>
    </xf>
    <xf numFmtId="1" fontId="4" fillId="0" borderId="41" xfId="24" applyNumberFormat="1" applyFont="1" applyBorder="1" applyAlignment="1" applyProtection="1" quotePrefix="1">
      <alignment horizontal="center"/>
      <protection/>
    </xf>
    <xf numFmtId="166" fontId="90" fillId="2" borderId="3" xfId="24" applyNumberFormat="1" applyFont="1" applyFill="1" applyBorder="1" applyAlignment="1" applyProtection="1">
      <alignment horizontal="center"/>
      <protection/>
    </xf>
    <xf numFmtId="166" fontId="90" fillId="16" borderId="3" xfId="24" applyNumberFormat="1" applyFont="1" applyFill="1" applyBorder="1" applyAlignment="1" applyProtection="1">
      <alignment horizontal="center"/>
      <protection/>
    </xf>
    <xf numFmtId="22" fontId="4" fillId="0" borderId="3" xfId="24" applyNumberFormat="1" applyFont="1" applyFill="1" applyBorder="1" applyAlignment="1">
      <alignment horizontal="center"/>
      <protection/>
    </xf>
    <xf numFmtId="22" fontId="4" fillId="0" borderId="3" xfId="24" applyNumberFormat="1" applyFont="1" applyFill="1" applyBorder="1" applyAlignment="1" applyProtection="1">
      <alignment horizontal="center"/>
      <protection/>
    </xf>
    <xf numFmtId="4" fontId="4" fillId="0" borderId="3" xfId="24" applyNumberFormat="1" applyFont="1" applyFill="1" applyBorder="1" applyAlignment="1" applyProtection="1">
      <alignment horizontal="center"/>
      <protection/>
    </xf>
    <xf numFmtId="3" fontId="4" fillId="0" borderId="3" xfId="24" applyNumberFormat="1" applyFont="1" applyFill="1" applyBorder="1" applyAlignment="1" applyProtection="1">
      <alignment horizontal="center"/>
      <protection/>
    </xf>
    <xf numFmtId="166" fontId="4" fillId="0" borderId="3" xfId="24" applyNumberFormat="1" applyFont="1" applyFill="1" applyBorder="1" applyAlignment="1" applyProtection="1">
      <alignment horizontal="center"/>
      <protection/>
    </xf>
    <xf numFmtId="166" fontId="4" fillId="0" borderId="3" xfId="24" applyNumberFormat="1" applyFont="1" applyBorder="1" applyAlignment="1" applyProtection="1">
      <alignment horizontal="center"/>
      <protection/>
    </xf>
    <xf numFmtId="164" fontId="33" fillId="2" borderId="3" xfId="24" applyNumberFormat="1" applyFont="1" applyFill="1" applyBorder="1" applyAlignment="1" applyProtection="1">
      <alignment horizontal="center"/>
      <protection/>
    </xf>
    <xf numFmtId="2" fontId="42" fillId="17" borderId="3" xfId="24" applyNumberFormat="1" applyFont="1" applyFill="1" applyBorder="1" applyAlignment="1">
      <alignment horizontal="center"/>
      <protection/>
    </xf>
    <xf numFmtId="166" fontId="42" fillId="18" borderId="40" xfId="24" applyNumberFormat="1" applyFont="1" applyFill="1" applyBorder="1" applyAlignment="1" applyProtection="1" quotePrefix="1">
      <alignment horizontal="center"/>
      <protection/>
    </xf>
    <xf numFmtId="166" fontId="42" fillId="18" borderId="41" xfId="24" applyNumberFormat="1" applyFont="1" applyFill="1" applyBorder="1" applyAlignment="1" applyProtection="1" quotePrefix="1">
      <alignment horizontal="center"/>
      <protection/>
    </xf>
    <xf numFmtId="166" fontId="42" fillId="3" borderId="3" xfId="24" applyNumberFormat="1" applyFont="1" applyFill="1" applyBorder="1" applyAlignment="1" applyProtection="1" quotePrefix="1">
      <alignment horizontal="center"/>
      <protection/>
    </xf>
    <xf numFmtId="166" fontId="42" fillId="16" borderId="18" xfId="24" applyNumberFormat="1" applyFont="1" applyFill="1" applyBorder="1" applyAlignment="1" applyProtection="1" quotePrefix="1">
      <alignment horizontal="center"/>
      <protection/>
    </xf>
    <xf numFmtId="166" fontId="42" fillId="16" borderId="52" xfId="24" applyNumberFormat="1" applyFont="1" applyFill="1" applyBorder="1" applyAlignment="1" applyProtection="1" quotePrefix="1">
      <alignment horizontal="center"/>
      <protection/>
    </xf>
    <xf numFmtId="166" fontId="42" fillId="16" borderId="20" xfId="24" applyNumberFormat="1" applyFont="1" applyFill="1" applyBorder="1" applyAlignment="1" applyProtection="1" quotePrefix="1">
      <alignment horizontal="center"/>
      <protection/>
    </xf>
    <xf numFmtId="166" fontId="4" fillId="0" borderId="20" xfId="24" applyNumberFormat="1" applyFont="1" applyFill="1" applyBorder="1" applyAlignment="1">
      <alignment horizontal="center"/>
      <protection/>
    </xf>
    <xf numFmtId="4" fontId="26" fillId="0" borderId="20" xfId="24" applyNumberFormat="1" applyFont="1" applyFill="1" applyBorder="1" applyAlignment="1">
      <alignment horizontal="right"/>
      <protection/>
    </xf>
    <xf numFmtId="0" fontId="4" fillId="0" borderId="0" xfId="24" applyFont="1" applyFill="1" applyBorder="1" applyAlignment="1">
      <alignment horizontal="center"/>
      <protection/>
    </xf>
    <xf numFmtId="164" fontId="4" fillId="0" borderId="0" xfId="24" applyNumberFormat="1" applyFont="1" applyBorder="1" applyAlignment="1" applyProtection="1">
      <alignment horizontal="center"/>
      <protection/>
    </xf>
    <xf numFmtId="1" fontId="4" fillId="0" borderId="0" xfId="24" applyNumberFormat="1" applyFont="1" applyBorder="1" applyAlignment="1" applyProtection="1" quotePrefix="1">
      <alignment horizontal="center"/>
      <protection/>
    </xf>
    <xf numFmtId="166" fontId="4" fillId="0" borderId="0" xfId="24" applyNumberFormat="1" applyFont="1" applyFill="1" applyBorder="1" applyAlignment="1" applyProtection="1">
      <alignment horizontal="center"/>
      <protection/>
    </xf>
    <xf numFmtId="22" fontId="4" fillId="0" borderId="0" xfId="24" applyNumberFormat="1" applyFont="1" applyFill="1" applyBorder="1" applyAlignment="1">
      <alignment horizontal="center"/>
      <protection/>
    </xf>
    <xf numFmtId="22" fontId="4" fillId="0" borderId="0" xfId="24" applyNumberFormat="1" applyFont="1" applyFill="1" applyBorder="1" applyAlignment="1" applyProtection="1">
      <alignment horizontal="center"/>
      <protection/>
    </xf>
    <xf numFmtId="4" fontId="4" fillId="0" borderId="0" xfId="24" applyNumberFormat="1" applyFont="1" applyFill="1" applyBorder="1" applyAlignment="1" applyProtection="1">
      <alignment horizontal="center"/>
      <protection/>
    </xf>
    <xf numFmtId="3" fontId="4" fillId="0" borderId="0" xfId="24" applyNumberFormat="1" applyFont="1" applyFill="1" applyBorder="1" applyAlignment="1" applyProtection="1">
      <alignment horizontal="center"/>
      <protection/>
    </xf>
    <xf numFmtId="166" fontId="4" fillId="0" borderId="0" xfId="24" applyNumberFormat="1" applyFont="1" applyBorder="1" applyAlignment="1" applyProtection="1" quotePrefix="1">
      <alignment horizontal="center"/>
      <protection/>
    </xf>
    <xf numFmtId="166" fontId="4" fillId="0" borderId="0" xfId="24" applyNumberFormat="1" applyFont="1" applyBorder="1" applyAlignment="1" applyProtection="1">
      <alignment horizontal="center"/>
      <protection/>
    </xf>
    <xf numFmtId="164" fontId="4" fillId="0" borderId="16" xfId="24" applyNumberFormat="1" applyFont="1" applyFill="1" applyBorder="1" applyAlignment="1" applyProtection="1">
      <alignment horizontal="center"/>
      <protection/>
    </xf>
    <xf numFmtId="2" fontId="54" fillId="0" borderId="16" xfId="24" applyNumberFormat="1" applyFont="1" applyFill="1" applyBorder="1" applyAlignment="1">
      <alignment horizontal="center"/>
      <protection/>
    </xf>
    <xf numFmtId="166" fontId="6" fillId="0" borderId="16" xfId="24" applyNumberFormat="1" applyFont="1" applyFill="1" applyBorder="1" applyAlignment="1" applyProtection="1" quotePrefix="1">
      <alignment horizontal="center"/>
      <protection/>
    </xf>
    <xf numFmtId="166" fontId="4" fillId="0" borderId="16" xfId="24" applyNumberFormat="1" applyFont="1" applyFill="1" applyBorder="1" applyAlignment="1">
      <alignment horizontal="center"/>
      <protection/>
    </xf>
    <xf numFmtId="8" fontId="26" fillId="0" borderId="14" xfId="27" applyNumberFormat="1" applyFont="1" applyFill="1" applyBorder="1" applyAlignment="1">
      <alignment horizontal="right"/>
    </xf>
    <xf numFmtId="0" fontId="24" fillId="0" borderId="8" xfId="24" applyFont="1" applyFill="1" applyBorder="1" applyAlignment="1" applyProtection="1" quotePrefix="1">
      <alignment horizontal="center" vertical="center" wrapText="1"/>
      <protection/>
    </xf>
    <xf numFmtId="0" fontId="39" fillId="4" borderId="14" xfId="24" applyFont="1" applyFill="1" applyBorder="1" applyAlignment="1" applyProtection="1">
      <alignment horizontal="center" vertical="center"/>
      <protection/>
    </xf>
    <xf numFmtId="0" fontId="37" fillId="10" borderId="14" xfId="24" applyFont="1" applyFill="1" applyBorder="1" applyAlignment="1">
      <alignment horizontal="center" vertical="center" wrapText="1"/>
      <protection/>
    </xf>
    <xf numFmtId="0" fontId="57" fillId="6" borderId="8" xfId="24" applyFont="1" applyFill="1" applyBorder="1" applyAlignment="1" applyProtection="1">
      <alignment horizontal="centerContinuous" vertical="center" wrapText="1"/>
      <protection/>
    </xf>
    <xf numFmtId="0" fontId="57" fillId="6" borderId="9" xfId="24" applyFont="1" applyFill="1" applyBorder="1" applyAlignment="1">
      <alignment horizontal="centerContinuous" vertical="center"/>
      <protection/>
    </xf>
    <xf numFmtId="0" fontId="39" fillId="3" borderId="14" xfId="24" applyFont="1" applyFill="1" applyBorder="1" applyAlignment="1">
      <alignment horizontal="center" vertical="center" wrapText="1"/>
      <protection/>
    </xf>
    <xf numFmtId="0" fontId="4" fillId="0" borderId="56" xfId="24" applyFont="1" applyFill="1" applyBorder="1" applyAlignment="1">
      <alignment horizontal="center"/>
      <protection/>
    </xf>
    <xf numFmtId="164" fontId="42" fillId="4" borderId="2" xfId="24" applyNumberFormat="1" applyFont="1" applyFill="1" applyBorder="1" applyAlignment="1" applyProtection="1">
      <alignment horizontal="center"/>
      <protection/>
    </xf>
    <xf numFmtId="0" fontId="72" fillId="10" borderId="17" xfId="24" applyFont="1" applyFill="1" applyBorder="1" applyAlignment="1" applyProtection="1">
      <alignment horizontal="center"/>
      <protection/>
    </xf>
    <xf numFmtId="166" fontId="59" fillId="6" borderId="32" xfId="24" applyNumberFormat="1" applyFont="1" applyFill="1" applyBorder="1" applyAlignment="1" applyProtection="1" quotePrefix="1">
      <alignment horizontal="center"/>
      <protection/>
    </xf>
    <xf numFmtId="166" fontId="59" fillId="6" borderId="33" xfId="24" applyNumberFormat="1" applyFont="1" applyFill="1" applyBorder="1" applyAlignment="1" applyProtection="1" quotePrefix="1">
      <alignment horizontal="center"/>
      <protection/>
    </xf>
    <xf numFmtId="166" fontId="41" fillId="3" borderId="17" xfId="24" applyNumberFormat="1" applyFont="1" applyFill="1" applyBorder="1" applyAlignment="1" applyProtection="1" quotePrefix="1">
      <alignment horizontal="center"/>
      <protection/>
    </xf>
    <xf numFmtId="0" fontId="4" fillId="0" borderId="19" xfId="25" applyFont="1" applyBorder="1" applyAlignment="1" applyProtection="1">
      <alignment horizontal="center"/>
      <protection locked="0"/>
    </xf>
    <xf numFmtId="0" fontId="4" fillId="0" borderId="21" xfId="28" applyFont="1" applyBorder="1" applyAlignment="1" applyProtection="1">
      <alignment horizontal="center"/>
      <protection locked="0"/>
    </xf>
    <xf numFmtId="164" fontId="4" fillId="0" borderId="36" xfId="24" applyNumberFormat="1" applyFont="1" applyBorder="1" applyAlignment="1" applyProtection="1">
      <alignment horizontal="center"/>
      <protection/>
    </xf>
    <xf numFmtId="22" fontId="4" fillId="0" borderId="22" xfId="28" applyNumberFormat="1" applyFont="1" applyBorder="1" applyAlignment="1" applyProtection="1">
      <alignment horizontal="center"/>
      <protection locked="0"/>
    </xf>
    <xf numFmtId="22" fontId="4" fillId="0" borderId="2" xfId="28" applyNumberFormat="1" applyFont="1" applyBorder="1" applyAlignment="1" applyProtection="1">
      <alignment horizontal="center"/>
      <protection locked="0"/>
    </xf>
    <xf numFmtId="2" fontId="72" fillId="10" borderId="2" xfId="24" applyNumberFormat="1" applyFont="1" applyFill="1" applyBorder="1" applyAlignment="1" applyProtection="1">
      <alignment horizontal="center"/>
      <protection/>
    </xf>
    <xf numFmtId="166" fontId="59" fillId="6" borderId="22" xfId="24" applyNumberFormat="1" applyFont="1" applyFill="1" applyBorder="1" applyAlignment="1" applyProtection="1" quotePrefix="1">
      <alignment horizontal="center"/>
      <protection/>
    </xf>
    <xf numFmtId="166" fontId="59" fillId="6" borderId="46" xfId="24" applyNumberFormat="1" applyFont="1" applyFill="1" applyBorder="1" applyAlignment="1" applyProtection="1" quotePrefix="1">
      <alignment horizontal="center"/>
      <protection/>
    </xf>
    <xf numFmtId="4" fontId="26" fillId="0" borderId="2" xfId="24" applyNumberFormat="1" applyFont="1" applyFill="1" applyBorder="1" applyAlignment="1">
      <alignment horizontal="right"/>
      <protection/>
    </xf>
    <xf numFmtId="164" fontId="4" fillId="0" borderId="64" xfId="24" applyNumberFormat="1" applyFont="1" applyBorder="1" applyAlignment="1" applyProtection="1">
      <alignment horizontal="center"/>
      <protection/>
    </xf>
    <xf numFmtId="164" fontId="4" fillId="0" borderId="0" xfId="24" applyNumberFormat="1" applyFont="1" applyFill="1" applyBorder="1" applyAlignment="1" applyProtection="1">
      <alignment horizontal="center"/>
      <protection/>
    </xf>
    <xf numFmtId="2" fontId="54" fillId="0" borderId="0" xfId="24" applyNumberFormat="1" applyFont="1" applyFill="1" applyBorder="1" applyAlignment="1">
      <alignment horizontal="center"/>
      <protection/>
    </xf>
    <xf numFmtId="166" fontId="6" fillId="0" borderId="0" xfId="24" applyNumberFormat="1" applyFont="1" applyFill="1" applyBorder="1" applyAlignment="1" applyProtection="1" quotePrefix="1">
      <alignment horizontal="center"/>
      <protection/>
    </xf>
    <xf numFmtId="166" fontId="4" fillId="0" borderId="0" xfId="24" applyNumberFormat="1" applyFont="1" applyFill="1" applyBorder="1" applyAlignment="1">
      <alignment horizontal="center"/>
      <protection/>
    </xf>
    <xf numFmtId="8" fontId="26" fillId="0" borderId="15" xfId="27" applyNumberFormat="1" applyFont="1" applyFill="1" applyBorder="1" applyAlignment="1">
      <alignment horizontal="right"/>
    </xf>
    <xf numFmtId="0" fontId="24" fillId="0" borderId="14" xfId="24" applyFont="1" applyBorder="1" applyAlignment="1" applyProtection="1">
      <alignment horizontal="center" vertical="center"/>
      <protection/>
    </xf>
    <xf numFmtId="166" fontId="42" fillId="16" borderId="0" xfId="24" applyNumberFormat="1" applyFont="1" applyFill="1" applyBorder="1" applyAlignment="1" applyProtection="1" quotePrefix="1">
      <alignment horizontal="center"/>
      <protection/>
    </xf>
    <xf numFmtId="0" fontId="24" fillId="0" borderId="14" xfId="24" applyFont="1" applyBorder="1" applyAlignment="1" applyProtection="1">
      <alignment horizontal="center" vertical="center" wrapText="1"/>
      <protection/>
    </xf>
    <xf numFmtId="0" fontId="32" fillId="2" borderId="9" xfId="24" applyFont="1" applyFill="1" applyBorder="1" applyAlignment="1" applyProtection="1">
      <alignment horizontal="center" vertical="center"/>
      <protection/>
    </xf>
    <xf numFmtId="0" fontId="45" fillId="8" borderId="14" xfId="24" applyFont="1" applyFill="1" applyBorder="1" applyAlignment="1">
      <alignment horizontal="center" vertical="center" wrapText="1"/>
      <protection/>
    </xf>
    <xf numFmtId="0" fontId="43" fillId="12" borderId="8" xfId="24" applyFont="1" applyFill="1" applyBorder="1" applyAlignment="1" applyProtection="1">
      <alignment horizontal="centerContinuous" vertical="center" wrapText="1"/>
      <protection/>
    </xf>
    <xf numFmtId="0" fontId="43" fillId="12" borderId="9" xfId="24" applyFont="1" applyFill="1" applyBorder="1" applyAlignment="1">
      <alignment horizontal="centerContinuous" vertical="center"/>
      <protection/>
    </xf>
    <xf numFmtId="0" fontId="37" fillId="10" borderId="8" xfId="24" applyFont="1" applyFill="1" applyBorder="1" applyAlignment="1" applyProtection="1">
      <alignment horizontal="centerContinuous" vertical="center" wrapText="1"/>
      <protection/>
    </xf>
    <xf numFmtId="0" fontId="37" fillId="10" borderId="9" xfId="24" applyFont="1" applyFill="1" applyBorder="1" applyAlignment="1">
      <alignment horizontal="centerContinuous" vertical="center"/>
      <protection/>
    </xf>
    <xf numFmtId="0" fontId="46" fillId="6" borderId="14" xfId="24" applyFont="1" applyFill="1" applyBorder="1" applyAlignment="1">
      <alignment horizontal="center" vertical="center" wrapText="1"/>
      <protection/>
    </xf>
    <xf numFmtId="0" fontId="69" fillId="6" borderId="14" xfId="24" applyFont="1" applyFill="1" applyBorder="1" applyAlignment="1">
      <alignment horizontal="center" vertical="center" wrapText="1"/>
      <protection/>
    </xf>
    <xf numFmtId="0" fontId="45" fillId="0" borderId="14" xfId="24" applyFont="1" applyFill="1" applyBorder="1" applyAlignment="1">
      <alignment horizontal="center" vertical="center" wrapText="1"/>
      <protection/>
    </xf>
    <xf numFmtId="4" fontId="19" fillId="0" borderId="1" xfId="24" applyNumberFormat="1" applyFont="1" applyFill="1" applyBorder="1" applyAlignment="1">
      <alignment horizontal="center"/>
      <protection/>
    </xf>
    <xf numFmtId="0" fontId="4" fillId="0" borderId="30" xfId="24" applyFont="1" applyFill="1" applyBorder="1" applyAlignment="1">
      <alignment horizontal="center"/>
      <protection/>
    </xf>
    <xf numFmtId="0" fontId="4" fillId="0" borderId="47" xfId="24" applyFont="1" applyBorder="1" applyAlignment="1">
      <alignment horizontal="center"/>
      <protection/>
    </xf>
    <xf numFmtId="0" fontId="33" fillId="2" borderId="45" xfId="24" applyFont="1" applyFill="1" applyBorder="1" applyAlignment="1">
      <alignment horizontal="center"/>
      <protection/>
    </xf>
    <xf numFmtId="0" fontId="4" fillId="0" borderId="48" xfId="24" applyFont="1" applyBorder="1" applyAlignment="1">
      <alignment horizontal="center"/>
      <protection/>
    </xf>
    <xf numFmtId="0" fontId="4" fillId="0" borderId="45" xfId="24" applyFont="1" applyBorder="1" applyAlignment="1">
      <alignment horizontal="center"/>
      <protection/>
    </xf>
    <xf numFmtId="0" fontId="4" fillId="0" borderId="2" xfId="24" applyFont="1" applyBorder="1">
      <alignment/>
      <protection/>
    </xf>
    <xf numFmtId="0" fontId="33" fillId="2" borderId="0" xfId="24" applyFont="1" applyFill="1" applyBorder="1" applyAlignment="1">
      <alignment horizontal="center"/>
      <protection/>
    </xf>
    <xf numFmtId="0" fontId="76" fillId="8" borderId="30" xfId="24" applyFont="1" applyFill="1" applyBorder="1" applyAlignment="1">
      <alignment horizontal="center"/>
      <protection/>
    </xf>
    <xf numFmtId="0" fontId="44" fillId="12" borderId="34" xfId="24" applyFont="1" applyFill="1" applyBorder="1" applyAlignment="1">
      <alignment horizontal="center"/>
      <protection/>
    </xf>
    <xf numFmtId="0" fontId="44" fillId="12" borderId="35" xfId="24" applyFont="1" applyFill="1" applyBorder="1" applyAlignment="1">
      <alignment horizontal="center"/>
      <protection/>
    </xf>
    <xf numFmtId="0" fontId="72" fillId="10" borderId="34" xfId="24" applyFont="1" applyFill="1" applyBorder="1" applyAlignment="1">
      <alignment horizontal="center"/>
      <protection/>
    </xf>
    <xf numFmtId="0" fontId="72" fillId="10" borderId="35" xfId="24" applyFont="1" applyFill="1" applyBorder="1" applyAlignment="1">
      <alignment horizontal="center"/>
      <protection/>
    </xf>
    <xf numFmtId="0" fontId="47" fillId="6" borderId="30" xfId="24" applyFont="1" applyFill="1" applyBorder="1" applyAlignment="1">
      <alignment horizontal="center"/>
      <protection/>
    </xf>
    <xf numFmtId="0" fontId="4" fillId="0" borderId="30" xfId="24" applyFont="1" applyBorder="1" applyAlignment="1">
      <alignment horizontal="center"/>
      <protection/>
    </xf>
    <xf numFmtId="7" fontId="26" fillId="0" borderId="30" xfId="24" applyNumberFormat="1" applyFont="1" applyFill="1" applyBorder="1" applyAlignment="1">
      <alignment horizontal="center"/>
      <protection/>
    </xf>
    <xf numFmtId="0" fontId="9" fillId="0" borderId="24" xfId="24" applyFont="1" applyBorder="1" applyAlignment="1" applyProtection="1">
      <alignment horizontal="center"/>
      <protection/>
    </xf>
    <xf numFmtId="0" fontId="9" fillId="0" borderId="49" xfId="24" applyFont="1" applyBorder="1" applyAlignment="1" applyProtection="1">
      <alignment horizontal="center"/>
      <protection/>
    </xf>
    <xf numFmtId="169" fontId="33" fillId="2" borderId="2" xfId="24" applyNumberFormat="1" applyFont="1" applyFill="1" applyBorder="1" applyAlignment="1" applyProtection="1">
      <alignment horizontal="center"/>
      <protection/>
    </xf>
    <xf numFmtId="22" fontId="4" fillId="0" borderId="37" xfId="24" applyNumberFormat="1" applyFont="1" applyBorder="1" applyAlignment="1">
      <alignment horizontal="center"/>
      <protection/>
    </xf>
    <xf numFmtId="22" fontId="4" fillId="0" borderId="49" xfId="24" applyNumberFormat="1" applyFont="1" applyBorder="1" applyAlignment="1" applyProtection="1">
      <alignment horizontal="center"/>
      <protection/>
    </xf>
    <xf numFmtId="2" fontId="4" fillId="0" borderId="19" xfId="24" applyNumberFormat="1" applyFont="1" applyFill="1" applyBorder="1" applyAlignment="1" applyProtection="1" quotePrefix="1">
      <alignment horizontal="center"/>
      <protection/>
    </xf>
    <xf numFmtId="164" fontId="4" fillId="0" borderId="19" xfId="24" applyNumberFormat="1" applyFont="1" applyFill="1" applyBorder="1" applyAlignment="1" applyProtection="1" quotePrefix="1">
      <alignment horizontal="center"/>
      <protection/>
    </xf>
    <xf numFmtId="166" fontId="4" fillId="0" borderId="36" xfId="24" applyNumberFormat="1" applyFont="1" applyBorder="1" applyAlignment="1" applyProtection="1">
      <alignment horizontal="center"/>
      <protection/>
    </xf>
    <xf numFmtId="168" fontId="4" fillId="0" borderId="4" xfId="24" applyNumberFormat="1" applyFont="1" applyBorder="1" applyAlignment="1" applyProtection="1" quotePrefix="1">
      <alignment horizontal="center"/>
      <protection/>
    </xf>
    <xf numFmtId="164" fontId="33" fillId="2" borderId="49" xfId="24" applyNumberFormat="1" applyFont="1" applyFill="1" applyBorder="1" applyAlignment="1" applyProtection="1">
      <alignment horizontal="center"/>
      <protection/>
    </xf>
    <xf numFmtId="2" fontId="76" fillId="8" borderId="2" xfId="24" applyNumberFormat="1" applyFont="1" applyFill="1" applyBorder="1" applyAlignment="1" applyProtection="1">
      <alignment horizontal="center"/>
      <protection/>
    </xf>
    <xf numFmtId="166" fontId="44" fillId="12" borderId="37" xfId="24" applyNumberFormat="1" applyFont="1" applyFill="1" applyBorder="1" applyAlignment="1" applyProtection="1" quotePrefix="1">
      <alignment horizontal="center"/>
      <protection/>
    </xf>
    <xf numFmtId="166" fontId="44" fillId="12" borderId="38" xfId="24" applyNumberFormat="1" applyFont="1" applyFill="1" applyBorder="1" applyAlignment="1" applyProtection="1" quotePrefix="1">
      <alignment horizontal="center"/>
      <protection/>
    </xf>
    <xf numFmtId="166" fontId="72" fillId="10" borderId="37" xfId="24" applyNumberFormat="1" applyFont="1" applyFill="1" applyBorder="1" applyAlignment="1" applyProtection="1" quotePrefix="1">
      <alignment horizontal="center"/>
      <protection/>
    </xf>
    <xf numFmtId="166" fontId="72" fillId="10" borderId="38" xfId="24" applyNumberFormat="1" applyFont="1" applyFill="1" applyBorder="1" applyAlignment="1" applyProtection="1" quotePrefix="1">
      <alignment horizontal="center"/>
      <protection/>
    </xf>
    <xf numFmtId="166" fontId="47" fillId="6" borderId="19" xfId="24" applyNumberFormat="1" applyFont="1" applyFill="1" applyBorder="1" applyAlignment="1" applyProtection="1" quotePrefix="1">
      <alignment horizontal="center"/>
      <protection/>
    </xf>
    <xf numFmtId="2" fontId="71" fillId="6" borderId="19" xfId="24" applyNumberFormat="1" applyFont="1" applyFill="1" applyBorder="1" applyAlignment="1" applyProtection="1">
      <alignment horizontal="center"/>
      <protection/>
    </xf>
    <xf numFmtId="166" fontId="4" fillId="0" borderId="19" xfId="24" applyNumberFormat="1" applyFont="1" applyBorder="1" applyAlignment="1" applyProtection="1">
      <alignment horizontal="center"/>
      <protection/>
    </xf>
    <xf numFmtId="4" fontId="26" fillId="0" borderId="19" xfId="24" applyNumberFormat="1" applyFont="1" applyFill="1" applyBorder="1" applyAlignment="1">
      <alignment horizontal="right"/>
      <protection/>
    </xf>
    <xf numFmtId="2" fontId="4" fillId="0" borderId="2" xfId="24" applyNumberFormat="1" applyFont="1" applyFill="1" applyBorder="1" applyAlignment="1" applyProtection="1" quotePrefix="1">
      <alignment horizontal="center"/>
      <protection/>
    </xf>
    <xf numFmtId="164" fontId="4" fillId="0" borderId="2" xfId="24" applyNumberFormat="1" applyFont="1" applyFill="1" applyBorder="1" applyAlignment="1" applyProtection="1" quotePrefix="1">
      <alignment horizontal="center"/>
      <protection/>
    </xf>
    <xf numFmtId="166" fontId="4" fillId="0" borderId="4" xfId="24" applyNumberFormat="1" applyFont="1" applyBorder="1" applyAlignment="1" applyProtection="1">
      <alignment horizontal="center"/>
      <protection locked="0"/>
    </xf>
    <xf numFmtId="2" fontId="71" fillId="6" borderId="2" xfId="24" applyNumberFormat="1" applyFont="1" applyFill="1" applyBorder="1" applyAlignment="1" applyProtection="1">
      <alignment horizontal="center"/>
      <protection/>
    </xf>
    <xf numFmtId="166" fontId="4" fillId="0" borderId="2" xfId="24" applyNumberFormat="1" applyFont="1" applyBorder="1" applyAlignment="1" applyProtection="1">
      <alignment horizontal="center"/>
      <protection/>
    </xf>
    <xf numFmtId="0" fontId="9" fillId="0" borderId="50" xfId="24" applyFont="1" applyBorder="1" applyAlignment="1" applyProtection="1">
      <alignment horizontal="center"/>
      <protection locked="0"/>
    </xf>
    <xf numFmtId="0" fontId="9" fillId="0" borderId="21" xfId="24" applyFont="1" applyBorder="1" applyAlignment="1" applyProtection="1">
      <alignment horizontal="center"/>
      <protection locked="0"/>
    </xf>
    <xf numFmtId="22" fontId="4" fillId="0" borderId="22" xfId="24" applyNumberFormat="1" applyFont="1" applyBorder="1" applyAlignment="1" applyProtection="1">
      <alignment horizontal="center"/>
      <protection locked="0"/>
    </xf>
    <xf numFmtId="22" fontId="4" fillId="0" borderId="21" xfId="24" applyNumberFormat="1" applyFont="1" applyBorder="1" applyAlignment="1" applyProtection="1">
      <alignment horizontal="center"/>
      <protection locked="0"/>
    </xf>
    <xf numFmtId="0" fontId="4" fillId="0" borderId="39" xfId="24" applyFont="1" applyFill="1" applyBorder="1" applyAlignment="1">
      <alignment horizontal="center"/>
      <protection/>
    </xf>
    <xf numFmtId="0" fontId="9" fillId="0" borderId="52" xfId="24" applyFont="1" applyBorder="1" applyAlignment="1" applyProtection="1">
      <alignment horizontal="center"/>
      <protection locked="0"/>
    </xf>
    <xf numFmtId="0" fontId="9" fillId="0" borderId="18" xfId="24" applyFont="1" applyBorder="1" applyAlignment="1" applyProtection="1">
      <alignment horizontal="center"/>
      <protection locked="0"/>
    </xf>
    <xf numFmtId="169" fontId="33" fillId="2" borderId="39" xfId="24" applyNumberFormat="1" applyFont="1" applyFill="1" applyBorder="1" applyAlignment="1" applyProtection="1">
      <alignment horizontal="center"/>
      <protection/>
    </xf>
    <xf numFmtId="166" fontId="42" fillId="16" borderId="3" xfId="24" applyNumberFormat="1" applyFont="1" applyFill="1" applyBorder="1" applyAlignment="1" applyProtection="1" quotePrefix="1">
      <alignment horizontal="center"/>
      <protection/>
    </xf>
    <xf numFmtId="22" fontId="4" fillId="0" borderId="25" xfId="24" applyNumberFormat="1" applyFont="1" applyBorder="1" applyAlignment="1" applyProtection="1">
      <alignment horizontal="center"/>
      <protection locked="0"/>
    </xf>
    <xf numFmtId="22" fontId="4" fillId="0" borderId="18" xfId="24" applyNumberFormat="1" applyFont="1" applyBorder="1" applyAlignment="1" applyProtection="1">
      <alignment horizontal="center"/>
      <protection locked="0"/>
    </xf>
    <xf numFmtId="2" fontId="4" fillId="0" borderId="3" xfId="24" applyNumberFormat="1" applyFont="1" applyFill="1" applyBorder="1" applyAlignment="1" applyProtection="1" quotePrefix="1">
      <alignment horizontal="center"/>
      <protection/>
    </xf>
    <xf numFmtId="164" fontId="4" fillId="0" borderId="3" xfId="24" applyNumberFormat="1" applyFont="1" applyFill="1" applyBorder="1" applyAlignment="1" applyProtection="1" quotePrefix="1">
      <alignment horizontal="center"/>
      <protection/>
    </xf>
    <xf numFmtId="166" fontId="4" fillId="0" borderId="20" xfId="24" applyNumberFormat="1" applyFont="1" applyBorder="1" applyAlignment="1" applyProtection="1">
      <alignment horizontal="center"/>
      <protection locked="0"/>
    </xf>
    <xf numFmtId="168" fontId="4" fillId="0" borderId="20" xfId="24" applyNumberFormat="1" applyFont="1" applyBorder="1" applyAlignment="1" applyProtection="1" quotePrefix="1">
      <alignment horizontal="center"/>
      <protection/>
    </xf>
    <xf numFmtId="164" fontId="33" fillId="2" borderId="52" xfId="24" applyNumberFormat="1" applyFont="1" applyFill="1" applyBorder="1" applyAlignment="1" applyProtection="1">
      <alignment horizontal="center"/>
      <protection/>
    </xf>
    <xf numFmtId="2" fontId="76" fillId="8" borderId="3" xfId="24" applyNumberFormat="1" applyFont="1" applyFill="1" applyBorder="1" applyAlignment="1" applyProtection="1">
      <alignment horizontal="center"/>
      <protection/>
    </xf>
    <xf numFmtId="166" fontId="44" fillId="12" borderId="40" xfId="24" applyNumberFormat="1" applyFont="1" applyFill="1" applyBorder="1" applyAlignment="1" applyProtection="1" quotePrefix="1">
      <alignment horizontal="center"/>
      <protection/>
    </xf>
    <xf numFmtId="166" fontId="44" fillId="12" borderId="41" xfId="24" applyNumberFormat="1" applyFont="1" applyFill="1" applyBorder="1" applyAlignment="1" applyProtection="1" quotePrefix="1">
      <alignment horizontal="center"/>
      <protection/>
    </xf>
    <xf numFmtId="166" fontId="72" fillId="10" borderId="40" xfId="24" applyNumberFormat="1" applyFont="1" applyFill="1" applyBorder="1" applyAlignment="1" applyProtection="1" quotePrefix="1">
      <alignment horizontal="center"/>
      <protection/>
    </xf>
    <xf numFmtId="166" fontId="72" fillId="10" borderId="41" xfId="24" applyNumberFormat="1" applyFont="1" applyFill="1" applyBorder="1" applyAlignment="1" applyProtection="1" quotePrefix="1">
      <alignment horizontal="center"/>
      <protection/>
    </xf>
    <xf numFmtId="166" fontId="47" fillId="6" borderId="39" xfId="24" applyNumberFormat="1" applyFont="1" applyFill="1" applyBorder="1" applyAlignment="1" applyProtection="1" quotePrefix="1">
      <alignment horizontal="center"/>
      <protection/>
    </xf>
    <xf numFmtId="2" fontId="71" fillId="6" borderId="3" xfId="24" applyNumberFormat="1" applyFont="1" applyFill="1" applyBorder="1" applyAlignment="1" applyProtection="1">
      <alignment horizontal="center"/>
      <protection/>
    </xf>
    <xf numFmtId="4" fontId="26" fillId="0" borderId="3" xfId="24" applyNumberFormat="1" applyFont="1" applyFill="1" applyBorder="1" applyAlignment="1">
      <alignment horizontal="right"/>
      <protection/>
    </xf>
    <xf numFmtId="8" fontId="26" fillId="0" borderId="0" xfId="27" applyNumberFormat="1" applyFont="1" applyFill="1" applyBorder="1" applyAlignment="1">
      <alignment horizontal="right"/>
    </xf>
    <xf numFmtId="166" fontId="4" fillId="0" borderId="0" xfId="24" applyNumberFormat="1" applyFont="1" applyBorder="1" applyAlignment="1" applyProtection="1" quotePrefix="1">
      <alignment horizontal="centerContinuous"/>
      <protection/>
    </xf>
    <xf numFmtId="166" fontId="4" fillId="0" borderId="0" xfId="24" applyNumberFormat="1" applyFont="1" applyBorder="1" applyAlignment="1" applyProtection="1">
      <alignment horizontal="centerContinuous"/>
      <protection/>
    </xf>
    <xf numFmtId="4" fontId="26" fillId="0" borderId="0" xfId="24" applyNumberFormat="1" applyFont="1" applyFill="1" applyBorder="1" applyAlignment="1">
      <alignment horizontal="right"/>
      <protection/>
    </xf>
    <xf numFmtId="2" fontId="50" fillId="0" borderId="0" xfId="24" applyNumberFormat="1" applyFont="1" applyBorder="1" applyAlignment="1" applyProtection="1">
      <alignment horizontal="left"/>
      <protection/>
    </xf>
    <xf numFmtId="166" fontId="50" fillId="0" borderId="0" xfId="24" applyNumberFormat="1" applyFont="1" applyBorder="1" applyAlignment="1" applyProtection="1">
      <alignment horizontal="center"/>
      <protection/>
    </xf>
    <xf numFmtId="0" fontId="50" fillId="0" borderId="0" xfId="24" applyFont="1" applyBorder="1" applyAlignment="1" applyProtection="1">
      <alignment horizontal="center"/>
      <protection/>
    </xf>
    <xf numFmtId="165" fontId="50" fillId="0" borderId="0" xfId="24" applyNumberFormat="1" applyFont="1" applyBorder="1" applyAlignment="1" applyProtection="1">
      <alignment horizontal="center"/>
      <protection/>
    </xf>
    <xf numFmtId="0" fontId="55" fillId="0" borderId="0" xfId="24" applyFont="1">
      <alignment/>
      <protection/>
    </xf>
    <xf numFmtId="168" fontId="50" fillId="0" borderId="0" xfId="24" applyNumberFormat="1" applyFont="1" applyBorder="1" applyAlignment="1" applyProtection="1" quotePrefix="1">
      <alignment horizontal="center"/>
      <protection/>
    </xf>
    <xf numFmtId="0" fontId="50" fillId="0" borderId="0" xfId="24" applyFont="1">
      <alignment/>
      <protection/>
    </xf>
    <xf numFmtId="2" fontId="50" fillId="0" borderId="0" xfId="24" applyNumberFormat="1" applyFont="1" applyBorder="1" applyAlignment="1" applyProtection="1">
      <alignment horizontal="center"/>
      <protection/>
    </xf>
    <xf numFmtId="166" fontId="50" fillId="0" borderId="0" xfId="24" applyNumberFormat="1" applyFont="1" applyBorder="1" applyAlignment="1" applyProtection="1" quotePrefix="1">
      <alignment horizontal="center"/>
      <protection/>
    </xf>
    <xf numFmtId="0" fontId="10" fillId="0" borderId="0" xfId="24" applyFont="1" applyBorder="1" applyAlignment="1">
      <alignment horizontal="center"/>
      <protection/>
    </xf>
    <xf numFmtId="2" fontId="91" fillId="0" borderId="0" xfId="24" applyNumberFormat="1" applyFont="1" applyBorder="1" applyAlignment="1" applyProtection="1">
      <alignment horizontal="left"/>
      <protection/>
    </xf>
    <xf numFmtId="0" fontId="19" fillId="0" borderId="0" xfId="24" applyFont="1" applyAlignment="1">
      <alignment horizontal="center"/>
      <protection/>
    </xf>
    <xf numFmtId="168" fontId="10" fillId="0" borderId="0" xfId="24" applyNumberFormat="1" applyFont="1" applyBorder="1" applyAlignment="1" applyProtection="1">
      <alignment horizontal="left"/>
      <protection/>
    </xf>
    <xf numFmtId="2" fontId="92" fillId="0" borderId="0" xfId="24" applyNumberFormat="1" applyFont="1" applyBorder="1" applyAlignment="1" applyProtection="1">
      <alignment horizontal="center"/>
      <protection/>
    </xf>
    <xf numFmtId="166" fontId="10" fillId="0" borderId="0" xfId="24" applyNumberFormat="1" applyFont="1" applyBorder="1" applyAlignment="1" applyProtection="1">
      <alignment horizontal="left"/>
      <protection/>
    </xf>
    <xf numFmtId="166" fontId="88" fillId="0" borderId="0" xfId="24" applyNumberFormat="1" applyFont="1" applyBorder="1" applyAlignment="1" applyProtection="1" quotePrefix="1">
      <alignment horizontal="center"/>
      <protection/>
    </xf>
    <xf numFmtId="4" fontId="88" fillId="0" borderId="0" xfId="24" applyNumberFormat="1" applyFont="1" applyBorder="1" applyAlignment="1" applyProtection="1">
      <alignment horizontal="center"/>
      <protection/>
    </xf>
    <xf numFmtId="7" fontId="19" fillId="0" borderId="0" xfId="24" applyNumberFormat="1" applyFont="1" applyBorder="1" applyAlignment="1">
      <alignment horizontal="centerContinuous"/>
      <protection/>
    </xf>
    <xf numFmtId="1" fontId="19" fillId="0" borderId="0" xfId="24" applyNumberFormat="1" applyFont="1" applyBorder="1" applyAlignment="1" applyProtection="1">
      <alignment horizontal="center"/>
      <protection/>
    </xf>
    <xf numFmtId="172" fontId="19" fillId="0" borderId="0" xfId="24" applyNumberFormat="1" applyFont="1" applyBorder="1" applyAlignment="1" applyProtection="1">
      <alignment horizontal="centerContinuous"/>
      <protection/>
    </xf>
    <xf numFmtId="172" fontId="50" fillId="0" borderId="0" xfId="24" applyNumberFormat="1" applyFont="1" applyBorder="1" applyAlignment="1" applyProtection="1">
      <alignment horizontal="centerContinuous"/>
      <protection/>
    </xf>
    <xf numFmtId="166" fontId="50" fillId="0" borderId="0" xfId="30" applyNumberFormat="1" applyFont="1" applyBorder="1" applyAlignment="1" applyProtection="1" quotePrefix="1">
      <alignment horizontal="left"/>
      <protection/>
    </xf>
    <xf numFmtId="4" fontId="50" fillId="0" borderId="0" xfId="24" applyNumberFormat="1" applyFont="1" applyBorder="1" applyAlignment="1" applyProtection="1">
      <alignment horizontal="center"/>
      <protection/>
    </xf>
    <xf numFmtId="7" fontId="50" fillId="0" borderId="0" xfId="24" applyNumberFormat="1" applyFont="1" applyFill="1" applyBorder="1" applyAlignment="1">
      <alignment horizontal="center"/>
      <protection/>
    </xf>
    <xf numFmtId="166" fontId="50" fillId="0" borderId="0" xfId="24" applyNumberFormat="1" applyFont="1" applyBorder="1" applyAlignment="1" applyProtection="1" quotePrefix="1">
      <alignment horizontal="left"/>
      <protection/>
    </xf>
    <xf numFmtId="1" fontId="19" fillId="0" borderId="0" xfId="24" applyNumberFormat="1" applyFont="1" applyBorder="1" applyAlignment="1" applyProtection="1">
      <alignment horizontal="left"/>
      <protection/>
    </xf>
    <xf numFmtId="1" fontId="19" fillId="0" borderId="0" xfId="24" applyNumberFormat="1" applyFont="1" applyBorder="1" applyAlignment="1" applyProtection="1">
      <alignment horizontal="centerContinuous"/>
      <protection/>
    </xf>
    <xf numFmtId="166" fontId="3" fillId="0" borderId="0" xfId="24" applyNumberFormat="1" applyFont="1" applyBorder="1" applyAlignment="1" applyProtection="1">
      <alignment horizontal="left"/>
      <protection/>
    </xf>
    <xf numFmtId="10" fontId="19" fillId="0" borderId="0" xfId="24" applyNumberFormat="1" applyFont="1" applyBorder="1" applyAlignment="1" applyProtection="1">
      <alignment horizontal="center"/>
      <protection/>
    </xf>
    <xf numFmtId="7" fontId="19" fillId="0" borderId="0" xfId="24" applyNumberFormat="1" applyFont="1" applyAlignment="1">
      <alignment horizontal="right"/>
      <protection/>
    </xf>
    <xf numFmtId="0" fontId="19" fillId="0" borderId="0" xfId="24" applyFont="1" quotePrefix="1">
      <alignment/>
      <protection/>
    </xf>
    <xf numFmtId="166" fontId="19" fillId="0" borderId="0" xfId="24" applyNumberFormat="1" applyFont="1" applyBorder="1" applyAlignment="1" applyProtection="1" quotePrefix="1">
      <alignment horizontal="center"/>
      <protection/>
    </xf>
    <xf numFmtId="7" fontId="19" fillId="0" borderId="0" xfId="24" applyNumberFormat="1" applyFont="1" applyBorder="1" applyAlignment="1" applyProtection="1">
      <alignment horizontal="left"/>
      <protection/>
    </xf>
    <xf numFmtId="0" fontId="55" fillId="0" borderId="0" xfId="24" applyFont="1" quotePrefix="1">
      <alignment/>
      <protection/>
    </xf>
    <xf numFmtId="0" fontId="27" fillId="0" borderId="0" xfId="24" applyFont="1" applyAlignment="1">
      <alignment vertical="center"/>
      <protection/>
    </xf>
    <xf numFmtId="0" fontId="20" fillId="0" borderId="7" xfId="24" applyFont="1" applyBorder="1" applyAlignment="1">
      <alignment vertical="center"/>
      <protection/>
    </xf>
    <xf numFmtId="0" fontId="20" fillId="0" borderId="0" xfId="24" applyFont="1" applyBorder="1" applyAlignment="1">
      <alignment horizontal="center" vertical="center"/>
      <protection/>
    </xf>
    <xf numFmtId="166" fontId="20" fillId="0" borderId="0" xfId="24" applyNumberFormat="1" applyFont="1" applyBorder="1" applyAlignment="1" applyProtection="1">
      <alignment horizontal="left" vertical="center"/>
      <protection/>
    </xf>
    <xf numFmtId="0" fontId="27" fillId="0" borderId="0" xfId="24" applyFont="1" applyAlignment="1" quotePrefix="1">
      <alignment vertical="center"/>
      <protection/>
    </xf>
    <xf numFmtId="0" fontId="20" fillId="0" borderId="0" xfId="24" applyFont="1" applyBorder="1" applyAlignment="1" applyProtection="1">
      <alignment horizontal="center" vertical="center"/>
      <protection/>
    </xf>
    <xf numFmtId="165" fontId="20" fillId="0" borderId="0" xfId="24" applyNumberFormat="1" applyFont="1" applyBorder="1" applyAlignment="1" applyProtection="1">
      <alignment horizontal="center" vertical="center"/>
      <protection/>
    </xf>
    <xf numFmtId="4" fontId="22" fillId="0" borderId="8" xfId="24" applyNumberFormat="1" applyFont="1" applyBorder="1" applyAlignment="1" applyProtection="1">
      <alignment horizontal="center" vertical="center"/>
      <protection/>
    </xf>
    <xf numFmtId="7" fontId="93" fillId="0" borderId="9" xfId="24" applyNumberFormat="1" applyFont="1" applyFill="1" applyBorder="1" applyAlignment="1">
      <alignment horizontal="center" vertical="center"/>
      <protection/>
    </xf>
    <xf numFmtId="166" fontId="20" fillId="0" borderId="0" xfId="24" applyNumberFormat="1" applyFont="1" applyBorder="1" applyAlignment="1" applyProtection="1">
      <alignment horizontal="center" vertical="center"/>
      <protection/>
    </xf>
    <xf numFmtId="166" fontId="22" fillId="0" borderId="0" xfId="31" applyNumberFormat="1" applyFont="1" applyBorder="1" applyAlignment="1" applyProtection="1">
      <alignment horizontal="left" vertical="center"/>
      <protection/>
    </xf>
    <xf numFmtId="168" fontId="20" fillId="0" borderId="0" xfId="24" applyNumberFormat="1" applyFont="1" applyBorder="1" applyAlignment="1" applyProtection="1" quotePrefix="1">
      <alignment horizontal="center" vertical="center"/>
      <protection/>
    </xf>
    <xf numFmtId="2" fontId="94" fillId="0" borderId="0" xfId="24" applyNumberFormat="1" applyFont="1" applyBorder="1" applyAlignment="1" applyProtection="1">
      <alignment horizontal="center" vertical="center"/>
      <protection/>
    </xf>
    <xf numFmtId="166" fontId="95" fillId="0" borderId="0" xfId="24" applyNumberFormat="1" applyFont="1" applyBorder="1" applyAlignment="1" applyProtection="1" quotePrefix="1">
      <alignment horizontal="center" vertical="center"/>
      <protection/>
    </xf>
    <xf numFmtId="4" fontId="20" fillId="0" borderId="1" xfId="24" applyNumberFormat="1" applyFont="1" applyFill="1" applyBorder="1" applyAlignment="1">
      <alignment horizontal="center" vertical="center"/>
      <protection/>
    </xf>
    <xf numFmtId="0" fontId="19" fillId="0" borderId="10" xfId="24" applyFont="1" applyBorder="1">
      <alignment/>
      <protection/>
    </xf>
    <xf numFmtId="0" fontId="19" fillId="0" borderId="11" xfId="24" applyFont="1" applyBorder="1">
      <alignment/>
      <protection/>
    </xf>
    <xf numFmtId="0" fontId="0" fillId="0" borderId="11" xfId="24" applyBorder="1">
      <alignment/>
      <protection/>
    </xf>
    <xf numFmtId="0" fontId="19" fillId="0" borderId="12" xfId="24" applyFont="1" applyFill="1" applyBorder="1">
      <alignment/>
      <protection/>
    </xf>
    <xf numFmtId="0" fontId="4" fillId="0" borderId="0" xfId="24" applyFont="1" applyBorder="1" applyAlignment="1">
      <alignment horizontal="left"/>
      <protection/>
    </xf>
    <xf numFmtId="0" fontId="12" fillId="0" borderId="0" xfId="26" applyFont="1">
      <alignment/>
      <protection/>
    </xf>
    <xf numFmtId="0" fontId="12" fillId="0" borderId="0" xfId="26" applyFont="1" applyFill="1">
      <alignment/>
      <protection/>
    </xf>
    <xf numFmtId="0" fontId="51" fillId="0" borderId="0" xfId="26" applyFont="1" applyFill="1" applyAlignment="1">
      <alignment horizontal="right" vertical="top"/>
      <protection/>
    </xf>
    <xf numFmtId="0" fontId="13" fillId="0" borderId="0" xfId="26" applyFont="1" applyFill="1" applyAlignment="1">
      <alignment horizontal="centerContinuous"/>
      <protection/>
    </xf>
    <xf numFmtId="0" fontId="13" fillId="0" borderId="0" xfId="26" applyFont="1" applyAlignment="1">
      <alignment horizontal="centerContinuous"/>
      <protection/>
    </xf>
    <xf numFmtId="0" fontId="4" fillId="0" borderId="0" xfId="26" applyFont="1" applyFill="1">
      <alignment/>
      <protection/>
    </xf>
    <xf numFmtId="0" fontId="4" fillId="0" borderId="0" xfId="26" applyFont="1">
      <alignment/>
      <protection/>
    </xf>
    <xf numFmtId="0" fontId="11" fillId="0" borderId="0" xfId="26" applyFont="1" applyFill="1" applyAlignment="1">
      <alignment horizontal="centerContinuous"/>
      <protection/>
    </xf>
    <xf numFmtId="0" fontId="15" fillId="0" borderId="0" xfId="26" applyFont="1" applyFill="1" applyAlignment="1">
      <alignment horizontal="centerContinuous"/>
      <protection/>
    </xf>
    <xf numFmtId="0" fontId="15" fillId="0" borderId="0" xfId="26" applyFont="1" applyFill="1">
      <alignment/>
      <protection/>
    </xf>
    <xf numFmtId="0" fontId="15" fillId="0" borderId="0" xfId="26" applyFont="1">
      <alignment/>
      <protection/>
    </xf>
    <xf numFmtId="0" fontId="4" fillId="0" borderId="13" xfId="26" applyFont="1" applyFill="1" applyBorder="1">
      <alignment/>
      <protection/>
    </xf>
    <xf numFmtId="0" fontId="4" fillId="0" borderId="5" xfId="26" applyFont="1" applyFill="1" applyBorder="1">
      <alignment/>
      <protection/>
    </xf>
    <xf numFmtId="0" fontId="4" fillId="0" borderId="6" xfId="26" applyFont="1" applyFill="1" applyBorder="1">
      <alignment/>
      <protection/>
    </xf>
    <xf numFmtId="0" fontId="17" fillId="0" borderId="0" xfId="26" applyFont="1">
      <alignment/>
      <protection/>
    </xf>
    <xf numFmtId="0" fontId="17" fillId="0" borderId="7" xfId="26" applyFont="1" applyBorder="1">
      <alignment/>
      <protection/>
    </xf>
    <xf numFmtId="0" fontId="17" fillId="0" borderId="0" xfId="26" applyFont="1" applyBorder="1">
      <alignment/>
      <protection/>
    </xf>
    <xf numFmtId="0" fontId="8" fillId="0" borderId="0" xfId="26" applyFont="1" applyBorder="1" applyAlignment="1">
      <alignment horizontal="left"/>
      <protection/>
    </xf>
    <xf numFmtId="0" fontId="8" fillId="0" borderId="0" xfId="26" applyFont="1" applyBorder="1">
      <alignment/>
      <protection/>
    </xf>
    <xf numFmtId="0" fontId="49" fillId="0" borderId="0" xfId="26" applyFont="1">
      <alignment/>
      <protection/>
    </xf>
    <xf numFmtId="0" fontId="17" fillId="0" borderId="1" xfId="26" applyFont="1" applyFill="1" applyBorder="1">
      <alignment/>
      <protection/>
    </xf>
    <xf numFmtId="0" fontId="4" fillId="0" borderId="7" xfId="26" applyFont="1" applyFill="1" applyBorder="1">
      <alignment/>
      <protection/>
    </xf>
    <xf numFmtId="0" fontId="4" fillId="0" borderId="0" xfId="26" applyFont="1" applyFill="1" applyBorder="1">
      <alignment/>
      <protection/>
    </xf>
    <xf numFmtId="0" fontId="2" fillId="0" borderId="0" xfId="26" applyFont="1" applyFill="1" applyBorder="1" applyAlignment="1">
      <alignment horizontal="left"/>
      <protection/>
    </xf>
    <xf numFmtId="0" fontId="4" fillId="0" borderId="1" xfId="26" applyFont="1" applyFill="1" applyBorder="1">
      <alignment/>
      <protection/>
    </xf>
    <xf numFmtId="0" fontId="17" fillId="0" borderId="0" xfId="26" applyFont="1" applyAlignment="1">
      <alignment vertical="top"/>
      <protection/>
    </xf>
    <xf numFmtId="0" fontId="17" fillId="0" borderId="7" xfId="26" applyFont="1" applyBorder="1" applyAlignment="1">
      <alignment vertical="top"/>
      <protection/>
    </xf>
    <xf numFmtId="0" fontId="17" fillId="0" borderId="0" xfId="26" applyFont="1" applyBorder="1" applyAlignment="1">
      <alignment vertical="top"/>
      <protection/>
    </xf>
    <xf numFmtId="0" fontId="8" fillId="0" borderId="0" xfId="26" applyFont="1" applyFill="1" applyBorder="1" applyAlignment="1">
      <alignment horizontal="left" vertical="top"/>
      <protection/>
    </xf>
    <xf numFmtId="0" fontId="8" fillId="0" borderId="0" xfId="26" applyFont="1" applyBorder="1" applyAlignment="1">
      <alignment vertical="top"/>
      <protection/>
    </xf>
    <xf numFmtId="0" fontId="49" fillId="0" borderId="0" xfId="26" applyFont="1" applyAlignment="1">
      <alignment vertical="top"/>
      <protection/>
    </xf>
    <xf numFmtId="0" fontId="17" fillId="0" borderId="1" xfId="26" applyFont="1" applyFill="1" applyBorder="1" applyAlignment="1">
      <alignment vertical="top"/>
      <protection/>
    </xf>
    <xf numFmtId="0" fontId="4" fillId="0" borderId="0" xfId="26" applyFont="1" applyFill="1" applyAlignment="1">
      <alignment vertical="top"/>
      <protection/>
    </xf>
    <xf numFmtId="0" fontId="4" fillId="0" borderId="7" xfId="26" applyFont="1" applyFill="1" applyBorder="1" applyAlignment="1">
      <alignment vertical="top"/>
      <protection/>
    </xf>
    <xf numFmtId="0" fontId="4" fillId="0" borderId="0" xfId="26" applyFont="1" applyFill="1" applyBorder="1" applyAlignment="1">
      <alignment vertical="top"/>
      <protection/>
    </xf>
    <xf numFmtId="0" fontId="8" fillId="0" borderId="0" xfId="26" applyFont="1" applyBorder="1" applyAlignment="1">
      <alignment horizontal="left" vertical="top"/>
      <protection/>
    </xf>
    <xf numFmtId="0" fontId="4" fillId="0" borderId="0" xfId="26" applyFont="1" applyFill="1" applyBorder="1" applyAlignment="1">
      <alignment horizontal="center" vertical="top"/>
      <protection/>
    </xf>
    <xf numFmtId="0" fontId="4" fillId="0" borderId="1" xfId="26" applyFont="1" applyFill="1" applyBorder="1" applyAlignment="1">
      <alignment vertical="top"/>
      <protection/>
    </xf>
    <xf numFmtId="0" fontId="4" fillId="0" borderId="0" xfId="26" applyFont="1" applyAlignment="1">
      <alignment vertical="top"/>
      <protection/>
    </xf>
    <xf numFmtId="0" fontId="20" fillId="0" borderId="0" xfId="26" applyFont="1" applyFill="1">
      <alignment/>
      <protection/>
    </xf>
    <xf numFmtId="0" fontId="21" fillId="0" borderId="7" xfId="30" applyFont="1" applyBorder="1" applyAlignment="1">
      <alignment horizontal="centerContinuous"/>
      <protection/>
    </xf>
    <xf numFmtId="0" fontId="21" fillId="0" borderId="0" xfId="26" applyFont="1" applyBorder="1" applyAlignment="1">
      <alignment horizontal="centerContinuous"/>
      <protection/>
    </xf>
    <xf numFmtId="0" fontId="21" fillId="0" borderId="0" xfId="26" applyFont="1" applyFill="1" applyAlignment="1">
      <alignment horizontal="centerContinuous"/>
      <protection/>
    </xf>
    <xf numFmtId="0" fontId="21" fillId="0" borderId="0" xfId="26" applyFont="1" applyFill="1" applyBorder="1" applyAlignment="1">
      <alignment horizontal="centerContinuous"/>
      <protection/>
    </xf>
    <xf numFmtId="0" fontId="67" fillId="0" borderId="0" xfId="26" applyFont="1" applyFill="1" applyAlignment="1">
      <alignment horizontal="centerContinuous"/>
      <protection/>
    </xf>
    <xf numFmtId="0" fontId="67" fillId="0" borderId="1" xfId="26" applyFont="1" applyFill="1" applyBorder="1" applyAlignment="1">
      <alignment horizontal="centerContinuous"/>
      <protection/>
    </xf>
    <xf numFmtId="0" fontId="20" fillId="0" borderId="0" xfId="26" applyFont="1">
      <alignment/>
      <protection/>
    </xf>
    <xf numFmtId="0" fontId="4" fillId="0" borderId="0" xfId="26" applyFont="1" applyFill="1" applyBorder="1" applyAlignment="1">
      <alignment horizontal="center"/>
      <protection/>
    </xf>
    <xf numFmtId="0" fontId="0" fillId="0" borderId="52" xfId="26" applyFont="1" applyFill="1" applyBorder="1" applyAlignment="1" applyProtection="1">
      <alignment horizontal="left" vertical="center"/>
      <protection/>
    </xf>
    <xf numFmtId="0" fontId="0" fillId="0" borderId="52" xfId="26" applyFont="1" applyFill="1" applyBorder="1" applyAlignment="1" applyProtection="1">
      <alignment horizontal="center" vertical="center"/>
      <protection/>
    </xf>
    <xf numFmtId="0" fontId="0" fillId="0" borderId="52" xfId="26" applyFont="1" applyFill="1" applyBorder="1" applyAlignment="1">
      <alignment horizontal="center" vertical="center"/>
      <protection/>
    </xf>
    <xf numFmtId="0" fontId="4" fillId="7" borderId="0" xfId="26" applyFont="1" applyFill="1" applyBorder="1">
      <alignment/>
      <protection/>
    </xf>
    <xf numFmtId="0" fontId="0" fillId="0" borderId="8" xfId="26" applyFont="1" applyFill="1" applyBorder="1" applyAlignment="1" applyProtection="1">
      <alignment horizontal="left" vertical="center"/>
      <protection/>
    </xf>
    <xf numFmtId="0" fontId="0" fillId="0" borderId="16" xfId="26" applyFont="1" applyFill="1" applyBorder="1" applyAlignment="1" applyProtection="1">
      <alignment horizontal="center" vertical="center"/>
      <protection/>
    </xf>
    <xf numFmtId="0" fontId="0" fillId="0" borderId="14" xfId="26" applyFont="1" applyFill="1" applyBorder="1" applyAlignment="1">
      <alignment horizontal="center" vertical="center"/>
      <protection/>
    </xf>
    <xf numFmtId="0" fontId="0" fillId="0" borderId="0" xfId="26">
      <alignment/>
      <protection/>
    </xf>
    <xf numFmtId="0" fontId="7" fillId="0" borderId="0" xfId="26" applyFont="1" applyBorder="1" applyAlignment="1">
      <alignment horizontal="right"/>
      <protection/>
    </xf>
    <xf numFmtId="0" fontId="4" fillId="0" borderId="0" xfId="26" applyFont="1" applyBorder="1">
      <alignment/>
      <protection/>
    </xf>
    <xf numFmtId="0" fontId="2" fillId="0" borderId="0" xfId="26" applyFont="1" applyBorder="1" applyAlignment="1">
      <alignment horizontal="center"/>
      <protection/>
    </xf>
    <xf numFmtId="0" fontId="0" fillId="0" borderId="8" xfId="26" applyFont="1" applyFill="1" applyBorder="1" applyAlignment="1" applyProtection="1" quotePrefix="1">
      <alignment horizontal="left"/>
      <protection/>
    </xf>
    <xf numFmtId="0" fontId="0" fillId="0" borderId="15" xfId="26" applyFont="1" applyFill="1" applyBorder="1" applyAlignment="1" applyProtection="1">
      <alignment horizontal="center"/>
      <protection/>
    </xf>
    <xf numFmtId="164" fontId="0" fillId="0" borderId="14" xfId="26" applyNumberFormat="1" applyFont="1" applyFill="1" applyBorder="1" applyAlignment="1" applyProtection="1">
      <alignment horizontal="center"/>
      <protection/>
    </xf>
    <xf numFmtId="0" fontId="108" fillId="0" borderId="0" xfId="26" applyFont="1" applyBorder="1" applyAlignment="1">
      <alignment horizontal="center"/>
      <protection/>
    </xf>
    <xf numFmtId="22" fontId="4" fillId="0" borderId="0" xfId="26" applyNumberFormat="1" applyFont="1" applyFill="1" applyBorder="1">
      <alignment/>
      <protection/>
    </xf>
    <xf numFmtId="0" fontId="0" fillId="0" borderId="0" xfId="26" applyFont="1" applyFill="1" applyBorder="1" applyAlignment="1" applyProtection="1" quotePrefix="1">
      <alignment horizontal="left"/>
      <protection/>
    </xf>
    <xf numFmtId="0" fontId="0" fillId="0" borderId="0" xfId="26" applyFont="1" applyFill="1" applyBorder="1" applyAlignment="1" applyProtection="1">
      <alignment horizontal="center"/>
      <protection/>
    </xf>
    <xf numFmtId="164" fontId="0" fillId="0" borderId="0" xfId="26" applyNumberFormat="1" applyFont="1" applyFill="1" applyBorder="1" applyAlignment="1" applyProtection="1">
      <alignment horizontal="center"/>
      <protection/>
    </xf>
    <xf numFmtId="0" fontId="42" fillId="0" borderId="0" xfId="26" applyFont="1" applyFill="1" applyBorder="1">
      <alignment/>
      <protection/>
    </xf>
    <xf numFmtId="0" fontId="24" fillId="0" borderId="14" xfId="26" applyFont="1" applyFill="1" applyBorder="1" applyAlignment="1">
      <alignment horizontal="center" vertical="center"/>
      <protection/>
    </xf>
    <xf numFmtId="0" fontId="24" fillId="0" borderId="14" xfId="26" applyFont="1" applyBorder="1" applyAlignment="1">
      <alignment horizontal="center" vertical="center"/>
      <protection/>
    </xf>
    <xf numFmtId="0" fontId="24" fillId="0" borderId="14" xfId="26" applyFont="1" applyFill="1" applyBorder="1" applyAlignment="1" applyProtection="1">
      <alignment horizontal="center" vertical="center" wrapText="1"/>
      <protection/>
    </xf>
    <xf numFmtId="0" fontId="24" fillId="0" borderId="14" xfId="26" applyFont="1" applyFill="1" applyBorder="1" applyAlignment="1" applyProtection="1">
      <alignment horizontal="center" vertical="center"/>
      <protection/>
    </xf>
    <xf numFmtId="0" fontId="24" fillId="0" borderId="14" xfId="26" applyFont="1" applyFill="1" applyBorder="1" applyAlignment="1" applyProtection="1" quotePrefix="1">
      <alignment horizontal="center" vertical="center" wrapText="1"/>
      <protection/>
    </xf>
    <xf numFmtId="0" fontId="24" fillId="0" borderId="14" xfId="26" applyFont="1" applyFill="1" applyBorder="1" applyAlignment="1">
      <alignment horizontal="center" vertical="center" wrapText="1"/>
      <protection/>
    </xf>
    <xf numFmtId="0" fontId="32" fillId="2" borderId="14" xfId="26" applyFont="1" applyFill="1" applyBorder="1" applyAlignment="1" applyProtection="1">
      <alignment horizontal="center" vertical="center"/>
      <protection/>
    </xf>
    <xf numFmtId="0" fontId="24" fillId="0" borderId="8" xfId="26" applyFont="1" applyBorder="1" applyAlignment="1" applyProtection="1">
      <alignment horizontal="center" vertical="center" wrapText="1"/>
      <protection/>
    </xf>
    <xf numFmtId="0" fontId="24" fillId="0" borderId="8" xfId="26" applyFont="1" applyFill="1" applyBorder="1" applyAlignment="1" applyProtection="1">
      <alignment horizontal="center" vertical="center"/>
      <protection/>
    </xf>
    <xf numFmtId="164" fontId="42" fillId="5" borderId="14" xfId="26" applyNumberFormat="1" applyFont="1" applyFill="1" applyBorder="1" applyAlignment="1" applyProtection="1">
      <alignment horizontal="center" vertical="center"/>
      <protection/>
    </xf>
    <xf numFmtId="0" fontId="68" fillId="8" borderId="14" xfId="26" applyFont="1" applyFill="1" applyBorder="1" applyAlignment="1">
      <alignment horizontal="center" vertical="center" wrapText="1"/>
      <protection/>
    </xf>
    <xf numFmtId="0" fontId="69" fillId="6" borderId="14" xfId="26" applyFont="1" applyFill="1" applyBorder="1" applyAlignment="1">
      <alignment horizontal="center" vertical="center" wrapText="1"/>
      <protection/>
    </xf>
    <xf numFmtId="0" fontId="35" fillId="2" borderId="8" xfId="26" applyFont="1" applyFill="1" applyBorder="1" applyAlignment="1" applyProtection="1">
      <alignment horizontal="centerContinuous" vertical="center" wrapText="1"/>
      <protection/>
    </xf>
    <xf numFmtId="0" fontId="35" fillId="2" borderId="9" xfId="26" applyFont="1" applyFill="1" applyBorder="1" applyAlignment="1">
      <alignment horizontal="centerContinuous" vertical="center"/>
      <protection/>
    </xf>
    <xf numFmtId="0" fontId="37" fillId="10" borderId="8" xfId="26" applyFont="1" applyFill="1" applyBorder="1" applyAlignment="1" applyProtection="1">
      <alignment horizontal="centerContinuous" vertical="center" wrapText="1"/>
      <protection/>
    </xf>
    <xf numFmtId="0" fontId="37" fillId="10" borderId="9" xfId="26" applyFont="1" applyFill="1" applyBorder="1" applyAlignment="1">
      <alignment horizontal="centerContinuous" vertical="center"/>
      <protection/>
    </xf>
    <xf numFmtId="0" fontId="43" fillId="11" borderId="14" xfId="26" applyFont="1" applyFill="1" applyBorder="1" applyAlignment="1">
      <alignment horizontal="center" vertical="center" wrapText="1"/>
      <protection/>
    </xf>
    <xf numFmtId="0" fontId="38" fillId="8" borderId="14" xfId="26" applyFont="1" applyFill="1" applyBorder="1" applyAlignment="1">
      <alignment horizontal="center" vertical="center" wrapText="1"/>
      <protection/>
    </xf>
    <xf numFmtId="0" fontId="24" fillId="0" borderId="14" xfId="26" applyFont="1" applyBorder="1" applyAlignment="1">
      <alignment horizontal="center" vertical="center" wrapText="1"/>
      <protection/>
    </xf>
    <xf numFmtId="0" fontId="45" fillId="2" borderId="14" xfId="26" applyFont="1" applyFill="1" applyBorder="1" applyAlignment="1">
      <alignment horizontal="center" vertical="center" wrapText="1"/>
      <protection/>
    </xf>
    <xf numFmtId="0" fontId="4" fillId="0" borderId="30" xfId="26" applyFont="1" applyFill="1" applyBorder="1" applyAlignment="1">
      <alignment horizontal="center"/>
      <protection/>
    </xf>
    <xf numFmtId="0" fontId="4" fillId="0" borderId="45" xfId="26" applyFont="1" applyFill="1" applyBorder="1" applyAlignment="1">
      <alignment horizontal="center"/>
      <protection/>
    </xf>
    <xf numFmtId="164" fontId="4" fillId="0" borderId="45" xfId="26" applyNumberFormat="1" applyFont="1" applyFill="1" applyBorder="1" applyAlignment="1" applyProtection="1">
      <alignment horizontal="center"/>
      <protection/>
    </xf>
    <xf numFmtId="0" fontId="33" fillId="2" borderId="45" xfId="26" applyFont="1" applyFill="1" applyBorder="1" applyAlignment="1">
      <alignment horizontal="center"/>
      <protection/>
    </xf>
    <xf numFmtId="0" fontId="4" fillId="0" borderId="2" xfId="26" applyFont="1" applyBorder="1">
      <alignment/>
      <protection/>
    </xf>
    <xf numFmtId="0" fontId="4" fillId="0" borderId="47" xfId="26" applyFont="1" applyFill="1" applyBorder="1" applyAlignment="1">
      <alignment horizontal="center"/>
      <protection/>
    </xf>
    <xf numFmtId="164" fontId="42" fillId="5" borderId="17" xfId="26" applyNumberFormat="1" applyFont="1" applyFill="1" applyBorder="1" applyAlignment="1" applyProtection="1">
      <alignment horizontal="center"/>
      <protection/>
    </xf>
    <xf numFmtId="0" fontId="70" fillId="8" borderId="30" xfId="26" applyFont="1" applyFill="1" applyBorder="1" applyAlignment="1">
      <alignment horizontal="center"/>
      <protection/>
    </xf>
    <xf numFmtId="0" fontId="71" fillId="6" borderId="30" xfId="26" applyFont="1" applyFill="1" applyBorder="1" applyAlignment="1">
      <alignment horizontal="center"/>
      <protection/>
    </xf>
    <xf numFmtId="0" fontId="34" fillId="2" borderId="32" xfId="26" applyFont="1" applyFill="1" applyBorder="1" applyAlignment="1">
      <alignment horizontal="center"/>
      <protection/>
    </xf>
    <xf numFmtId="0" fontId="34" fillId="2" borderId="33" xfId="26" applyFont="1" applyFill="1" applyBorder="1" applyAlignment="1">
      <alignment horizontal="center"/>
      <protection/>
    </xf>
    <xf numFmtId="0" fontId="72" fillId="10" borderId="34" xfId="26" applyFont="1" applyFill="1" applyBorder="1" applyAlignment="1">
      <alignment horizontal="center"/>
      <protection/>
    </xf>
    <xf numFmtId="0" fontId="72" fillId="10" borderId="35" xfId="26" applyFont="1" applyFill="1" applyBorder="1" applyAlignment="1">
      <alignment horizontal="center"/>
      <protection/>
    </xf>
    <xf numFmtId="0" fontId="44" fillId="11" borderId="30" xfId="26" applyFont="1" applyFill="1" applyBorder="1" applyAlignment="1">
      <alignment horizontal="center"/>
      <protection/>
    </xf>
    <xf numFmtId="0" fontId="73" fillId="8" borderId="30" xfId="26" applyFont="1" applyFill="1" applyBorder="1" applyAlignment="1">
      <alignment horizontal="center"/>
      <protection/>
    </xf>
    <xf numFmtId="7" fontId="26" fillId="2" borderId="30" xfId="26" applyNumberFormat="1" applyFont="1" applyFill="1" applyBorder="1" applyAlignment="1">
      <alignment horizontal="center"/>
      <protection/>
    </xf>
    <xf numFmtId="7" fontId="7" fillId="0" borderId="45" xfId="26" applyNumberFormat="1" applyFont="1" applyFill="1" applyBorder="1" applyAlignment="1">
      <alignment horizontal="center"/>
      <protection/>
    </xf>
    <xf numFmtId="0" fontId="4" fillId="0" borderId="19" xfId="26" applyFont="1" applyFill="1" applyBorder="1" applyAlignment="1">
      <alignment horizontal="center"/>
      <protection/>
    </xf>
    <xf numFmtId="164" fontId="4" fillId="0" borderId="19" xfId="26" applyNumberFormat="1" applyFont="1" applyFill="1" applyBorder="1" applyAlignment="1" applyProtection="1">
      <alignment horizontal="center"/>
      <protection/>
    </xf>
    <xf numFmtId="0" fontId="33" fillId="2" borderId="19" xfId="26" applyFont="1" applyFill="1" applyBorder="1" applyAlignment="1">
      <alignment horizontal="center"/>
      <protection/>
    </xf>
    <xf numFmtId="0" fontId="4" fillId="0" borderId="4" xfId="26" applyFont="1" applyBorder="1">
      <alignment/>
      <protection/>
    </xf>
    <xf numFmtId="0" fontId="4" fillId="0" borderId="36" xfId="26" applyFont="1" applyFill="1" applyBorder="1" applyAlignment="1">
      <alignment horizontal="center"/>
      <protection/>
    </xf>
    <xf numFmtId="164" fontId="42" fillId="5" borderId="19" xfId="26" applyNumberFormat="1" applyFont="1" applyFill="1" applyBorder="1" applyAlignment="1" applyProtection="1">
      <alignment horizontal="center"/>
      <protection/>
    </xf>
    <xf numFmtId="0" fontId="70" fillId="8" borderId="19" xfId="26" applyFont="1" applyFill="1" applyBorder="1" applyAlignment="1">
      <alignment horizontal="center"/>
      <protection/>
    </xf>
    <xf numFmtId="0" fontId="71" fillId="6" borderId="19" xfId="26" applyFont="1" applyFill="1" applyBorder="1" applyAlignment="1">
      <alignment horizontal="center"/>
      <protection/>
    </xf>
    <xf numFmtId="0" fontId="34" fillId="2" borderId="37" xfId="26" applyFont="1" applyFill="1" applyBorder="1" applyAlignment="1">
      <alignment horizontal="center"/>
      <protection/>
    </xf>
    <xf numFmtId="0" fontId="34" fillId="2" borderId="38" xfId="26" applyFont="1" applyFill="1" applyBorder="1" applyAlignment="1">
      <alignment horizontal="center"/>
      <protection/>
    </xf>
    <xf numFmtId="0" fontId="72" fillId="10" borderId="37" xfId="26" applyFont="1" applyFill="1" applyBorder="1" applyAlignment="1">
      <alignment horizontal="center"/>
      <protection/>
    </xf>
    <xf numFmtId="0" fontId="72" fillId="10" borderId="38" xfId="26" applyFont="1" applyFill="1" applyBorder="1" applyAlignment="1">
      <alignment horizontal="center"/>
      <protection/>
    </xf>
    <xf numFmtId="0" fontId="44" fillId="11" borderId="19" xfId="26" applyFont="1" applyFill="1" applyBorder="1" applyAlignment="1">
      <alignment horizontal="center"/>
      <protection/>
    </xf>
    <xf numFmtId="0" fontId="73" fillId="8" borderId="19" xfId="26" applyFont="1" applyFill="1" applyBorder="1" applyAlignment="1">
      <alignment horizontal="center"/>
      <protection/>
    </xf>
    <xf numFmtId="0" fontId="26" fillId="2" borderId="19" xfId="26" applyFont="1" applyFill="1" applyBorder="1" applyAlignment="1">
      <alignment horizontal="center"/>
      <protection/>
    </xf>
    <xf numFmtId="0" fontId="7" fillId="0" borderId="19" xfId="26" applyFont="1" applyFill="1" applyBorder="1" applyAlignment="1">
      <alignment horizontal="center"/>
      <protection/>
    </xf>
    <xf numFmtId="0" fontId="4" fillId="0" borderId="2" xfId="26" applyFont="1" applyFill="1" applyBorder="1" applyAlignment="1" applyProtection="1">
      <alignment horizontal="center"/>
      <protection locked="0"/>
    </xf>
    <xf numFmtId="169" fontId="33" fillId="2" borderId="19" xfId="26" applyNumberFormat="1" applyFont="1" applyFill="1" applyBorder="1" applyAlignment="1" applyProtection="1">
      <alignment horizontal="center"/>
      <protection/>
    </xf>
    <xf numFmtId="4" fontId="4" fillId="0" borderId="19" xfId="26" applyNumberFormat="1" applyFont="1" applyFill="1" applyBorder="1" applyAlignment="1" applyProtection="1">
      <alignment horizontal="center"/>
      <protection/>
    </xf>
    <xf numFmtId="3" fontId="4" fillId="0" borderId="19" xfId="26" applyNumberFormat="1" applyFont="1" applyFill="1" applyBorder="1" applyAlignment="1" applyProtection="1">
      <alignment horizontal="center"/>
      <protection/>
    </xf>
    <xf numFmtId="166" fontId="4" fillId="0" borderId="19" xfId="26" applyNumberFormat="1" applyFont="1" applyFill="1" applyBorder="1" applyAlignment="1" applyProtection="1">
      <alignment horizontal="center"/>
      <protection locked="0"/>
    </xf>
    <xf numFmtId="168" fontId="4" fillId="0" borderId="4" xfId="26" applyNumberFormat="1" applyFont="1" applyBorder="1" applyAlignment="1" applyProtection="1" quotePrefix="1">
      <alignment horizontal="center"/>
      <protection/>
    </xf>
    <xf numFmtId="166" fontId="4" fillId="0" borderId="19" xfId="26" applyNumberFormat="1" applyFont="1" applyBorder="1" applyAlignment="1" applyProtection="1" quotePrefix="1">
      <alignment horizontal="center"/>
      <protection/>
    </xf>
    <xf numFmtId="166" fontId="4" fillId="0" borderId="19" xfId="26" applyNumberFormat="1" applyFont="1" applyBorder="1" applyAlignment="1" applyProtection="1">
      <alignment horizontal="center"/>
      <protection/>
    </xf>
    <xf numFmtId="2" fontId="70" fillId="8" borderId="2" xfId="26" applyNumberFormat="1" applyFont="1" applyFill="1" applyBorder="1" applyAlignment="1" applyProtection="1">
      <alignment horizontal="center"/>
      <protection/>
    </xf>
    <xf numFmtId="2" fontId="71" fillId="6" borderId="2" xfId="26" applyNumberFormat="1" applyFont="1" applyFill="1" applyBorder="1" applyAlignment="1" applyProtection="1">
      <alignment horizontal="center"/>
      <protection/>
    </xf>
    <xf numFmtId="166" fontId="34" fillId="2" borderId="37" xfId="26" applyNumberFormat="1" applyFont="1" applyFill="1" applyBorder="1" applyAlignment="1" applyProtection="1" quotePrefix="1">
      <alignment horizontal="center"/>
      <protection/>
    </xf>
    <xf numFmtId="166" fontId="34" fillId="2" borderId="38" xfId="26" applyNumberFormat="1" applyFont="1" applyFill="1" applyBorder="1" applyAlignment="1" applyProtection="1" quotePrefix="1">
      <alignment horizontal="center"/>
      <protection/>
    </xf>
    <xf numFmtId="166" fontId="72" fillId="10" borderId="37" xfId="26" applyNumberFormat="1" applyFont="1" applyFill="1" applyBorder="1" applyAlignment="1" applyProtection="1" quotePrefix="1">
      <alignment horizontal="center"/>
      <protection/>
    </xf>
    <xf numFmtId="166" fontId="72" fillId="10" borderId="38" xfId="26" applyNumberFormat="1" applyFont="1" applyFill="1" applyBorder="1" applyAlignment="1" applyProtection="1" quotePrefix="1">
      <alignment horizontal="center"/>
      <protection/>
    </xf>
    <xf numFmtId="166" fontId="44" fillId="11" borderId="2" xfId="26" applyNumberFormat="1" applyFont="1" applyFill="1" applyBorder="1" applyAlignment="1" applyProtection="1" quotePrefix="1">
      <alignment horizontal="center"/>
      <protection/>
    </xf>
    <xf numFmtId="166" fontId="73" fillId="8" borderId="19" xfId="26" applyNumberFormat="1" applyFont="1" applyFill="1" applyBorder="1" applyAlignment="1" applyProtection="1" quotePrefix="1">
      <alignment horizontal="center"/>
      <protection/>
    </xf>
    <xf numFmtId="166" fontId="4" fillId="0" borderId="36" xfId="26" applyNumberFormat="1" applyFont="1" applyFill="1" applyBorder="1" applyAlignment="1" applyProtection="1">
      <alignment horizontal="center"/>
      <protection/>
    </xf>
    <xf numFmtId="4" fontId="26" fillId="2" borderId="19" xfId="26" applyNumberFormat="1" applyFont="1" applyFill="1" applyBorder="1" applyAlignment="1">
      <alignment horizontal="right"/>
      <protection/>
    </xf>
    <xf numFmtId="4" fontId="26" fillId="0" borderId="19" xfId="26" applyNumberFormat="1" applyFont="1" applyFill="1" applyBorder="1" applyAlignment="1">
      <alignment horizontal="right"/>
      <protection/>
    </xf>
    <xf numFmtId="166" fontId="4" fillId="0" borderId="2" xfId="26" applyNumberFormat="1" applyFont="1" applyFill="1" applyBorder="1" applyAlignment="1" applyProtection="1">
      <alignment horizontal="center"/>
      <protection locked="0"/>
    </xf>
    <xf numFmtId="1" fontId="4" fillId="0" borderId="38" xfId="26" applyNumberFormat="1" applyFont="1" applyBorder="1" applyAlignment="1" applyProtection="1" quotePrefix="1">
      <alignment horizontal="center"/>
      <protection locked="0"/>
    </xf>
    <xf numFmtId="0" fontId="4" fillId="0" borderId="36" xfId="26" applyFont="1" applyBorder="1" applyAlignment="1" applyProtection="1">
      <alignment horizontal="center"/>
      <protection locked="0"/>
    </xf>
    <xf numFmtId="0" fontId="9" fillId="0" borderId="3" xfId="26" applyFont="1" applyFill="1" applyBorder="1" applyAlignment="1" applyProtection="1">
      <alignment horizontal="center"/>
      <protection locked="0"/>
    </xf>
    <xf numFmtId="164" fontId="6" fillId="0" borderId="39" xfId="26" applyNumberFormat="1" applyFont="1" applyFill="1" applyBorder="1" applyAlignment="1" applyProtection="1">
      <alignment horizontal="center"/>
      <protection locked="0"/>
    </xf>
    <xf numFmtId="166" fontId="33" fillId="2" borderId="3" xfId="26" applyNumberFormat="1" applyFont="1" applyFill="1" applyBorder="1" applyAlignment="1" applyProtection="1">
      <alignment horizontal="center"/>
      <protection/>
    </xf>
    <xf numFmtId="0" fontId="4" fillId="0" borderId="3" xfId="26" applyFont="1" applyFill="1" applyBorder="1" applyAlignment="1" applyProtection="1">
      <alignment horizontal="center"/>
      <protection locked="0"/>
    </xf>
    <xf numFmtId="38" fontId="4" fillId="0" borderId="3" xfId="26" applyNumberFormat="1" applyFont="1" applyFill="1" applyBorder="1" applyAlignment="1" applyProtection="1">
      <alignment horizontal="center"/>
      <protection locked="0"/>
    </xf>
    <xf numFmtId="38" fontId="4" fillId="0" borderId="3" xfId="26" applyNumberFormat="1" applyFont="1" applyFill="1" applyBorder="1" applyAlignment="1" applyProtection="1">
      <alignment horizontal="center"/>
      <protection/>
    </xf>
    <xf numFmtId="164" fontId="4" fillId="0" borderId="3" xfId="26" applyNumberFormat="1" applyFont="1" applyFill="1" applyBorder="1" applyAlignment="1" applyProtection="1" quotePrefix="1">
      <alignment horizontal="center"/>
      <protection/>
    </xf>
    <xf numFmtId="166" fontId="4" fillId="0" borderId="3" xfId="26" applyNumberFormat="1" applyFont="1" applyFill="1" applyBorder="1" applyAlignment="1" applyProtection="1">
      <alignment horizontal="center"/>
      <protection locked="0"/>
    </xf>
    <xf numFmtId="168" fontId="4" fillId="0" borderId="3" xfId="26" applyNumberFormat="1" applyFont="1" applyBorder="1" applyAlignment="1" applyProtection="1" quotePrefix="1">
      <alignment horizontal="center"/>
      <protection locked="0"/>
    </xf>
    <xf numFmtId="166" fontId="4" fillId="0" borderId="20" xfId="26" applyNumberFormat="1" applyFont="1" applyFill="1" applyBorder="1" applyAlignment="1" applyProtection="1">
      <alignment horizontal="center"/>
      <protection locked="0"/>
    </xf>
    <xf numFmtId="164" fontId="42" fillId="5" borderId="39" xfId="26" applyNumberFormat="1" applyFont="1" applyFill="1" applyBorder="1" applyAlignment="1" applyProtection="1">
      <alignment horizontal="center"/>
      <protection locked="0"/>
    </xf>
    <xf numFmtId="2" fontId="70" fillId="8" borderId="3" xfId="26" applyNumberFormat="1" applyFont="1" applyFill="1" applyBorder="1" applyAlignment="1" applyProtection="1">
      <alignment horizontal="center"/>
      <protection locked="0"/>
    </xf>
    <xf numFmtId="2" fontId="71" fillId="6" borderId="3" xfId="26" applyNumberFormat="1" applyFont="1" applyFill="1" applyBorder="1" applyAlignment="1" applyProtection="1">
      <alignment horizontal="center"/>
      <protection locked="0"/>
    </xf>
    <xf numFmtId="166" fontId="34" fillId="2" borderId="40" xfId="26" applyNumberFormat="1" applyFont="1" applyFill="1" applyBorder="1" applyAlignment="1" applyProtection="1" quotePrefix="1">
      <alignment horizontal="center"/>
      <protection locked="0"/>
    </xf>
    <xf numFmtId="166" fontId="34" fillId="2" borderId="41" xfId="26" applyNumberFormat="1" applyFont="1" applyFill="1" applyBorder="1" applyAlignment="1" applyProtection="1" quotePrefix="1">
      <alignment horizontal="center"/>
      <protection locked="0"/>
    </xf>
    <xf numFmtId="166" fontId="72" fillId="10" borderId="25" xfId="26" applyNumberFormat="1" applyFont="1" applyFill="1" applyBorder="1" applyAlignment="1" applyProtection="1" quotePrefix="1">
      <alignment horizontal="center"/>
      <protection locked="0"/>
    </xf>
    <xf numFmtId="166" fontId="72" fillId="10" borderId="27" xfId="26" applyNumberFormat="1" applyFont="1" applyFill="1" applyBorder="1" applyAlignment="1" applyProtection="1" quotePrefix="1">
      <alignment horizontal="center"/>
      <protection locked="0"/>
    </xf>
    <xf numFmtId="166" fontId="44" fillId="11" borderId="3" xfId="26" applyNumberFormat="1" applyFont="1" applyFill="1" applyBorder="1" applyAlignment="1" applyProtection="1" quotePrefix="1">
      <alignment horizontal="center"/>
      <protection locked="0"/>
    </xf>
    <xf numFmtId="166" fontId="73" fillId="8" borderId="3" xfId="26" applyNumberFormat="1" applyFont="1" applyFill="1" applyBorder="1" applyAlignment="1" applyProtection="1" quotePrefix="1">
      <alignment horizontal="center"/>
      <protection locked="0"/>
    </xf>
    <xf numFmtId="166" fontId="60" fillId="0" borderId="20" xfId="26" applyNumberFormat="1" applyFont="1" applyFill="1" applyBorder="1" applyAlignment="1" applyProtection="1">
      <alignment horizontal="center"/>
      <protection locked="0"/>
    </xf>
    <xf numFmtId="166" fontId="26" fillId="2" borderId="28" xfId="26" applyNumberFormat="1" applyFont="1" applyFill="1" applyBorder="1" applyAlignment="1">
      <alignment horizontal="center"/>
      <protection/>
    </xf>
    <xf numFmtId="166" fontId="25" fillId="0" borderId="28" xfId="26" applyNumberFormat="1" applyFont="1" applyFill="1" applyBorder="1" applyAlignment="1">
      <alignment horizontal="center"/>
      <protection/>
    </xf>
    <xf numFmtId="0" fontId="109" fillId="0" borderId="16" xfId="26" applyFont="1" applyBorder="1" applyAlignment="1">
      <alignment horizontal="center"/>
      <protection/>
    </xf>
    <xf numFmtId="0" fontId="111" fillId="0" borderId="0" xfId="26" applyFont="1" applyBorder="1" applyAlignment="1" applyProtection="1">
      <alignment horizontal="left"/>
      <protection/>
    </xf>
    <xf numFmtId="0" fontId="29" fillId="0" borderId="16" xfId="26" applyFont="1" applyBorder="1" applyAlignment="1">
      <alignment horizontal="center"/>
      <protection/>
    </xf>
    <xf numFmtId="0" fontId="31" fillId="0" borderId="0" xfId="26" applyFont="1" applyBorder="1" applyAlignment="1" applyProtection="1">
      <alignment horizontal="left"/>
      <protection/>
    </xf>
    <xf numFmtId="164" fontId="42" fillId="0" borderId="0" xfId="26" applyNumberFormat="1" applyFont="1" applyFill="1" applyBorder="1" applyAlignment="1" applyProtection="1">
      <alignment horizontal="center"/>
      <protection/>
    </xf>
    <xf numFmtId="4" fontId="70" fillId="8" borderId="14" xfId="26" applyNumberFormat="1" applyFont="1" applyFill="1" applyBorder="1" applyAlignment="1">
      <alignment horizontal="center"/>
      <protection/>
    </xf>
    <xf numFmtId="4" fontId="71" fillId="6" borderId="14" xfId="26" applyNumberFormat="1" applyFont="1" applyFill="1" applyBorder="1" applyAlignment="1">
      <alignment horizontal="center"/>
      <protection/>
    </xf>
    <xf numFmtId="4" fontId="34" fillId="2" borderId="43" xfId="26" applyNumberFormat="1" applyFont="1" applyFill="1" applyBorder="1" applyAlignment="1">
      <alignment horizontal="center"/>
      <protection/>
    </xf>
    <xf numFmtId="4" fontId="34" fillId="2" borderId="9" xfId="26" applyNumberFormat="1" applyFont="1" applyFill="1" applyBorder="1" applyAlignment="1">
      <alignment horizontal="center"/>
      <protection/>
    </xf>
    <xf numFmtId="4" fontId="72" fillId="10" borderId="43" xfId="26" applyNumberFormat="1" applyFont="1" applyFill="1" applyBorder="1" applyAlignment="1">
      <alignment horizontal="center"/>
      <protection/>
    </xf>
    <xf numFmtId="4" fontId="72" fillId="10" borderId="44" xfId="26" applyNumberFormat="1" applyFont="1" applyFill="1" applyBorder="1" applyAlignment="1">
      <alignment horizontal="center"/>
      <protection/>
    </xf>
    <xf numFmtId="4" fontId="44" fillId="11" borderId="43" xfId="26" applyNumberFormat="1" applyFont="1" applyFill="1" applyBorder="1" applyAlignment="1">
      <alignment horizontal="center"/>
      <protection/>
    </xf>
    <xf numFmtId="4" fontId="73" fillId="8" borderId="44" xfId="26" applyNumberFormat="1" applyFont="1" applyFill="1" applyBorder="1" applyAlignment="1">
      <alignment horizontal="center"/>
      <protection/>
    </xf>
    <xf numFmtId="7" fontId="74" fillId="2" borderId="14" xfId="26" applyNumberFormat="1" applyFont="1" applyFill="1" applyBorder="1" applyAlignment="1">
      <alignment horizontal="right"/>
      <protection/>
    </xf>
    <xf numFmtId="7" fontId="74" fillId="0" borderId="14" xfId="26" applyNumberFormat="1" applyFont="1" applyFill="1" applyBorder="1" applyAlignment="1">
      <alignment horizontal="right"/>
      <protection/>
    </xf>
    <xf numFmtId="0" fontId="4" fillId="0" borderId="10" xfId="26" applyFont="1" applyFill="1" applyBorder="1">
      <alignment/>
      <protection/>
    </xf>
    <xf numFmtId="0" fontId="4" fillId="0" borderId="11" xfId="26" applyFont="1" applyFill="1" applyBorder="1">
      <alignment/>
      <protection/>
    </xf>
    <xf numFmtId="0" fontId="4" fillId="0" borderId="12" xfId="26" applyFont="1" applyFill="1" applyBorder="1">
      <alignment/>
      <protection/>
    </xf>
    <xf numFmtId="0" fontId="0" fillId="0" borderId="0" xfId="26" applyFill="1">
      <alignment/>
      <protection/>
    </xf>
    <xf numFmtId="0" fontId="1" fillId="0" borderId="0" xfId="26" applyFont="1">
      <alignment/>
      <protection/>
    </xf>
    <xf numFmtId="0" fontId="0" fillId="0" borderId="0" xfId="30">
      <alignment/>
      <protection/>
    </xf>
    <xf numFmtId="0" fontId="12" fillId="0" borderId="0" xfId="30" applyFont="1">
      <alignment/>
      <protection/>
    </xf>
    <xf numFmtId="0" fontId="51" fillId="0" borderId="0" xfId="30" applyFont="1" applyAlignment="1">
      <alignment horizontal="right" vertical="top"/>
      <protection/>
    </xf>
    <xf numFmtId="0" fontId="12" fillId="0" borderId="0" xfId="30" applyFont="1" applyFill="1">
      <alignment/>
      <protection/>
    </xf>
    <xf numFmtId="0" fontId="13" fillId="0" borderId="0" xfId="30" applyFont="1" applyAlignment="1">
      <alignment horizontal="centerContinuous"/>
      <protection/>
    </xf>
    <xf numFmtId="0" fontId="4" fillId="0" borderId="0" xfId="30" applyFont="1" applyFill="1">
      <alignment/>
      <protection/>
    </xf>
    <xf numFmtId="0" fontId="4" fillId="0" borderId="0" xfId="30" applyFont="1">
      <alignment/>
      <protection/>
    </xf>
    <xf numFmtId="0" fontId="11" fillId="0" borderId="0" xfId="30" applyFont="1" applyFill="1" applyBorder="1" applyAlignment="1" applyProtection="1">
      <alignment horizontal="centerContinuous"/>
      <protection/>
    </xf>
    <xf numFmtId="0" fontId="15" fillId="0" borderId="0" xfId="30" applyFont="1" applyAlignment="1">
      <alignment horizontal="centerContinuous"/>
      <protection/>
    </xf>
    <xf numFmtId="0" fontId="15" fillId="0" borderId="0" xfId="30" applyFont="1">
      <alignment/>
      <protection/>
    </xf>
    <xf numFmtId="0" fontId="4" fillId="0" borderId="13" xfId="30" applyFont="1" applyBorder="1">
      <alignment/>
      <protection/>
    </xf>
    <xf numFmtId="0" fontId="4" fillId="0" borderId="5" xfId="30" applyFont="1" applyBorder="1">
      <alignment/>
      <protection/>
    </xf>
    <xf numFmtId="0" fontId="4" fillId="0" borderId="5" xfId="30" applyFont="1" applyBorder="1" applyAlignment="1" applyProtection="1">
      <alignment horizontal="left"/>
      <protection/>
    </xf>
    <xf numFmtId="0" fontId="4" fillId="0" borderId="6" xfId="30" applyFont="1" applyFill="1" applyBorder="1">
      <alignment/>
      <protection/>
    </xf>
    <xf numFmtId="0" fontId="17" fillId="0" borderId="0" xfId="30" applyFont="1">
      <alignment/>
      <protection/>
    </xf>
    <xf numFmtId="0" fontId="17" fillId="0" borderId="7" xfId="30" applyFont="1" applyBorder="1">
      <alignment/>
      <protection/>
    </xf>
    <xf numFmtId="0" fontId="17" fillId="0" borderId="0" xfId="30" applyFont="1" applyBorder="1">
      <alignment/>
      <protection/>
    </xf>
    <xf numFmtId="0" fontId="8" fillId="0" borderId="0" xfId="30" applyFont="1" applyBorder="1" applyAlignment="1">
      <alignment horizontal="left"/>
      <protection/>
    </xf>
    <xf numFmtId="0" fontId="8" fillId="0" borderId="0" xfId="30" applyFont="1" applyBorder="1">
      <alignment/>
      <protection/>
    </xf>
    <xf numFmtId="0" fontId="17" fillId="0" borderId="1" xfId="30" applyFont="1" applyFill="1" applyBorder="1">
      <alignment/>
      <protection/>
    </xf>
    <xf numFmtId="0" fontId="4" fillId="0" borderId="7" xfId="30" applyFont="1" applyBorder="1">
      <alignment/>
      <protection/>
    </xf>
    <xf numFmtId="0" fontId="4" fillId="0" borderId="0" xfId="30" applyFont="1" applyBorder="1">
      <alignment/>
      <protection/>
    </xf>
    <xf numFmtId="0" fontId="4" fillId="0" borderId="1" xfId="30" applyFont="1" applyFill="1" applyBorder="1">
      <alignment/>
      <protection/>
    </xf>
    <xf numFmtId="0" fontId="17" fillId="0" borderId="0" xfId="30" applyFont="1" applyAlignment="1">
      <alignment vertical="top"/>
      <protection/>
    </xf>
    <xf numFmtId="0" fontId="17" fillId="0" borderId="7" xfId="30" applyFont="1" applyBorder="1" applyAlignment="1">
      <alignment vertical="top"/>
      <protection/>
    </xf>
    <xf numFmtId="0" fontId="17" fillId="0" borderId="0" xfId="30" applyFont="1" applyBorder="1" applyAlignment="1">
      <alignment vertical="top"/>
      <protection/>
    </xf>
    <xf numFmtId="0" fontId="8" fillId="0" borderId="0" xfId="30" applyFont="1" applyBorder="1" applyAlignment="1">
      <alignment vertical="top"/>
      <protection/>
    </xf>
    <xf numFmtId="0" fontId="17" fillId="0" borderId="1" xfId="30" applyFont="1" applyFill="1" applyBorder="1" applyAlignment="1">
      <alignment vertical="top"/>
      <protection/>
    </xf>
    <xf numFmtId="0" fontId="4" fillId="0" borderId="0" xfId="30" applyFont="1" applyAlignment="1">
      <alignment vertical="top"/>
      <protection/>
    </xf>
    <xf numFmtId="0" fontId="4" fillId="0" borderId="7" xfId="30" applyFont="1" applyBorder="1" applyAlignment="1">
      <alignment vertical="top"/>
      <protection/>
    </xf>
    <xf numFmtId="0" fontId="4" fillId="0" borderId="0" xfId="30" applyFont="1" applyBorder="1" applyAlignment="1">
      <alignment vertical="top"/>
      <protection/>
    </xf>
    <xf numFmtId="0" fontId="8" fillId="0" borderId="0" xfId="30" applyFont="1" applyBorder="1" applyAlignment="1">
      <alignment horizontal="left" vertical="top"/>
      <protection/>
    </xf>
    <xf numFmtId="0" fontId="4" fillId="0" borderId="0" xfId="30" applyFont="1" applyBorder="1" applyAlignment="1" applyProtection="1">
      <alignment vertical="top"/>
      <protection/>
    </xf>
    <xf numFmtId="0" fontId="4" fillId="0" borderId="1" xfId="30" applyFont="1" applyFill="1" applyBorder="1" applyAlignment="1">
      <alignment vertical="top"/>
      <protection/>
    </xf>
    <xf numFmtId="0" fontId="20" fillId="0" borderId="0" xfId="30" applyFont="1">
      <alignment/>
      <protection/>
    </xf>
    <xf numFmtId="0" fontId="21" fillId="0" borderId="0" xfId="30" applyFont="1" applyBorder="1" applyAlignment="1">
      <alignment horizontal="centerContinuous"/>
      <protection/>
    </xf>
    <xf numFmtId="0" fontId="21" fillId="0" borderId="0" xfId="30" applyFont="1" applyAlignment="1">
      <alignment horizontal="centerContinuous"/>
      <protection/>
    </xf>
    <xf numFmtId="0" fontId="21" fillId="0" borderId="1" xfId="30" applyFont="1" applyFill="1" applyBorder="1" applyAlignment="1">
      <alignment horizontal="centerContinuous"/>
      <protection/>
    </xf>
    <xf numFmtId="0" fontId="4" fillId="0" borderId="0" xfId="30" applyFont="1" applyBorder="1" applyAlignment="1">
      <alignment horizontal="center"/>
      <protection/>
    </xf>
    <xf numFmtId="0" fontId="23" fillId="0" borderId="0" xfId="30" applyFont="1" applyBorder="1" applyAlignment="1">
      <alignment horizontal="left"/>
      <protection/>
    </xf>
    <xf numFmtId="0" fontId="0" fillId="0" borderId="8" xfId="30" applyFont="1" applyBorder="1" applyAlignment="1" applyProtection="1">
      <alignment horizontal="center"/>
      <protection/>
    </xf>
    <xf numFmtId="169" fontId="1" fillId="0" borderId="8" xfId="30" applyNumberFormat="1" applyFont="1" applyBorder="1" applyAlignment="1">
      <alignment horizontal="centerContinuous"/>
      <protection/>
    </xf>
    <xf numFmtId="0" fontId="0" fillId="0" borderId="9" xfId="30" applyBorder="1" applyAlignment="1">
      <alignment horizontal="centerContinuous"/>
      <protection/>
    </xf>
    <xf numFmtId="0" fontId="0" fillId="0" borderId="0" xfId="30" applyFont="1" applyBorder="1" applyAlignment="1" applyProtection="1">
      <alignment horizontal="center"/>
      <protection/>
    </xf>
    <xf numFmtId="169" fontId="0" fillId="0" borderId="0" xfId="30" applyNumberFormat="1" applyFont="1" applyBorder="1" applyAlignment="1">
      <alignment horizontal="centerContinuous"/>
      <protection/>
    </xf>
    <xf numFmtId="22" fontId="4" fillId="0" borderId="0" xfId="30" applyNumberFormat="1" applyFont="1" applyBorder="1">
      <alignment/>
      <protection/>
    </xf>
    <xf numFmtId="0" fontId="42" fillId="0" borderId="0" xfId="30" applyFont="1" applyBorder="1">
      <alignment/>
      <protection/>
    </xf>
    <xf numFmtId="0" fontId="24" fillId="0" borderId="14" xfId="30" applyFont="1" applyBorder="1" applyAlignment="1">
      <alignment horizontal="center" vertical="center"/>
      <protection/>
    </xf>
    <xf numFmtId="0" fontId="24" fillId="0" borderId="14" xfId="30" applyFont="1" applyBorder="1" applyAlignment="1" applyProtection="1">
      <alignment horizontal="center" vertical="center"/>
      <protection/>
    </xf>
    <xf numFmtId="164" fontId="24" fillId="0" borderId="14" xfId="30" applyNumberFormat="1" applyFont="1" applyBorder="1" applyAlignment="1" applyProtection="1">
      <alignment horizontal="center" vertical="center" wrapText="1"/>
      <protection/>
    </xf>
    <xf numFmtId="0" fontId="24" fillId="0" borderId="14" xfId="30" applyFont="1" applyBorder="1" applyAlignment="1" applyProtection="1">
      <alignment horizontal="center" vertical="center" wrapText="1"/>
      <protection/>
    </xf>
    <xf numFmtId="166" fontId="24" fillId="0" borderId="14" xfId="30" applyNumberFormat="1" applyFont="1" applyBorder="1" applyAlignment="1" applyProtection="1">
      <alignment horizontal="center" vertical="center"/>
      <protection/>
    </xf>
    <xf numFmtId="166" fontId="77" fillId="19" borderId="14" xfId="30" applyNumberFormat="1" applyFont="1" applyFill="1" applyBorder="1" applyAlignment="1" applyProtection="1">
      <alignment horizontal="center" vertical="center"/>
      <protection/>
    </xf>
    <xf numFmtId="0" fontId="52" fillId="4" borderId="14" xfId="30" applyFont="1" applyFill="1" applyBorder="1" applyAlignment="1" applyProtection="1">
      <alignment horizontal="center" vertical="center"/>
      <protection/>
    </xf>
    <xf numFmtId="0" fontId="24" fillId="0" borderId="8" xfId="30" applyFont="1" applyBorder="1" applyAlignment="1" applyProtection="1">
      <alignment horizontal="center" vertical="center"/>
      <protection/>
    </xf>
    <xf numFmtId="0" fontId="24" fillId="0" borderId="8" xfId="30" applyFont="1" applyBorder="1" applyAlignment="1" applyProtection="1">
      <alignment horizontal="center" vertical="center" wrapText="1"/>
      <protection/>
    </xf>
    <xf numFmtId="0" fontId="43" fillId="3" borderId="14" xfId="30" applyFont="1" applyFill="1" applyBorder="1" applyAlignment="1">
      <alignment horizontal="center" vertical="center" wrapText="1"/>
      <protection/>
    </xf>
    <xf numFmtId="0" fontId="57" fillId="6" borderId="14" xfId="30" applyFont="1" applyFill="1" applyBorder="1" applyAlignment="1">
      <alignment horizontal="center" vertical="center" wrapText="1"/>
      <protection/>
    </xf>
    <xf numFmtId="0" fontId="35" fillId="2" borderId="8" xfId="30" applyFont="1" applyFill="1" applyBorder="1" applyAlignment="1" applyProtection="1">
      <alignment horizontal="centerContinuous" vertical="center" wrapText="1"/>
      <protection/>
    </xf>
    <xf numFmtId="0" fontId="36" fillId="2" borderId="15" xfId="30" applyFont="1" applyFill="1" applyBorder="1" applyAlignment="1">
      <alignment horizontal="centerContinuous"/>
      <protection/>
    </xf>
    <xf numFmtId="0" fontId="35" fillId="2" borderId="9" xfId="30" applyFont="1" applyFill="1" applyBorder="1" applyAlignment="1">
      <alignment horizontal="centerContinuous" vertical="center"/>
      <protection/>
    </xf>
    <xf numFmtId="0" fontId="46" fillId="20" borderId="8" xfId="30" applyFont="1" applyFill="1" applyBorder="1" applyAlignment="1">
      <alignment horizontal="centerContinuous" vertical="center" wrapText="1"/>
      <protection/>
    </xf>
    <xf numFmtId="0" fontId="96" fillId="20" borderId="15" xfId="30" applyFont="1" applyFill="1" applyBorder="1" applyAlignment="1">
      <alignment horizontal="centerContinuous"/>
      <protection/>
    </xf>
    <xf numFmtId="0" fontId="46" fillId="20" borderId="9" xfId="30" applyFont="1" applyFill="1" applyBorder="1" applyAlignment="1">
      <alignment horizontal="centerContinuous" vertical="center"/>
      <protection/>
    </xf>
    <xf numFmtId="0" fontId="61" fillId="8" borderId="14" xfId="30" applyFont="1" applyFill="1" applyBorder="1" applyAlignment="1">
      <alignment horizontal="center" vertical="center" wrapText="1"/>
      <protection/>
    </xf>
    <xf numFmtId="0" fontId="62" fillId="9" borderId="14" xfId="30" applyFont="1" applyFill="1" applyBorder="1" applyAlignment="1">
      <alignment horizontal="center" vertical="center" wrapText="1"/>
      <protection/>
    </xf>
    <xf numFmtId="0" fontId="24" fillId="0" borderId="14" xfId="30" applyFont="1" applyBorder="1" applyAlignment="1">
      <alignment horizontal="center" vertical="center" wrapText="1"/>
      <protection/>
    </xf>
    <xf numFmtId="0" fontId="4" fillId="0" borderId="1" xfId="30" applyFont="1" applyFill="1" applyBorder="1" applyAlignment="1">
      <alignment horizontal="center"/>
      <protection/>
    </xf>
    <xf numFmtId="0" fontId="4" fillId="0" borderId="17" xfId="30" applyFont="1" applyBorder="1">
      <alignment/>
      <protection/>
    </xf>
    <xf numFmtId="0" fontId="4" fillId="0" borderId="17" xfId="30" applyFont="1" applyFill="1" applyBorder="1" applyAlignment="1">
      <alignment horizontal="center"/>
      <protection/>
    </xf>
    <xf numFmtId="167" fontId="4" fillId="0" borderId="17" xfId="30" applyNumberFormat="1" applyFont="1" applyFill="1" applyBorder="1">
      <alignment/>
      <protection/>
    </xf>
    <xf numFmtId="0" fontId="4" fillId="0" borderId="17" xfId="30" applyFont="1" applyFill="1" applyBorder="1">
      <alignment/>
      <protection/>
    </xf>
    <xf numFmtId="0" fontId="78" fillId="0" borderId="17" xfId="30" applyFont="1" applyFill="1" applyBorder="1">
      <alignment/>
      <protection/>
    </xf>
    <xf numFmtId="0" fontId="53" fillId="0" borderId="17" xfId="30" applyFont="1" applyFill="1" applyBorder="1">
      <alignment/>
      <protection/>
    </xf>
    <xf numFmtId="22" fontId="4" fillId="0" borderId="17" xfId="30" applyNumberFormat="1" applyFont="1" applyFill="1" applyBorder="1">
      <alignment/>
      <protection/>
    </xf>
    <xf numFmtId="0" fontId="97" fillId="0" borderId="17" xfId="30" applyFont="1" applyFill="1" applyBorder="1">
      <alignment/>
      <protection/>
    </xf>
    <xf numFmtId="0" fontId="58" fillId="0" borderId="17" xfId="30" applyFont="1" applyFill="1" applyBorder="1">
      <alignment/>
      <protection/>
    </xf>
    <xf numFmtId="0" fontId="4" fillId="0" borderId="32" xfId="30" applyFont="1" applyFill="1" applyBorder="1">
      <alignment/>
      <protection/>
    </xf>
    <xf numFmtId="0" fontId="4" fillId="0" borderId="60" xfId="30" applyFont="1" applyFill="1" applyBorder="1">
      <alignment/>
      <protection/>
    </xf>
    <xf numFmtId="0" fontId="4" fillId="0" borderId="33" xfId="30" applyFont="1" applyFill="1" applyBorder="1">
      <alignment/>
      <protection/>
    </xf>
    <xf numFmtId="0" fontId="98" fillId="0" borderId="32" xfId="30" applyFont="1" applyFill="1" applyBorder="1">
      <alignment/>
      <protection/>
    </xf>
    <xf numFmtId="0" fontId="98" fillId="0" borderId="60" xfId="30" applyFont="1" applyFill="1" applyBorder="1">
      <alignment/>
      <protection/>
    </xf>
    <xf numFmtId="0" fontId="98" fillId="0" borderId="33" xfId="30" applyFont="1" applyFill="1" applyBorder="1">
      <alignment/>
      <protection/>
    </xf>
    <xf numFmtId="0" fontId="63" fillId="0" borderId="17" xfId="30" applyFont="1" applyFill="1" applyBorder="1">
      <alignment/>
      <protection/>
    </xf>
    <xf numFmtId="0" fontId="64" fillId="0" borderId="17" xfId="30" applyFont="1" applyFill="1" applyBorder="1">
      <alignment/>
      <protection/>
    </xf>
    <xf numFmtId="7" fontId="7" fillId="0" borderId="17" xfId="30" applyNumberFormat="1" applyFont="1" applyBorder="1" applyAlignment="1">
      <alignment/>
      <protection/>
    </xf>
    <xf numFmtId="0" fontId="4" fillId="0" borderId="2" xfId="30" applyFont="1" applyFill="1" applyBorder="1" applyAlignment="1">
      <alignment horizontal="center"/>
      <protection/>
    </xf>
    <xf numFmtId="0" fontId="4" fillId="0" borderId="2" xfId="32" applyFont="1" applyFill="1" applyBorder="1" applyAlignment="1" applyProtection="1">
      <alignment horizontal="center"/>
      <protection locked="0"/>
    </xf>
    <xf numFmtId="164" fontId="4" fillId="0" borderId="2" xfId="32" applyNumberFormat="1" applyFont="1" applyFill="1" applyBorder="1" applyAlignment="1" applyProtection="1">
      <alignment horizontal="center"/>
      <protection locked="0"/>
    </xf>
    <xf numFmtId="167" fontId="4" fillId="0" borderId="2" xfId="32" applyNumberFormat="1" applyFont="1" applyFill="1" applyBorder="1" applyAlignment="1" applyProtection="1">
      <alignment horizontal="center"/>
      <protection locked="0"/>
    </xf>
    <xf numFmtId="0" fontId="78" fillId="19" borderId="2" xfId="30" applyFont="1" applyFill="1" applyBorder="1" applyAlignment="1" applyProtection="1">
      <alignment horizontal="center"/>
      <protection/>
    </xf>
    <xf numFmtId="169" fontId="53" fillId="4" borderId="2" xfId="30" applyNumberFormat="1" applyFont="1" applyFill="1" applyBorder="1" applyAlignment="1" applyProtection="1">
      <alignment horizontal="center"/>
      <protection/>
    </xf>
    <xf numFmtId="22" fontId="4" fillId="0" borderId="4" xfId="30" applyNumberFormat="1" applyFont="1" applyFill="1" applyBorder="1" applyAlignment="1" applyProtection="1">
      <alignment horizontal="center"/>
      <protection locked="0"/>
    </xf>
    <xf numFmtId="22" fontId="4" fillId="0" borderId="24" xfId="30" applyNumberFormat="1" applyFont="1" applyFill="1" applyBorder="1" applyAlignment="1" applyProtection="1">
      <alignment horizontal="center"/>
      <protection locked="0"/>
    </xf>
    <xf numFmtId="4" fontId="4" fillId="7" borderId="2" xfId="30" applyNumberFormat="1" applyFont="1" applyFill="1" applyBorder="1" applyAlignment="1" applyProtection="1" quotePrefix="1">
      <alignment horizontal="center"/>
      <protection/>
    </xf>
    <xf numFmtId="164" fontId="4" fillId="7" borderId="2" xfId="30" applyNumberFormat="1" applyFont="1" applyFill="1" applyBorder="1" applyAlignment="1" applyProtection="1" quotePrefix="1">
      <alignment horizontal="center"/>
      <protection/>
    </xf>
    <xf numFmtId="166" fontId="4" fillId="0" borderId="4" xfId="30" applyNumberFormat="1" applyFont="1" applyBorder="1" applyAlignment="1" applyProtection="1">
      <alignment horizontal="center"/>
      <protection locked="0"/>
    </xf>
    <xf numFmtId="168" fontId="4" fillId="0" borderId="2" xfId="30" applyNumberFormat="1" applyFont="1" applyBorder="1" applyAlignment="1" applyProtection="1" quotePrefix="1">
      <alignment horizontal="center"/>
      <protection/>
    </xf>
    <xf numFmtId="166" fontId="4" fillId="0" borderId="2" xfId="30" applyNumberFormat="1" applyFont="1" applyBorder="1" applyAlignment="1" applyProtection="1">
      <alignment horizontal="center"/>
      <protection/>
    </xf>
    <xf numFmtId="2" fontId="44" fillId="3" borderId="2" xfId="30" applyNumberFormat="1" applyFont="1" applyFill="1" applyBorder="1" applyAlignment="1" applyProtection="1">
      <alignment horizontal="center"/>
      <protection/>
    </xf>
    <xf numFmtId="2" fontId="59" fillId="6" borderId="4" xfId="30" applyNumberFormat="1" applyFont="1" applyFill="1" applyBorder="1" applyAlignment="1" applyProtection="1">
      <alignment horizontal="center"/>
      <protection/>
    </xf>
    <xf numFmtId="166" fontId="34" fillId="2" borderId="22" xfId="30" applyNumberFormat="1" applyFont="1" applyFill="1" applyBorder="1" applyAlignment="1" applyProtection="1" quotePrefix="1">
      <alignment horizontal="center"/>
      <protection/>
    </xf>
    <xf numFmtId="166" fontId="34" fillId="2" borderId="23" xfId="30" applyNumberFormat="1" applyFont="1" applyFill="1" applyBorder="1" applyAlignment="1" applyProtection="1" quotePrefix="1">
      <alignment horizontal="center"/>
      <protection/>
    </xf>
    <xf numFmtId="4" fontId="34" fillId="2" borderId="4" xfId="30" applyNumberFormat="1" applyFont="1" applyFill="1" applyBorder="1" applyAlignment="1" applyProtection="1">
      <alignment horizontal="center"/>
      <protection/>
    </xf>
    <xf numFmtId="166" fontId="47" fillId="20" borderId="22" xfId="30" applyNumberFormat="1" applyFont="1" applyFill="1" applyBorder="1" applyAlignment="1" applyProtection="1" quotePrefix="1">
      <alignment horizontal="center"/>
      <protection/>
    </xf>
    <xf numFmtId="166" fontId="47" fillId="20" borderId="23" xfId="30" applyNumberFormat="1" applyFont="1" applyFill="1" applyBorder="1" applyAlignment="1" applyProtection="1" quotePrefix="1">
      <alignment horizontal="center"/>
      <protection/>
    </xf>
    <xf numFmtId="4" fontId="47" fillId="20" borderId="4" xfId="30" applyNumberFormat="1" applyFont="1" applyFill="1" applyBorder="1" applyAlignment="1" applyProtection="1">
      <alignment horizontal="center"/>
      <protection/>
    </xf>
    <xf numFmtId="4" fontId="65" fillId="8" borderId="2" xfId="30" applyNumberFormat="1" applyFont="1" applyFill="1" applyBorder="1" applyAlignment="1" applyProtection="1">
      <alignment horizontal="center"/>
      <protection/>
    </xf>
    <xf numFmtId="4" fontId="66" fillId="9" borderId="2" xfId="30" applyNumberFormat="1" applyFont="1" applyFill="1" applyBorder="1" applyAlignment="1" applyProtection="1">
      <alignment horizontal="center"/>
      <protection/>
    </xf>
    <xf numFmtId="4" fontId="4" fillId="0" borderId="2" xfId="30" applyNumberFormat="1" applyFont="1" applyBorder="1" applyAlignment="1" applyProtection="1">
      <alignment horizontal="center"/>
      <protection/>
    </xf>
    <xf numFmtId="4" fontId="7" fillId="0" borderId="4" xfId="30" applyNumberFormat="1" applyFont="1" applyFill="1" applyBorder="1" applyAlignment="1">
      <alignment horizontal="right"/>
      <protection/>
    </xf>
    <xf numFmtId="0" fontId="4" fillId="0" borderId="2" xfId="33" applyFont="1" applyFill="1" applyBorder="1" applyAlignment="1" applyProtection="1">
      <alignment horizontal="center"/>
      <protection locked="0"/>
    </xf>
    <xf numFmtId="0" fontId="4" fillId="0" borderId="2" xfId="33" applyFont="1" applyBorder="1" applyAlignment="1" applyProtection="1">
      <alignment horizontal="center"/>
      <protection locked="0"/>
    </xf>
    <xf numFmtId="164" fontId="4" fillId="0" borderId="4" xfId="33" applyNumberFormat="1" applyFont="1" applyBorder="1" applyAlignment="1" applyProtection="1">
      <alignment horizontal="center"/>
      <protection locked="0"/>
    </xf>
    <xf numFmtId="167" fontId="4" fillId="0" borderId="2" xfId="33" applyNumberFormat="1" applyFont="1" applyBorder="1" applyAlignment="1" applyProtection="1">
      <alignment horizontal="center"/>
      <protection locked="0"/>
    </xf>
    <xf numFmtId="22" fontId="4" fillId="0" borderId="4" xfId="33" applyNumberFormat="1" applyFont="1" applyBorder="1" applyAlignment="1" applyProtection="1">
      <alignment horizontal="center"/>
      <protection locked="0"/>
    </xf>
    <xf numFmtId="22" fontId="4" fillId="0" borderId="24" xfId="33" applyNumberFormat="1" applyFont="1" applyBorder="1" applyAlignment="1" applyProtection="1">
      <alignment horizontal="center"/>
      <protection locked="0"/>
    </xf>
    <xf numFmtId="166" fontId="4" fillId="0" borderId="4" xfId="33" applyNumberFormat="1" applyFont="1" applyBorder="1" applyAlignment="1" applyProtection="1">
      <alignment horizontal="center"/>
      <protection locked="0"/>
    </xf>
    <xf numFmtId="4" fontId="6" fillId="0" borderId="2" xfId="30" applyNumberFormat="1" applyFont="1" applyBorder="1" applyAlignment="1" applyProtection="1">
      <alignment horizontal="center"/>
      <protection/>
    </xf>
    <xf numFmtId="2" fontId="4" fillId="0" borderId="1" xfId="30" applyNumberFormat="1" applyFont="1" applyFill="1" applyBorder="1" applyAlignment="1">
      <alignment horizontal="center"/>
      <protection/>
    </xf>
    <xf numFmtId="0" fontId="4" fillId="0" borderId="19" xfId="33" applyFont="1" applyFill="1" applyBorder="1" applyAlignment="1">
      <alignment horizontal="center"/>
      <protection/>
    </xf>
    <xf numFmtId="0" fontId="4" fillId="0" borderId="2" xfId="30" applyFont="1" applyFill="1" applyBorder="1" applyAlignment="1" applyProtection="1">
      <alignment horizontal="center"/>
      <protection locked="0"/>
    </xf>
    <xf numFmtId="164" fontId="4" fillId="0" borderId="2" xfId="30" applyNumberFormat="1" applyFont="1" applyFill="1" applyBorder="1" applyAlignment="1" applyProtection="1">
      <alignment horizontal="center"/>
      <protection locked="0"/>
    </xf>
    <xf numFmtId="167" fontId="4" fillId="0" borderId="2" xfId="30" applyNumberFormat="1" applyFont="1" applyFill="1" applyBorder="1" applyAlignment="1" applyProtection="1">
      <alignment horizontal="center"/>
      <protection locked="0"/>
    </xf>
    <xf numFmtId="0" fontId="4" fillId="0" borderId="19" xfId="30" applyFont="1" applyFill="1" applyBorder="1" applyAlignment="1">
      <alignment horizontal="center"/>
      <protection/>
    </xf>
    <xf numFmtId="0" fontId="4" fillId="0" borderId="2" xfId="30" applyFont="1" applyBorder="1" applyAlignment="1" applyProtection="1">
      <alignment horizontal="center"/>
      <protection locked="0"/>
    </xf>
    <xf numFmtId="164" fontId="4" fillId="0" borderId="2" xfId="30" applyNumberFormat="1" applyFont="1" applyBorder="1" applyAlignment="1" applyProtection="1">
      <alignment horizontal="center"/>
      <protection locked="0"/>
    </xf>
    <xf numFmtId="167" fontId="4" fillId="0" borderId="2" xfId="30" applyNumberFormat="1" applyFont="1" applyBorder="1" applyAlignment="1" applyProtection="1">
      <alignment horizontal="center"/>
      <protection locked="0"/>
    </xf>
    <xf numFmtId="22" fontId="4" fillId="0" borderId="4" xfId="30" applyNumberFormat="1" applyFont="1" applyBorder="1" applyAlignment="1" applyProtection="1">
      <alignment horizontal="center"/>
      <protection locked="0"/>
    </xf>
    <xf numFmtId="22" fontId="4" fillId="0" borderId="24" xfId="30" applyNumberFormat="1" applyFont="1" applyBorder="1" applyAlignment="1" applyProtection="1">
      <alignment horizontal="center"/>
      <protection locked="0"/>
    </xf>
    <xf numFmtId="22" fontId="4" fillId="0" borderId="21" xfId="30" applyNumberFormat="1" applyFont="1" applyBorder="1" applyAlignment="1" applyProtection="1">
      <alignment horizontal="center"/>
      <protection locked="0"/>
    </xf>
    <xf numFmtId="0" fontId="4" fillId="0" borderId="39" xfId="30" applyFont="1" applyFill="1" applyBorder="1" applyAlignment="1" applyProtection="1">
      <alignment horizontal="center"/>
      <protection locked="0"/>
    </xf>
    <xf numFmtId="0" fontId="4" fillId="0" borderId="3" xfId="30" applyFont="1" applyBorder="1" applyAlignment="1" applyProtection="1">
      <alignment horizontal="center"/>
      <protection locked="0"/>
    </xf>
    <xf numFmtId="164" fontId="6" fillId="0" borderId="3" xfId="30" applyNumberFormat="1" applyFont="1" applyBorder="1" applyAlignment="1" applyProtection="1">
      <alignment horizontal="center"/>
      <protection locked="0"/>
    </xf>
    <xf numFmtId="167" fontId="4" fillId="0" borderId="3" xfId="30" applyNumberFormat="1" applyFont="1" applyBorder="1" applyAlignment="1" applyProtection="1">
      <alignment horizontal="center"/>
      <protection locked="0"/>
    </xf>
    <xf numFmtId="165" fontId="4" fillId="0" borderId="3" xfId="30" applyNumberFormat="1" applyFont="1" applyBorder="1" applyAlignment="1" applyProtection="1">
      <alignment horizontal="center"/>
      <protection locked="0"/>
    </xf>
    <xf numFmtId="0" fontId="78" fillId="19" borderId="3" xfId="30" applyFont="1" applyFill="1" applyBorder="1" applyAlignment="1" applyProtection="1">
      <alignment horizontal="center"/>
      <protection/>
    </xf>
    <xf numFmtId="169" fontId="53" fillId="4" borderId="3" xfId="30" applyNumberFormat="1" applyFont="1" applyFill="1" applyBorder="1" applyAlignment="1" applyProtection="1">
      <alignment horizontal="center"/>
      <protection/>
    </xf>
    <xf numFmtId="22" fontId="4" fillId="0" borderId="3" xfId="30" applyNumberFormat="1" applyFont="1" applyBorder="1" applyAlignment="1" applyProtection="1">
      <alignment horizontal="center"/>
      <protection locked="0"/>
    </xf>
    <xf numFmtId="166" fontId="4" fillId="0" borderId="3" xfId="30" applyNumberFormat="1" applyFont="1" applyBorder="1" applyAlignment="1" applyProtection="1">
      <alignment horizontal="center"/>
      <protection/>
    </xf>
    <xf numFmtId="166" fontId="4" fillId="0" borderId="3" xfId="30" applyNumberFormat="1" applyFont="1" applyBorder="1" applyAlignment="1" applyProtection="1">
      <alignment horizontal="center"/>
      <protection locked="0"/>
    </xf>
    <xf numFmtId="168" fontId="4" fillId="0" borderId="3" xfId="30" applyNumberFormat="1" applyFont="1" applyBorder="1" applyAlignment="1" applyProtection="1" quotePrefix="1">
      <alignment horizontal="center"/>
      <protection locked="0"/>
    </xf>
    <xf numFmtId="2" fontId="97" fillId="3" borderId="3" xfId="30" applyNumberFormat="1" applyFont="1" applyFill="1" applyBorder="1" applyAlignment="1" applyProtection="1">
      <alignment horizontal="center"/>
      <protection locked="0"/>
    </xf>
    <xf numFmtId="2" fontId="59" fillId="6" borderId="3" xfId="30" applyNumberFormat="1" applyFont="1" applyFill="1" applyBorder="1" applyAlignment="1" applyProtection="1">
      <alignment horizontal="center"/>
      <protection locked="0"/>
    </xf>
    <xf numFmtId="166" fontId="34" fillId="2" borderId="25" xfId="30" applyNumberFormat="1" applyFont="1" applyFill="1" applyBorder="1" applyAlignment="1" applyProtection="1" quotePrefix="1">
      <alignment horizontal="center"/>
      <protection locked="0"/>
    </xf>
    <xf numFmtId="166" fontId="34" fillId="2" borderId="26" xfId="30" applyNumberFormat="1" applyFont="1" applyFill="1" applyBorder="1" applyAlignment="1" applyProtection="1" quotePrefix="1">
      <alignment horizontal="center"/>
      <protection locked="0"/>
    </xf>
    <xf numFmtId="4" fontId="34" fillId="2" borderId="27" xfId="30" applyNumberFormat="1" applyFont="1" applyFill="1" applyBorder="1" applyAlignment="1" applyProtection="1">
      <alignment horizontal="center"/>
      <protection locked="0"/>
    </xf>
    <xf numFmtId="166" fontId="47" fillId="20" borderId="25" xfId="30" applyNumberFormat="1" applyFont="1" applyFill="1" applyBorder="1" applyAlignment="1" applyProtection="1" quotePrefix="1">
      <alignment horizontal="center"/>
      <protection locked="0"/>
    </xf>
    <xf numFmtId="166" fontId="47" fillId="20" borderId="26" xfId="30" applyNumberFormat="1" applyFont="1" applyFill="1" applyBorder="1" applyAlignment="1" applyProtection="1" quotePrefix="1">
      <alignment horizontal="center"/>
      <protection locked="0"/>
    </xf>
    <xf numFmtId="4" fontId="47" fillId="20" borderId="27" xfId="30" applyNumberFormat="1" applyFont="1" applyFill="1" applyBorder="1" applyAlignment="1" applyProtection="1">
      <alignment horizontal="center"/>
      <protection locked="0"/>
    </xf>
    <xf numFmtId="4" fontId="65" fillId="8" borderId="3" xfId="30" applyNumberFormat="1" applyFont="1" applyFill="1" applyBorder="1" applyAlignment="1" applyProtection="1">
      <alignment horizontal="center"/>
      <protection locked="0"/>
    </xf>
    <xf numFmtId="4" fontId="66" fillId="9" borderId="3" xfId="30" applyNumberFormat="1" applyFont="1" applyFill="1" applyBorder="1" applyAlignment="1" applyProtection="1">
      <alignment horizontal="center"/>
      <protection locked="0"/>
    </xf>
    <xf numFmtId="4" fontId="6" fillId="0" borderId="3" xfId="30" applyNumberFormat="1" applyFont="1" applyBorder="1" applyAlignment="1" applyProtection="1">
      <alignment horizontal="center"/>
      <protection locked="0"/>
    </xf>
    <xf numFmtId="2" fontId="7" fillId="0" borderId="28" xfId="30" applyNumberFormat="1" applyFont="1" applyFill="1" applyBorder="1" applyAlignment="1">
      <alignment horizontal="right"/>
      <protection/>
    </xf>
    <xf numFmtId="0" fontId="109" fillId="0" borderId="16" xfId="30" applyFont="1" applyBorder="1" applyAlignment="1">
      <alignment horizontal="center"/>
      <protection/>
    </xf>
    <xf numFmtId="0" fontId="1" fillId="0" borderId="0" xfId="30" applyFont="1" applyBorder="1" applyAlignment="1">
      <alignment horizontal="left"/>
      <protection/>
    </xf>
    <xf numFmtId="0" fontId="29" fillId="0" borderId="16" xfId="30" applyFont="1" applyBorder="1" applyAlignment="1">
      <alignment horizontal="center"/>
      <protection/>
    </xf>
    <xf numFmtId="0" fontId="31" fillId="0" borderId="0" xfId="30" applyFont="1" applyBorder="1" applyAlignment="1" applyProtection="1">
      <alignment horizontal="left"/>
      <protection/>
    </xf>
    <xf numFmtId="164" fontId="6" fillId="0" borderId="0" xfId="30" applyNumberFormat="1" applyFont="1" applyBorder="1" applyAlignment="1" applyProtection="1">
      <alignment horizontal="center"/>
      <protection/>
    </xf>
    <xf numFmtId="0" fontId="4" fillId="0" borderId="0" xfId="30" applyFont="1" applyBorder="1" applyAlignment="1" applyProtection="1">
      <alignment horizontal="center"/>
      <protection/>
    </xf>
    <xf numFmtId="165" fontId="4" fillId="0" borderId="0" xfId="30" applyNumberFormat="1" applyFont="1" applyBorder="1" applyAlignment="1" applyProtection="1">
      <alignment horizontal="center"/>
      <protection/>
    </xf>
    <xf numFmtId="166" fontId="4" fillId="0" borderId="0" xfId="30" applyNumberFormat="1" applyFont="1" applyBorder="1" applyAlignment="1" applyProtection="1">
      <alignment horizontal="center"/>
      <protection/>
    </xf>
    <xf numFmtId="168" fontId="4" fillId="0" borderId="0" xfId="30" applyNumberFormat="1" applyFont="1" applyBorder="1" applyAlignment="1" applyProtection="1" quotePrefix="1">
      <alignment horizontal="center"/>
      <protection/>
    </xf>
    <xf numFmtId="2" fontId="44" fillId="3" borderId="14" xfId="30" applyNumberFormat="1" applyFont="1" applyFill="1" applyBorder="1" applyAlignment="1" applyProtection="1">
      <alignment horizontal="center"/>
      <protection/>
    </xf>
    <xf numFmtId="2" fontId="59" fillId="6" borderId="14" xfId="30" applyNumberFormat="1" applyFont="1" applyFill="1" applyBorder="1" applyAlignment="1" applyProtection="1">
      <alignment horizontal="center"/>
      <protection/>
    </xf>
    <xf numFmtId="2" fontId="34" fillId="2" borderId="14" xfId="30" applyNumberFormat="1" applyFont="1" applyFill="1" applyBorder="1" applyAlignment="1" applyProtection="1">
      <alignment horizontal="center"/>
      <protection/>
    </xf>
    <xf numFmtId="2" fontId="47" fillId="20" borderId="14" xfId="30" applyNumberFormat="1" applyFont="1" applyFill="1" applyBorder="1" applyAlignment="1" applyProtection="1">
      <alignment horizontal="center"/>
      <protection/>
    </xf>
    <xf numFmtId="2" fontId="65" fillId="8" borderId="14" xfId="30" applyNumberFormat="1" applyFont="1" applyFill="1" applyBorder="1" applyAlignment="1" applyProtection="1">
      <alignment horizontal="center"/>
      <protection/>
    </xf>
    <xf numFmtId="2" fontId="66" fillId="9" borderId="14" xfId="30" applyNumberFormat="1" applyFont="1" applyFill="1" applyBorder="1" applyAlignment="1" applyProtection="1">
      <alignment horizontal="center"/>
      <protection/>
    </xf>
    <xf numFmtId="2" fontId="54" fillId="0" borderId="29" xfId="30" applyNumberFormat="1" applyFont="1" applyBorder="1" applyAlignment="1" applyProtection="1">
      <alignment horizontal="center"/>
      <protection/>
    </xf>
    <xf numFmtId="7" fontId="10" fillId="0" borderId="14" xfId="30" applyNumberFormat="1" applyFont="1" applyFill="1" applyBorder="1" applyAlignment="1" applyProtection="1">
      <alignment horizontal="right"/>
      <protection/>
    </xf>
    <xf numFmtId="0" fontId="4" fillId="0" borderId="10" xfId="30" applyFont="1" applyBorder="1">
      <alignment/>
      <protection/>
    </xf>
    <xf numFmtId="0" fontId="4" fillId="0" borderId="11" xfId="30" applyFont="1" applyBorder="1">
      <alignment/>
      <protection/>
    </xf>
    <xf numFmtId="0" fontId="4" fillId="0" borderId="12" xfId="30" applyFont="1" applyBorder="1">
      <alignment/>
      <protection/>
    </xf>
    <xf numFmtId="0" fontId="0" fillId="0" borderId="0" xfId="30" applyBorder="1">
      <alignment/>
      <protection/>
    </xf>
    <xf numFmtId="0" fontId="4" fillId="0" borderId="0" xfId="34" applyFont="1" applyFill="1">
      <alignment/>
      <protection/>
    </xf>
    <xf numFmtId="0" fontId="4" fillId="0" borderId="0" xfId="34" applyFont="1">
      <alignment/>
      <protection/>
    </xf>
    <xf numFmtId="0" fontId="0" fillId="0" borderId="0" xfId="34">
      <alignment/>
      <protection/>
    </xf>
    <xf numFmtId="0" fontId="51" fillId="0" borderId="0" xfId="34" applyFont="1" applyAlignment="1">
      <alignment horizontal="right" vertical="top"/>
      <protection/>
    </xf>
    <xf numFmtId="0" fontId="79" fillId="0" borderId="0" xfId="34" applyFont="1" applyFill="1">
      <alignment/>
      <protection/>
    </xf>
    <xf numFmtId="0" fontId="80" fillId="0" borderId="0" xfId="34" applyFont="1" applyAlignment="1">
      <alignment horizontal="centerContinuous"/>
      <protection/>
    </xf>
    <xf numFmtId="0" fontId="79" fillId="0" borderId="0" xfId="34" applyFont="1" applyAlignment="1">
      <alignment horizontal="centerContinuous"/>
      <protection/>
    </xf>
    <xf numFmtId="0" fontId="79" fillId="0" borderId="0" xfId="34" applyFont="1">
      <alignment/>
      <protection/>
    </xf>
    <xf numFmtId="0" fontId="11" fillId="0" borderId="0" xfId="34" applyFont="1" applyFill="1" applyBorder="1" applyAlignment="1" applyProtection="1">
      <alignment horizontal="center"/>
      <protection/>
    </xf>
    <xf numFmtId="0" fontId="11" fillId="0" borderId="0" xfId="34" applyFont="1" applyFill="1" applyBorder="1" applyAlignment="1" applyProtection="1">
      <alignment horizontal="left"/>
      <protection/>
    </xf>
    <xf numFmtId="0" fontId="15" fillId="0" borderId="0" xfId="34" applyFont="1">
      <alignment/>
      <protection/>
    </xf>
    <xf numFmtId="0" fontId="4" fillId="0" borderId="13" xfId="34" applyFont="1" applyBorder="1">
      <alignment/>
      <protection/>
    </xf>
    <xf numFmtId="0" fontId="4" fillId="0" borderId="5" xfId="34" applyFont="1" applyBorder="1">
      <alignment/>
      <protection/>
    </xf>
    <xf numFmtId="0" fontId="4" fillId="0" borderId="5" xfId="34" applyFont="1" applyBorder="1" applyAlignment="1" applyProtection="1">
      <alignment horizontal="left"/>
      <protection/>
    </xf>
    <xf numFmtId="0" fontId="0" fillId="0" borderId="5" xfId="34" applyBorder="1">
      <alignment/>
      <protection/>
    </xf>
    <xf numFmtId="0" fontId="4" fillId="0" borderId="6" xfId="34" applyFont="1" applyFill="1" applyBorder="1">
      <alignment/>
      <protection/>
    </xf>
    <xf numFmtId="0" fontId="4" fillId="0" borderId="7" xfId="34" applyFont="1" applyBorder="1">
      <alignment/>
      <protection/>
    </xf>
    <xf numFmtId="0" fontId="4" fillId="0" borderId="0" xfId="34" applyFont="1" applyBorder="1">
      <alignment/>
      <protection/>
    </xf>
    <xf numFmtId="0" fontId="8" fillId="0" borderId="0" xfId="34" applyFont="1" applyBorder="1" applyAlignment="1">
      <alignment horizontal="left"/>
      <protection/>
    </xf>
    <xf numFmtId="0" fontId="18" fillId="0" borderId="0" xfId="34" applyFont="1" applyBorder="1">
      <alignment/>
      <protection/>
    </xf>
    <xf numFmtId="0" fontId="4" fillId="0" borderId="1" xfId="34" applyFont="1" applyFill="1" applyBorder="1">
      <alignment/>
      <protection/>
    </xf>
    <xf numFmtId="0" fontId="20" fillId="0" borderId="0" xfId="34" applyFont="1">
      <alignment/>
      <protection/>
    </xf>
    <xf numFmtId="0" fontId="20" fillId="0" borderId="7" xfId="34" applyFont="1" applyBorder="1">
      <alignment/>
      <protection/>
    </xf>
    <xf numFmtId="0" fontId="20" fillId="0" borderId="0" xfId="34" applyFont="1" applyBorder="1">
      <alignment/>
      <protection/>
    </xf>
    <xf numFmtId="0" fontId="5" fillId="0" borderId="0" xfId="34" applyFont="1" applyBorder="1">
      <alignment/>
      <protection/>
    </xf>
    <xf numFmtId="0" fontId="20" fillId="0" borderId="1" xfId="34" applyFont="1" applyFill="1" applyBorder="1">
      <alignment/>
      <protection/>
    </xf>
    <xf numFmtId="0" fontId="4" fillId="0" borderId="0" xfId="34" applyFont="1" applyBorder="1" applyProtection="1">
      <alignment/>
      <protection/>
    </xf>
    <xf numFmtId="0" fontId="21" fillId="0" borderId="7" xfId="34" applyFont="1" applyBorder="1" applyAlignment="1">
      <alignment horizontal="centerContinuous"/>
      <protection/>
    </xf>
    <xf numFmtId="0" fontId="0" fillId="0" borderId="0" xfId="34" applyNumberFormat="1" applyAlignment="1">
      <alignment horizontal="centerContinuous"/>
      <protection/>
    </xf>
    <xf numFmtId="0" fontId="21" fillId="0" borderId="0" xfId="34" applyFont="1" applyBorder="1" applyAlignment="1">
      <alignment horizontal="centerContinuous"/>
      <protection/>
    </xf>
    <xf numFmtId="0" fontId="20" fillId="0" borderId="0" xfId="34" applyFont="1" applyBorder="1" applyAlignment="1">
      <alignment horizontal="centerContinuous"/>
      <protection/>
    </xf>
    <xf numFmtId="0" fontId="0" fillId="0" borderId="0" xfId="34" applyAlignment="1">
      <alignment horizontal="centerContinuous"/>
      <protection/>
    </xf>
    <xf numFmtId="0" fontId="20" fillId="0" borderId="0" xfId="34" applyFont="1" applyAlignment="1">
      <alignment horizontal="centerContinuous"/>
      <protection/>
    </xf>
    <xf numFmtId="0" fontId="20" fillId="0" borderId="0" xfId="34" applyFont="1" applyAlignment="1">
      <alignment/>
      <protection/>
    </xf>
    <xf numFmtId="0" fontId="20" fillId="0" borderId="1" xfId="34" applyFont="1" applyBorder="1" applyAlignment="1">
      <alignment horizontal="centerContinuous"/>
      <protection/>
    </xf>
    <xf numFmtId="0" fontId="4" fillId="0" borderId="0" xfId="34" applyFont="1" applyBorder="1" applyAlignment="1">
      <alignment horizontal="center"/>
      <protection/>
    </xf>
    <xf numFmtId="0" fontId="81" fillId="0" borderId="0" xfId="34" applyFont="1" applyBorder="1" applyAlignment="1" quotePrefix="1">
      <alignment horizontal="left"/>
      <protection/>
    </xf>
    <xf numFmtId="166" fontId="7" fillId="0" borderId="0" xfId="34" applyNumberFormat="1" applyFont="1" applyBorder="1" applyAlignment="1" applyProtection="1">
      <alignment horizontal="left"/>
      <protection/>
    </xf>
    <xf numFmtId="0" fontId="0" fillId="0" borderId="0" xfId="34" applyBorder="1">
      <alignment/>
      <protection/>
    </xf>
    <xf numFmtId="0" fontId="22" fillId="0" borderId="0" xfId="34" applyFont="1" applyBorder="1" applyAlignment="1">
      <alignment horizontal="center"/>
      <protection/>
    </xf>
    <xf numFmtId="0" fontId="22" fillId="0" borderId="0" xfId="34" applyFont="1" applyBorder="1">
      <alignment/>
      <protection/>
    </xf>
    <xf numFmtId="0" fontId="19" fillId="0" borderId="0" xfId="34" applyFont="1">
      <alignment/>
      <protection/>
    </xf>
    <xf numFmtId="0" fontId="19" fillId="0" borderId="7" xfId="34" applyFont="1" applyBorder="1">
      <alignment/>
      <protection/>
    </xf>
    <xf numFmtId="0" fontId="19" fillId="0" borderId="0" xfId="34" applyFont="1" applyBorder="1">
      <alignment/>
      <protection/>
    </xf>
    <xf numFmtId="0" fontId="19" fillId="0" borderId="0" xfId="34" applyFont="1" applyBorder="1" applyAlignment="1">
      <alignment horizontal="right"/>
      <protection/>
    </xf>
    <xf numFmtId="7" fontId="19" fillId="0" borderId="0" xfId="34" applyNumberFormat="1" applyFont="1" applyBorder="1" applyAlignment="1">
      <alignment horizontal="center"/>
      <protection/>
    </xf>
    <xf numFmtId="0" fontId="19" fillId="0" borderId="0" xfId="34" applyFont="1" applyBorder="1" applyAlignment="1">
      <alignment horizontal="center"/>
      <protection/>
    </xf>
    <xf numFmtId="0" fontId="82" fillId="0" borderId="0" xfId="34" applyFont="1" applyBorder="1" applyAlignment="1" quotePrefix="1">
      <alignment horizontal="left"/>
      <protection/>
    </xf>
    <xf numFmtId="0" fontId="19" fillId="0" borderId="1" xfId="34" applyFont="1" applyFill="1" applyBorder="1">
      <alignment/>
      <protection/>
    </xf>
    <xf numFmtId="0" fontId="19" fillId="0" borderId="0" xfId="34" applyFont="1" applyBorder="1" applyAlignment="1" applyProtection="1">
      <alignment horizontal="left"/>
      <protection/>
    </xf>
    <xf numFmtId="169" fontId="19" fillId="0" borderId="0" xfId="34" applyNumberFormat="1" applyFont="1" applyBorder="1" applyAlignment="1">
      <alignment horizontal="center"/>
      <protection/>
    </xf>
    <xf numFmtId="166" fontId="19" fillId="0" borderId="0" xfId="34" applyNumberFormat="1" applyFont="1" applyBorder="1" applyAlignment="1" applyProtection="1">
      <alignment horizontal="left"/>
      <protection/>
    </xf>
    <xf numFmtId="0" fontId="19" fillId="0" borderId="0" xfId="34" applyFont="1" applyAlignment="1">
      <alignment horizontal="right"/>
      <protection/>
    </xf>
    <xf numFmtId="10" fontId="19" fillId="0" borderId="0" xfId="34" applyNumberFormat="1" applyFont="1" applyBorder="1" applyAlignment="1" applyProtection="1">
      <alignment horizontal="right"/>
      <protection/>
    </xf>
    <xf numFmtId="172" fontId="19" fillId="0" borderId="0" xfId="34" applyNumberFormat="1" applyFont="1" applyBorder="1">
      <alignment/>
      <protection/>
    </xf>
    <xf numFmtId="0" fontId="0" fillId="0" borderId="0" xfId="34" applyFont="1" applyBorder="1" applyAlignment="1" applyProtection="1">
      <alignment horizontal="center"/>
      <protection/>
    </xf>
    <xf numFmtId="169" fontId="0" fillId="0" borderId="0" xfId="34" applyNumberFormat="1" applyFont="1" applyBorder="1" applyAlignment="1">
      <alignment horizontal="centerContinuous"/>
      <protection/>
    </xf>
    <xf numFmtId="0" fontId="19" fillId="0" borderId="0" xfId="34" applyFont="1" applyBorder="1" applyAlignment="1" applyProtection="1">
      <alignment horizontal="center"/>
      <protection/>
    </xf>
    <xf numFmtId="0" fontId="3" fillId="0" borderId="0" xfId="34" applyFont="1" applyBorder="1">
      <alignment/>
      <protection/>
    </xf>
    <xf numFmtId="166" fontId="10" fillId="0" borderId="8" xfId="34" applyNumberFormat="1" applyFont="1" applyBorder="1" applyAlignment="1" applyProtection="1">
      <alignment horizontal="center"/>
      <protection/>
    </xf>
    <xf numFmtId="172" fontId="19" fillId="0" borderId="9" xfId="34" applyNumberFormat="1" applyFont="1" applyBorder="1" applyAlignment="1" applyProtection="1">
      <alignment horizontal="centerContinuous"/>
      <protection/>
    </xf>
    <xf numFmtId="0" fontId="4" fillId="0" borderId="0" xfId="34" applyFont="1" applyBorder="1" applyAlignment="1" applyProtection="1">
      <alignment horizontal="center"/>
      <protection/>
    </xf>
    <xf numFmtId="0" fontId="24" fillId="0" borderId="14" xfId="34" applyFont="1" applyBorder="1" applyAlignment="1">
      <alignment horizontal="center" vertical="center"/>
      <protection/>
    </xf>
    <xf numFmtId="0" fontId="24" fillId="0" borderId="14" xfId="35" applyFont="1" applyBorder="1" applyAlignment="1">
      <alignment horizontal="center" vertical="center"/>
      <protection/>
    </xf>
    <xf numFmtId="164" fontId="24" fillId="0" borderId="9" xfId="34" applyNumberFormat="1" applyFont="1" applyBorder="1" applyAlignment="1" applyProtection="1">
      <alignment horizontal="center" vertical="center" wrapText="1"/>
      <protection/>
    </xf>
    <xf numFmtId="0" fontId="24" fillId="0" borderId="15" xfId="34" applyFont="1" applyBorder="1" applyAlignment="1" applyProtection="1">
      <alignment horizontal="center" vertical="center" wrapText="1"/>
      <protection/>
    </xf>
    <xf numFmtId="166" fontId="24" fillId="0" borderId="14" xfId="34" applyNumberFormat="1" applyFont="1" applyBorder="1" applyAlignment="1" applyProtection="1">
      <alignment horizontal="center" vertical="center"/>
      <protection/>
    </xf>
    <xf numFmtId="166" fontId="32" fillId="2" borderId="14" xfId="34" applyNumberFormat="1" applyFont="1" applyFill="1" applyBorder="1" applyAlignment="1" applyProtection="1">
      <alignment horizontal="center" vertical="center"/>
      <protection/>
    </xf>
    <xf numFmtId="0" fontId="39" fillId="4" borderId="14" xfId="34" applyFont="1" applyFill="1" applyBorder="1" applyAlignment="1" applyProtection="1">
      <alignment horizontal="center" vertical="center"/>
      <protection/>
    </xf>
    <xf numFmtId="0" fontId="24" fillId="0" borderId="14" xfId="34" applyFont="1" applyBorder="1" applyAlignment="1" applyProtection="1">
      <alignment horizontal="center" vertical="center"/>
      <protection/>
    </xf>
    <xf numFmtId="0" fontId="24" fillId="0" borderId="8" xfId="34" applyFont="1" applyBorder="1" applyAlignment="1" applyProtection="1">
      <alignment horizontal="center" vertical="center"/>
      <protection/>
    </xf>
    <xf numFmtId="0" fontId="24" fillId="0" borderId="8" xfId="34" applyFont="1" applyBorder="1" applyAlignment="1" applyProtection="1">
      <alignment horizontal="center" vertical="center" wrapText="1"/>
      <protection/>
    </xf>
    <xf numFmtId="0" fontId="24" fillId="0" borderId="14" xfId="34" applyFont="1" applyBorder="1" applyAlignment="1" applyProtection="1">
      <alignment horizontal="center" vertical="center" wrapText="1"/>
      <protection/>
    </xf>
    <xf numFmtId="0" fontId="39" fillId="5" borderId="14" xfId="34" applyFont="1" applyFill="1" applyBorder="1" applyAlignment="1">
      <alignment horizontal="center" vertical="center" wrapText="1"/>
      <protection/>
    </xf>
    <xf numFmtId="0" fontId="45" fillId="13" borderId="14" xfId="34" applyFont="1" applyFill="1" applyBorder="1" applyAlignment="1">
      <alignment horizontal="center" vertical="center" wrapText="1"/>
      <protection/>
    </xf>
    <xf numFmtId="0" fontId="83" fillId="3" borderId="8" xfId="34" applyFont="1" applyFill="1" applyBorder="1" applyAlignment="1" applyProtection="1">
      <alignment horizontal="centerContinuous" vertical="center" wrapText="1"/>
      <protection/>
    </xf>
    <xf numFmtId="0" fontId="84" fillId="3" borderId="15" xfId="34" applyFont="1" applyFill="1" applyBorder="1" applyAlignment="1">
      <alignment horizontal="centerContinuous"/>
      <protection/>
    </xf>
    <xf numFmtId="0" fontId="83" fillId="3" borderId="9" xfId="34" applyFont="1" applyFill="1" applyBorder="1" applyAlignment="1">
      <alignment horizontal="centerContinuous" vertical="center"/>
      <protection/>
    </xf>
    <xf numFmtId="0" fontId="39" fillId="14" borderId="8" xfId="34" applyFont="1" applyFill="1" applyBorder="1" applyAlignment="1">
      <alignment horizontal="centerContinuous" vertical="center" wrapText="1"/>
      <protection/>
    </xf>
    <xf numFmtId="0" fontId="40" fillId="14" borderId="15" xfId="34" applyFont="1" applyFill="1" applyBorder="1" applyAlignment="1">
      <alignment horizontal="centerContinuous"/>
      <protection/>
    </xf>
    <xf numFmtId="0" fontId="39" fillId="14" borderId="9" xfId="34" applyFont="1" applyFill="1" applyBorder="1" applyAlignment="1">
      <alignment horizontal="centerContinuous" vertical="center"/>
      <protection/>
    </xf>
    <xf numFmtId="0" fontId="39" fillId="8" borderId="14" xfId="34" applyFont="1" applyFill="1" applyBorder="1" applyAlignment="1">
      <alignment horizontal="centerContinuous" vertical="center" wrapText="1"/>
      <protection/>
    </xf>
    <xf numFmtId="0" fontId="39" fillId="15" borderId="14" xfId="34" applyFont="1" applyFill="1" applyBorder="1" applyAlignment="1">
      <alignment horizontal="centerContinuous" vertical="center" wrapText="1"/>
      <protection/>
    </xf>
    <xf numFmtId="0" fontId="24" fillId="0" borderId="9" xfId="34" applyFont="1" applyBorder="1" applyAlignment="1">
      <alignment horizontal="center" vertical="center" wrapText="1"/>
      <protection/>
    </xf>
    <xf numFmtId="0" fontId="24" fillId="0" borderId="14" xfId="34" applyFont="1" applyFill="1" applyBorder="1" applyAlignment="1">
      <alignment horizontal="center" vertical="center" wrapText="1"/>
      <protection/>
    </xf>
    <xf numFmtId="0" fontId="4" fillId="0" borderId="1" xfId="34" applyFont="1" applyFill="1" applyBorder="1" applyAlignment="1">
      <alignment horizontal="center"/>
      <protection/>
    </xf>
    <xf numFmtId="0" fontId="4" fillId="0" borderId="2" xfId="34" applyFont="1" applyBorder="1" applyAlignment="1">
      <alignment horizontal="center"/>
      <protection/>
    </xf>
    <xf numFmtId="0" fontId="19" fillId="0" borderId="2" xfId="34" applyFont="1" applyBorder="1">
      <alignment/>
      <protection/>
    </xf>
    <xf numFmtId="164" fontId="19" fillId="0" borderId="4" xfId="34" applyNumberFormat="1" applyFont="1" applyBorder="1" applyProtection="1">
      <alignment/>
      <protection/>
    </xf>
    <xf numFmtId="164" fontId="19" fillId="0" borderId="2" xfId="34" applyNumberFormat="1" applyFont="1" applyBorder="1" applyAlignment="1" applyProtection="1">
      <alignment horizontal="center"/>
      <protection/>
    </xf>
    <xf numFmtId="164" fontId="19" fillId="0" borderId="17" xfId="34" applyNumberFormat="1" applyFont="1" applyBorder="1" applyAlignment="1" applyProtection="1">
      <alignment horizontal="center"/>
      <protection/>
    </xf>
    <xf numFmtId="164" fontId="85" fillId="2" borderId="17" xfId="34" applyNumberFormat="1" applyFont="1" applyFill="1" applyBorder="1" applyAlignment="1" applyProtection="1">
      <alignment horizontal="center"/>
      <protection/>
    </xf>
    <xf numFmtId="0" fontId="86" fillId="4" borderId="17" xfId="34" applyFont="1" applyFill="1" applyBorder="1" applyAlignment="1">
      <alignment horizontal="center"/>
      <protection/>
    </xf>
    <xf numFmtId="0" fontId="19" fillId="0" borderId="17" xfId="34" applyFont="1" applyBorder="1" applyAlignment="1">
      <alignment horizontal="center"/>
      <protection/>
    </xf>
    <xf numFmtId="0" fontId="19" fillId="0" borderId="54" xfId="34" applyFont="1" applyBorder="1" applyAlignment="1">
      <alignment horizontal="center"/>
      <protection/>
    </xf>
    <xf numFmtId="0" fontId="4" fillId="0" borderId="4" xfId="34" applyFont="1" applyBorder="1" applyAlignment="1">
      <alignment horizontal="center"/>
      <protection/>
    </xf>
    <xf numFmtId="0" fontId="4" fillId="0" borderId="17" xfId="34" applyFont="1" applyBorder="1" applyAlignment="1">
      <alignment horizontal="center"/>
      <protection/>
    </xf>
    <xf numFmtId="0" fontId="41" fillId="5" borderId="17" xfId="34" applyFont="1" applyFill="1" applyBorder="1" applyAlignment="1">
      <alignment horizontal="center"/>
      <protection/>
    </xf>
    <xf numFmtId="0" fontId="76" fillId="13" borderId="17" xfId="34" applyFont="1" applyFill="1" applyBorder="1" applyAlignment="1">
      <alignment horizontal="center"/>
      <protection/>
    </xf>
    <xf numFmtId="166" fontId="87" fillId="3" borderId="32" xfId="34" applyNumberFormat="1" applyFont="1" applyFill="1" applyBorder="1" applyAlignment="1" applyProtection="1" quotePrefix="1">
      <alignment horizontal="center"/>
      <protection/>
    </xf>
    <xf numFmtId="166" fontId="87" fillId="3" borderId="55" xfId="34" applyNumberFormat="1" applyFont="1" applyFill="1" applyBorder="1" applyAlignment="1" applyProtection="1" quotePrefix="1">
      <alignment horizontal="center"/>
      <protection/>
    </xf>
    <xf numFmtId="4" fontId="87" fillId="3" borderId="56" xfId="34" applyNumberFormat="1" applyFont="1" applyFill="1" applyBorder="1" applyAlignment="1" applyProtection="1">
      <alignment horizontal="center"/>
      <protection/>
    </xf>
    <xf numFmtId="166" fontId="41" fillId="14" borderId="32" xfId="34" applyNumberFormat="1" applyFont="1" applyFill="1" applyBorder="1" applyAlignment="1" applyProtection="1" quotePrefix="1">
      <alignment horizontal="center"/>
      <protection/>
    </xf>
    <xf numFmtId="166" fontId="41" fillId="14" borderId="55" xfId="34" applyNumberFormat="1" applyFont="1" applyFill="1" applyBorder="1" applyAlignment="1" applyProtection="1" quotePrefix="1">
      <alignment horizontal="center"/>
      <protection/>
    </xf>
    <xf numFmtId="4" fontId="41" fillId="14" borderId="56" xfId="34" applyNumberFormat="1" applyFont="1" applyFill="1" applyBorder="1" applyAlignment="1" applyProtection="1">
      <alignment horizontal="center"/>
      <protection/>
    </xf>
    <xf numFmtId="4" fontId="41" fillId="8" borderId="17" xfId="34" applyNumberFormat="1" applyFont="1" applyFill="1" applyBorder="1" applyAlignment="1" applyProtection="1">
      <alignment horizontal="center"/>
      <protection/>
    </xf>
    <xf numFmtId="4" fontId="41" fillId="15" borderId="17" xfId="34" applyNumberFormat="1" applyFont="1" applyFill="1" applyBorder="1" applyAlignment="1" applyProtection="1">
      <alignment horizontal="center"/>
      <protection/>
    </xf>
    <xf numFmtId="0" fontId="4" fillId="0" borderId="56" xfId="34" applyFont="1" applyBorder="1" applyAlignment="1">
      <alignment horizontal="left"/>
      <protection/>
    </xf>
    <xf numFmtId="0" fontId="7" fillId="0" borderId="56" xfId="34" applyFont="1" applyBorder="1" applyAlignment="1">
      <alignment horizontal="center"/>
      <protection/>
    </xf>
    <xf numFmtId="0" fontId="4" fillId="0" borderId="2" xfId="33" applyFont="1" applyBorder="1" applyAlignment="1">
      <alignment horizontal="center"/>
      <protection/>
    </xf>
    <xf numFmtId="164" fontId="4" fillId="0" borderId="4" xfId="33" applyNumberFormat="1" applyFont="1" applyBorder="1" applyAlignment="1" applyProtection="1">
      <alignment horizontal="center"/>
      <protection/>
    </xf>
    <xf numFmtId="165" fontId="4" fillId="0" borderId="2" xfId="33" applyNumberFormat="1" applyFont="1" applyBorder="1" applyAlignment="1" applyProtection="1">
      <alignment horizontal="center"/>
      <protection/>
    </xf>
    <xf numFmtId="164" fontId="4" fillId="0" borderId="2" xfId="33" applyNumberFormat="1" applyFont="1" applyBorder="1" applyAlignment="1" applyProtection="1">
      <alignment horizontal="center"/>
      <protection/>
    </xf>
    <xf numFmtId="0" fontId="85" fillId="2" borderId="2" xfId="34" applyFont="1" applyFill="1" applyBorder="1" applyAlignment="1" applyProtection="1">
      <alignment horizontal="center"/>
      <protection/>
    </xf>
    <xf numFmtId="166" fontId="86" fillId="4" borderId="2" xfId="34" applyNumberFormat="1" applyFont="1" applyFill="1" applyBorder="1" applyAlignment="1" applyProtection="1">
      <alignment horizontal="center"/>
      <protection/>
    </xf>
    <xf numFmtId="22" fontId="4" fillId="0" borderId="2" xfId="33" applyNumberFormat="1" applyFont="1" applyBorder="1" applyAlignment="1">
      <alignment horizontal="center"/>
      <protection/>
    </xf>
    <xf numFmtId="22" fontId="4" fillId="0" borderId="24" xfId="33" applyNumberFormat="1" applyFont="1" applyBorder="1" applyAlignment="1">
      <alignment horizontal="center"/>
      <protection/>
    </xf>
    <xf numFmtId="4" fontId="4" fillId="0" borderId="2" xfId="34" applyNumberFormat="1" applyFont="1" applyFill="1" applyBorder="1" applyAlignment="1" applyProtection="1" quotePrefix="1">
      <alignment horizontal="center"/>
      <protection/>
    </xf>
    <xf numFmtId="164" fontId="4" fillId="0" borderId="2" xfId="34" applyNumberFormat="1" applyFont="1" applyFill="1" applyBorder="1" applyAlignment="1" applyProtection="1" quotePrefix="1">
      <alignment horizontal="center"/>
      <protection/>
    </xf>
    <xf numFmtId="166" fontId="4" fillId="0" borderId="4" xfId="33" applyNumberFormat="1" applyFont="1" applyBorder="1" applyAlignment="1" applyProtection="1">
      <alignment horizontal="center"/>
      <protection/>
    </xf>
    <xf numFmtId="168" fontId="4" fillId="0" borderId="4" xfId="34" applyNumberFormat="1" applyFont="1" applyBorder="1" applyAlignment="1" applyProtection="1" quotePrefix="1">
      <alignment horizontal="center"/>
      <protection/>
    </xf>
    <xf numFmtId="166" fontId="4" fillId="0" borderId="2" xfId="34" applyNumberFormat="1" applyFont="1" applyBorder="1" applyAlignment="1" applyProtection="1">
      <alignment horizontal="center"/>
      <protection/>
    </xf>
    <xf numFmtId="2" fontId="41" fillId="5" borderId="2" xfId="34" applyNumberFormat="1" applyFont="1" applyFill="1" applyBorder="1" applyAlignment="1" applyProtection="1">
      <alignment horizontal="center"/>
      <protection/>
    </xf>
    <xf numFmtId="2" fontId="76" fillId="13" borderId="2" xfId="34" applyNumberFormat="1" applyFont="1" applyFill="1" applyBorder="1" applyAlignment="1" applyProtection="1">
      <alignment horizontal="center"/>
      <protection/>
    </xf>
    <xf numFmtId="166" fontId="87" fillId="3" borderId="22" xfId="34" applyNumberFormat="1" applyFont="1" applyFill="1" applyBorder="1" applyAlignment="1" applyProtection="1" quotePrefix="1">
      <alignment horizontal="center"/>
      <protection/>
    </xf>
    <xf numFmtId="166" fontId="87" fillId="3" borderId="23" xfId="34" applyNumberFormat="1" applyFont="1" applyFill="1" applyBorder="1" applyAlignment="1" applyProtection="1" quotePrefix="1">
      <alignment horizontal="center"/>
      <protection/>
    </xf>
    <xf numFmtId="4" fontId="87" fillId="3" borderId="4" xfId="34" applyNumberFormat="1" applyFont="1" applyFill="1" applyBorder="1" applyAlignment="1" applyProtection="1">
      <alignment horizontal="center"/>
      <protection/>
    </xf>
    <xf numFmtId="166" fontId="41" fillId="14" borderId="22" xfId="34" applyNumberFormat="1" applyFont="1" applyFill="1" applyBorder="1" applyAlignment="1" applyProtection="1" quotePrefix="1">
      <alignment horizontal="center"/>
      <protection/>
    </xf>
    <xf numFmtId="166" fontId="41" fillId="14" borderId="23" xfId="34" applyNumberFormat="1" applyFont="1" applyFill="1" applyBorder="1" applyAlignment="1" applyProtection="1" quotePrefix="1">
      <alignment horizontal="center"/>
      <protection/>
    </xf>
    <xf numFmtId="4" fontId="41" fillId="14" borderId="4" xfId="34" applyNumberFormat="1" applyFont="1" applyFill="1" applyBorder="1" applyAlignment="1" applyProtection="1">
      <alignment horizontal="center"/>
      <protection/>
    </xf>
    <xf numFmtId="4" fontId="41" fillId="8" borderId="2" xfId="34" applyNumberFormat="1" applyFont="1" applyFill="1" applyBorder="1" applyAlignment="1" applyProtection="1">
      <alignment horizontal="center"/>
      <protection/>
    </xf>
    <xf numFmtId="4" fontId="41" fillId="15" borderId="2" xfId="34" applyNumberFormat="1" applyFont="1" applyFill="1" applyBorder="1" applyAlignment="1" applyProtection="1">
      <alignment horizontal="center"/>
      <protection/>
    </xf>
    <xf numFmtId="4" fontId="4" fillId="0" borderId="4" xfId="34" applyNumberFormat="1" applyFont="1" applyBorder="1" applyAlignment="1" applyProtection="1">
      <alignment horizontal="center"/>
      <protection/>
    </xf>
    <xf numFmtId="4" fontId="7" fillId="0" borderId="4" xfId="34" applyNumberFormat="1" applyFont="1" applyFill="1" applyBorder="1" applyAlignment="1">
      <alignment horizontal="right"/>
      <protection/>
    </xf>
    <xf numFmtId="4" fontId="4" fillId="0" borderId="1" xfId="34" applyNumberFormat="1" applyFont="1" applyFill="1" applyBorder="1" applyAlignment="1">
      <alignment horizontal="center"/>
      <protection/>
    </xf>
    <xf numFmtId="0" fontId="4" fillId="0" borderId="3" xfId="34" applyFont="1" applyFill="1" applyBorder="1" applyAlignment="1">
      <alignment horizontal="center"/>
      <protection/>
    </xf>
    <xf numFmtId="0" fontId="19" fillId="0" borderId="3" xfId="34" applyFont="1" applyBorder="1" applyAlignment="1">
      <alignment horizontal="center"/>
      <protection/>
    </xf>
    <xf numFmtId="164" fontId="88" fillId="0" borderId="3" xfId="34" applyNumberFormat="1" applyFont="1" applyBorder="1" applyAlignment="1" applyProtection="1">
      <alignment horizontal="center"/>
      <protection/>
    </xf>
    <xf numFmtId="0" fontId="19" fillId="0" borderId="3" xfId="34" applyFont="1" applyBorder="1" applyAlignment="1" applyProtection="1">
      <alignment horizontal="center"/>
      <protection/>
    </xf>
    <xf numFmtId="165" fontId="19" fillId="0" borderId="3" xfId="34" applyNumberFormat="1" applyFont="1" applyBorder="1" applyAlignment="1" applyProtection="1">
      <alignment horizontal="center"/>
      <protection/>
    </xf>
    <xf numFmtId="165" fontId="85" fillId="2" borderId="3" xfId="34" applyNumberFormat="1" applyFont="1" applyFill="1" applyBorder="1" applyAlignment="1" applyProtection="1">
      <alignment horizontal="center"/>
      <protection/>
    </xf>
    <xf numFmtId="166" fontId="86" fillId="4" borderId="3" xfId="34" applyNumberFormat="1" applyFont="1" applyFill="1" applyBorder="1" applyAlignment="1" applyProtection="1">
      <alignment horizontal="center"/>
      <protection/>
    </xf>
    <xf numFmtId="166" fontId="19" fillId="0" borderId="3" xfId="34" applyNumberFormat="1" applyFont="1" applyBorder="1" applyAlignment="1" applyProtection="1">
      <alignment horizontal="center"/>
      <protection/>
    </xf>
    <xf numFmtId="166" fontId="4" fillId="0" borderId="3" xfId="34" applyNumberFormat="1" applyFont="1" applyBorder="1" applyAlignment="1" applyProtection="1">
      <alignment horizontal="center"/>
      <protection/>
    </xf>
    <xf numFmtId="168" fontId="4" fillId="0" borderId="3" xfId="34" applyNumberFormat="1" applyFont="1" applyBorder="1" applyAlignment="1" applyProtection="1" quotePrefix="1">
      <alignment horizontal="center"/>
      <protection/>
    </xf>
    <xf numFmtId="2" fontId="41" fillId="5" borderId="3" xfId="34" applyNumberFormat="1" applyFont="1" applyFill="1" applyBorder="1" applyAlignment="1" applyProtection="1">
      <alignment horizontal="center"/>
      <protection/>
    </xf>
    <xf numFmtId="2" fontId="76" fillId="13" borderId="3" xfId="34" applyNumberFormat="1" applyFont="1" applyFill="1" applyBorder="1" applyAlignment="1" applyProtection="1">
      <alignment horizontal="center"/>
      <protection/>
    </xf>
    <xf numFmtId="166" fontId="87" fillId="3" borderId="25" xfId="34" applyNumberFormat="1" applyFont="1" applyFill="1" applyBorder="1" applyAlignment="1" applyProtection="1" quotePrefix="1">
      <alignment horizontal="center"/>
      <protection/>
    </xf>
    <xf numFmtId="166" fontId="87" fillId="3" borderId="57" xfId="34" applyNumberFormat="1" applyFont="1" applyFill="1" applyBorder="1" applyAlignment="1" applyProtection="1" quotePrefix="1">
      <alignment horizontal="center"/>
      <protection/>
    </xf>
    <xf numFmtId="4" fontId="87" fillId="3" borderId="20" xfId="34" applyNumberFormat="1" applyFont="1" applyFill="1" applyBorder="1" applyAlignment="1" applyProtection="1">
      <alignment horizontal="center"/>
      <protection/>
    </xf>
    <xf numFmtId="166" fontId="41" fillId="14" borderId="25" xfId="34" applyNumberFormat="1" applyFont="1" applyFill="1" applyBorder="1" applyAlignment="1" applyProtection="1" quotePrefix="1">
      <alignment horizontal="center"/>
      <protection/>
    </xf>
    <xf numFmtId="166" fontId="41" fillId="14" borderId="57" xfId="34" applyNumberFormat="1" applyFont="1" applyFill="1" applyBorder="1" applyAlignment="1" applyProtection="1" quotePrefix="1">
      <alignment horizontal="center"/>
      <protection/>
    </xf>
    <xf numFmtId="4" fontId="41" fillId="14" borderId="20" xfId="34" applyNumberFormat="1" applyFont="1" applyFill="1" applyBorder="1" applyAlignment="1" applyProtection="1">
      <alignment horizontal="center"/>
      <protection/>
    </xf>
    <xf numFmtId="4" fontId="41" fillId="8" borderId="3" xfId="34" applyNumberFormat="1" applyFont="1" applyFill="1" applyBorder="1" applyAlignment="1" applyProtection="1">
      <alignment horizontal="center"/>
      <protection/>
    </xf>
    <xf numFmtId="4" fontId="41" fillId="15" borderId="3" xfId="34" applyNumberFormat="1" applyFont="1" applyFill="1" applyBorder="1" applyAlignment="1" applyProtection="1">
      <alignment horizontal="center"/>
      <protection/>
    </xf>
    <xf numFmtId="4" fontId="6" fillId="0" borderId="3" xfId="34" applyNumberFormat="1" applyFont="1" applyBorder="1" applyAlignment="1" applyProtection="1">
      <alignment horizontal="center"/>
      <protection/>
    </xf>
    <xf numFmtId="166" fontId="25" fillId="0" borderId="3" xfId="34" applyNumberFormat="1" applyFont="1" applyFill="1" applyBorder="1" applyAlignment="1">
      <alignment horizontal="center"/>
      <protection/>
    </xf>
    <xf numFmtId="164" fontId="88" fillId="0" borderId="0" xfId="34" applyNumberFormat="1" applyFont="1" applyBorder="1" applyAlignment="1" applyProtection="1">
      <alignment horizontal="center"/>
      <protection/>
    </xf>
    <xf numFmtId="165" fontId="19" fillId="0" borderId="0" xfId="34" applyNumberFormat="1" applyFont="1" applyBorder="1" applyAlignment="1" applyProtection="1">
      <alignment horizontal="center"/>
      <protection/>
    </xf>
    <xf numFmtId="166" fontId="19" fillId="0" borderId="0" xfId="34" applyNumberFormat="1" applyFont="1" applyBorder="1" applyAlignment="1" applyProtection="1">
      <alignment horizontal="center"/>
      <protection/>
    </xf>
    <xf numFmtId="168" fontId="19" fillId="0" borderId="0" xfId="34" applyNumberFormat="1" applyFont="1" applyBorder="1" applyAlignment="1" applyProtection="1" quotePrefix="1">
      <alignment horizontal="center"/>
      <protection/>
    </xf>
    <xf numFmtId="2" fontId="86" fillId="5" borderId="14" xfId="34" applyNumberFormat="1" applyFont="1" applyFill="1" applyBorder="1" applyAlignment="1" applyProtection="1">
      <alignment horizontal="center"/>
      <protection/>
    </xf>
    <xf numFmtId="2" fontId="74" fillId="13" borderId="14" xfId="34" applyNumberFormat="1" applyFont="1" applyFill="1" applyBorder="1" applyAlignment="1" applyProtection="1">
      <alignment horizontal="center"/>
      <protection/>
    </xf>
    <xf numFmtId="2" fontId="89" fillId="3" borderId="14" xfId="34" applyNumberFormat="1" applyFont="1" applyFill="1" applyBorder="1" applyAlignment="1" applyProtection="1">
      <alignment horizontal="center"/>
      <protection/>
    </xf>
    <xf numFmtId="2" fontId="86" fillId="14" borderId="14" xfId="34" applyNumberFormat="1" applyFont="1" applyFill="1" applyBorder="1" applyAlignment="1" applyProtection="1">
      <alignment horizontal="center"/>
      <protection/>
    </xf>
    <xf numFmtId="2" fontId="86" fillId="8" borderId="14" xfId="34" applyNumberFormat="1" applyFont="1" applyFill="1" applyBorder="1" applyAlignment="1" applyProtection="1">
      <alignment horizontal="center"/>
      <protection/>
    </xf>
    <xf numFmtId="2" fontId="86" fillId="15" borderId="14" xfId="34" applyNumberFormat="1" applyFont="1" applyFill="1" applyBorder="1" applyAlignment="1" applyProtection="1">
      <alignment horizontal="center"/>
      <protection/>
    </xf>
    <xf numFmtId="2" fontId="19" fillId="0" borderId="31" xfId="34" applyNumberFormat="1" applyFont="1" applyBorder="1" applyAlignment="1" applyProtection="1">
      <alignment horizontal="center"/>
      <protection/>
    </xf>
    <xf numFmtId="7" fontId="7" fillId="0" borderId="14" xfId="34" applyNumberFormat="1" applyFont="1" applyBorder="1" applyAlignment="1" applyProtection="1">
      <alignment horizontal="right"/>
      <protection/>
    </xf>
    <xf numFmtId="2" fontId="86" fillId="0" borderId="15" xfId="34" applyNumberFormat="1" applyFont="1" applyFill="1" applyBorder="1" applyAlignment="1" applyProtection="1">
      <alignment horizontal="center"/>
      <protection/>
    </xf>
    <xf numFmtId="2" fontId="74" fillId="0" borderId="15" xfId="34" applyNumberFormat="1" applyFont="1" applyFill="1" applyBorder="1" applyAlignment="1" applyProtection="1">
      <alignment horizontal="center"/>
      <protection/>
    </xf>
    <xf numFmtId="2" fontId="89" fillId="0" borderId="15" xfId="34" applyNumberFormat="1" applyFont="1" applyFill="1" applyBorder="1" applyAlignment="1" applyProtection="1">
      <alignment horizontal="center"/>
      <protection/>
    </xf>
    <xf numFmtId="2" fontId="19" fillId="0" borderId="0" xfId="34" applyNumberFormat="1" applyFont="1" applyBorder="1" applyAlignment="1" applyProtection="1">
      <alignment horizontal="center"/>
      <protection/>
    </xf>
    <xf numFmtId="7" fontId="19" fillId="0" borderId="0" xfId="34" applyNumberFormat="1" applyFont="1" applyBorder="1" applyAlignment="1" applyProtection="1">
      <alignment horizontal="center"/>
      <protection/>
    </xf>
    <xf numFmtId="0" fontId="4" fillId="0" borderId="7" xfId="34" applyFont="1" applyFill="1" applyBorder="1">
      <alignment/>
      <protection/>
    </xf>
    <xf numFmtId="0" fontId="24" fillId="0" borderId="14" xfId="34" applyFont="1" applyFill="1" applyBorder="1" applyAlignment="1">
      <alignment horizontal="center" vertical="center"/>
      <protection/>
    </xf>
    <xf numFmtId="0" fontId="24" fillId="0" borderId="14" xfId="34" applyFont="1" applyFill="1" applyBorder="1" applyAlignment="1" applyProtection="1">
      <alignment horizontal="center" vertical="center" wrapText="1"/>
      <protection/>
    </xf>
    <xf numFmtId="0" fontId="24" fillId="0" borderId="14" xfId="34" applyFont="1" applyFill="1" applyBorder="1" applyAlignment="1" applyProtection="1">
      <alignment horizontal="center" vertical="center"/>
      <protection/>
    </xf>
    <xf numFmtId="0" fontId="24" fillId="0" borderId="14" xfId="34" applyFont="1" applyFill="1" applyBorder="1" applyAlignment="1" applyProtection="1" quotePrefix="1">
      <alignment horizontal="center" vertical="center" wrapText="1"/>
      <protection/>
    </xf>
    <xf numFmtId="0" fontId="32" fillId="2" borderId="14" xfId="34" applyFont="1" applyFill="1" applyBorder="1" applyAlignment="1" applyProtection="1">
      <alignment horizontal="center" vertical="center"/>
      <protection/>
    </xf>
    <xf numFmtId="0" fontId="32" fillId="16" borderId="14" xfId="34" applyFont="1" applyFill="1" applyBorder="1" applyAlignment="1" applyProtection="1">
      <alignment horizontal="center" vertical="center"/>
      <protection/>
    </xf>
    <xf numFmtId="0" fontId="24" fillId="0" borderId="8" xfId="34" applyFont="1" applyFill="1" applyBorder="1" applyAlignment="1" applyProtection="1">
      <alignment horizontal="centerContinuous" vertical="center"/>
      <protection/>
    </xf>
    <xf numFmtId="0" fontId="24" fillId="0" borderId="15" xfId="34" applyFont="1" applyFill="1" applyBorder="1" applyAlignment="1" applyProtection="1">
      <alignment horizontal="centerContinuous" vertical="center"/>
      <protection/>
    </xf>
    <xf numFmtId="0" fontId="39" fillId="17" borderId="14" xfId="34" applyFont="1" applyFill="1" applyBorder="1" applyAlignment="1">
      <alignment horizontal="center" vertical="center" wrapText="1"/>
      <protection/>
    </xf>
    <xf numFmtId="0" fontId="39" fillId="18" borderId="8" xfId="34" applyFont="1" applyFill="1" applyBorder="1" applyAlignment="1" applyProtection="1">
      <alignment horizontal="centerContinuous" vertical="center" wrapText="1"/>
      <protection/>
    </xf>
    <xf numFmtId="0" fontId="39" fillId="18" borderId="9" xfId="34" applyFont="1" applyFill="1" applyBorder="1" applyAlignment="1">
      <alignment horizontal="centerContinuous" vertical="center"/>
      <protection/>
    </xf>
    <xf numFmtId="0" fontId="39" fillId="3" borderId="14" xfId="34" applyFont="1" applyFill="1" applyBorder="1" applyAlignment="1">
      <alignment horizontal="centerContinuous" vertical="center" wrapText="1"/>
      <protection/>
    </xf>
    <xf numFmtId="0" fontId="39" fillId="16" borderId="58" xfId="34" applyFont="1" applyFill="1" applyBorder="1" applyAlignment="1">
      <alignment vertical="center" wrapText="1"/>
      <protection/>
    </xf>
    <xf numFmtId="0" fontId="39" fillId="16" borderId="16" xfId="34" applyFont="1" applyFill="1" applyBorder="1" applyAlignment="1">
      <alignment vertical="center" wrapText="1"/>
      <protection/>
    </xf>
    <xf numFmtId="0" fontId="39" fillId="16" borderId="31" xfId="34" applyFont="1" applyFill="1" applyBorder="1" applyAlignment="1">
      <alignment vertical="center" wrapText="1"/>
      <protection/>
    </xf>
    <xf numFmtId="0" fontId="24" fillId="0" borderId="14" xfId="34" applyFont="1" applyBorder="1" applyAlignment="1">
      <alignment horizontal="center" vertical="center" wrapText="1"/>
      <protection/>
    </xf>
    <xf numFmtId="0" fontId="4" fillId="0" borderId="2" xfId="34" applyFont="1" applyFill="1" applyBorder="1" applyAlignment="1">
      <alignment horizontal="center"/>
      <protection/>
    </xf>
    <xf numFmtId="164" fontId="4" fillId="0" borderId="2" xfId="34" applyNumberFormat="1" applyFont="1" applyFill="1" applyBorder="1" applyAlignment="1" applyProtection="1">
      <alignment horizontal="center"/>
      <protection/>
    </xf>
    <xf numFmtId="0" fontId="90" fillId="2" borderId="2" xfId="34" applyFont="1" applyFill="1" applyBorder="1" applyAlignment="1">
      <alignment horizontal="center"/>
      <protection/>
    </xf>
    <xf numFmtId="0" fontId="90" fillId="16" borderId="2" xfId="34" applyFont="1" applyFill="1" applyBorder="1" applyAlignment="1">
      <alignment horizontal="center"/>
      <protection/>
    </xf>
    <xf numFmtId="0" fontId="4" fillId="0" borderId="4" xfId="34" applyFont="1" applyFill="1" applyBorder="1" applyAlignment="1">
      <alignment horizontal="center"/>
      <protection/>
    </xf>
    <xf numFmtId="0" fontId="33" fillId="2" borderId="17" xfId="34" applyFont="1" applyFill="1" applyBorder="1" applyAlignment="1">
      <alignment horizontal="center"/>
      <protection/>
    </xf>
    <xf numFmtId="0" fontId="42" fillId="17" borderId="17" xfId="34" applyFont="1" applyFill="1" applyBorder="1" applyAlignment="1">
      <alignment horizontal="center"/>
      <protection/>
    </xf>
    <xf numFmtId="0" fontId="42" fillId="18" borderId="32" xfId="34" applyFont="1" applyFill="1" applyBorder="1" applyAlignment="1">
      <alignment horizontal="center"/>
      <protection/>
    </xf>
    <xf numFmtId="0" fontId="42" fillId="18" borderId="33" xfId="34" applyFont="1" applyFill="1" applyBorder="1" applyAlignment="1">
      <alignment horizontal="left"/>
      <protection/>
    </xf>
    <xf numFmtId="0" fontId="42" fillId="3" borderId="17" xfId="34" applyFont="1" applyFill="1" applyBorder="1" applyAlignment="1">
      <alignment horizontal="left"/>
      <protection/>
    </xf>
    <xf numFmtId="0" fontId="42" fillId="16" borderId="48" xfId="34" applyFont="1" applyFill="1" applyBorder="1" applyAlignment="1">
      <alignment horizontal="left"/>
      <protection/>
    </xf>
    <xf numFmtId="0" fontId="42" fillId="16" borderId="0" xfId="34" applyFont="1" applyFill="1" applyBorder="1" applyAlignment="1">
      <alignment horizontal="left"/>
      <protection/>
    </xf>
    <xf numFmtId="0" fontId="42" fillId="16" borderId="47" xfId="34" applyFont="1" applyFill="1" applyBorder="1" applyAlignment="1">
      <alignment horizontal="left"/>
      <protection/>
    </xf>
    <xf numFmtId="0" fontId="7" fillId="0" borderId="4" xfId="34" applyFont="1" applyFill="1" applyBorder="1" applyAlignment="1">
      <alignment horizontal="center"/>
      <protection/>
    </xf>
    <xf numFmtId="0" fontId="4" fillId="0" borderId="19" xfId="30" applyFont="1" applyBorder="1" applyAlignment="1" applyProtection="1">
      <alignment horizontal="center"/>
      <protection locked="0"/>
    </xf>
    <xf numFmtId="0" fontId="4" fillId="0" borderId="24" xfId="30" applyFont="1" applyBorder="1" applyAlignment="1" applyProtection="1">
      <alignment horizontal="center"/>
      <protection locked="0"/>
    </xf>
    <xf numFmtId="164" fontId="4" fillId="0" borderId="19" xfId="30" applyNumberFormat="1" applyFont="1" applyBorder="1" applyAlignment="1" applyProtection="1">
      <alignment horizontal="center"/>
      <protection locked="0"/>
    </xf>
    <xf numFmtId="1" fontId="4" fillId="0" borderId="38" xfId="30" applyNumberFormat="1" applyFont="1" applyBorder="1" applyAlignment="1" applyProtection="1">
      <alignment horizontal="center"/>
      <protection locked="0"/>
    </xf>
    <xf numFmtId="166" fontId="90" fillId="2" borderId="2" xfId="34" applyNumberFormat="1" applyFont="1" applyFill="1" applyBorder="1" applyAlignment="1" applyProtection="1">
      <alignment horizontal="center"/>
      <protection/>
    </xf>
    <xf numFmtId="166" fontId="90" fillId="16" borderId="2" xfId="34" applyNumberFormat="1" applyFont="1" applyFill="1" applyBorder="1" applyAlignment="1" applyProtection="1">
      <alignment horizontal="center"/>
      <protection/>
    </xf>
    <xf numFmtId="4" fontId="4" fillId="0" borderId="2" xfId="34" applyNumberFormat="1" applyFont="1" applyFill="1" applyBorder="1" applyAlignment="1" applyProtection="1">
      <alignment horizontal="center"/>
      <protection/>
    </xf>
    <xf numFmtId="3" fontId="4" fillId="0" borderId="2" xfId="34" applyNumberFormat="1" applyFont="1" applyFill="1" applyBorder="1" applyAlignment="1" applyProtection="1">
      <alignment horizontal="center"/>
      <protection/>
    </xf>
    <xf numFmtId="166" fontId="4" fillId="0" borderId="2" xfId="34" applyNumberFormat="1" applyFont="1" applyFill="1" applyBorder="1" applyAlignment="1" applyProtection="1">
      <alignment horizontal="center"/>
      <protection/>
    </xf>
    <xf numFmtId="166" fontId="4" fillId="0" borderId="2" xfId="34" applyNumberFormat="1" applyFont="1" applyBorder="1" applyAlignment="1" applyProtection="1" quotePrefix="1">
      <alignment horizontal="center"/>
      <protection/>
    </xf>
    <xf numFmtId="164" fontId="33" fillId="2" borderId="2" xfId="34" applyNumberFormat="1" applyFont="1" applyFill="1" applyBorder="1" applyAlignment="1" applyProtection="1">
      <alignment horizontal="center"/>
      <protection/>
    </xf>
    <xf numFmtId="2" fontId="41" fillId="17" borderId="2" xfId="34" applyNumberFormat="1" applyFont="1" applyFill="1" applyBorder="1" applyAlignment="1">
      <alignment horizontal="center"/>
      <protection/>
    </xf>
    <xf numFmtId="166" fontId="41" fillId="18" borderId="37" xfId="34" applyNumberFormat="1" applyFont="1" applyFill="1" applyBorder="1" applyAlignment="1" applyProtection="1" quotePrefix="1">
      <alignment horizontal="center"/>
      <protection/>
    </xf>
    <xf numFmtId="166" fontId="41" fillId="18" borderId="38" xfId="34" applyNumberFormat="1" applyFont="1" applyFill="1" applyBorder="1" applyAlignment="1" applyProtection="1" quotePrefix="1">
      <alignment horizontal="center"/>
      <protection/>
    </xf>
    <xf numFmtId="166" fontId="41" fillId="3" borderId="2" xfId="34" applyNumberFormat="1" applyFont="1" applyFill="1" applyBorder="1" applyAlignment="1" applyProtection="1" quotePrefix="1">
      <alignment horizontal="center"/>
      <protection/>
    </xf>
    <xf numFmtId="166" fontId="41" fillId="16" borderId="48" xfId="34" applyNumberFormat="1" applyFont="1" applyFill="1" applyBorder="1" applyAlignment="1" applyProtection="1" quotePrefix="1">
      <alignment horizontal="center"/>
      <protection/>
    </xf>
    <xf numFmtId="166" fontId="41" fillId="16" borderId="0" xfId="34" applyNumberFormat="1" applyFont="1" applyFill="1" applyBorder="1" applyAlignment="1" applyProtection="1" quotePrefix="1">
      <alignment horizontal="center"/>
      <protection/>
    </xf>
    <xf numFmtId="166" fontId="41" fillId="16" borderId="47" xfId="34" applyNumberFormat="1" applyFont="1" applyFill="1" applyBorder="1" applyAlignment="1" applyProtection="1" quotePrefix="1">
      <alignment horizontal="center"/>
      <protection/>
    </xf>
    <xf numFmtId="166" fontId="4" fillId="0" borderId="4" xfId="34" applyNumberFormat="1" applyFont="1" applyFill="1" applyBorder="1" applyAlignment="1">
      <alignment horizontal="center"/>
      <protection/>
    </xf>
    <xf numFmtId="4" fontId="26" fillId="0" borderId="4" xfId="34" applyNumberFormat="1" applyFont="1" applyFill="1" applyBorder="1" applyAlignment="1">
      <alignment horizontal="right"/>
      <protection/>
    </xf>
    <xf numFmtId="0" fontId="4" fillId="0" borderId="19" xfId="34" applyFont="1" applyBorder="1" applyAlignment="1" applyProtection="1">
      <alignment horizontal="center"/>
      <protection/>
    </xf>
    <xf numFmtId="0" fontId="4" fillId="0" borderId="24" xfId="34" applyFont="1" applyBorder="1" applyAlignment="1" applyProtection="1">
      <alignment horizontal="center"/>
      <protection/>
    </xf>
    <xf numFmtId="164" fontId="4" fillId="0" borderId="19" xfId="34" applyNumberFormat="1" applyFont="1" applyBorder="1" applyAlignment="1" applyProtection="1">
      <alignment horizontal="center"/>
      <protection/>
    </xf>
    <xf numFmtId="1" fontId="4" fillId="0" borderId="38" xfId="34" applyNumberFormat="1" applyFont="1" applyBorder="1" applyAlignment="1" applyProtection="1" quotePrefix="1">
      <alignment horizontal="center"/>
      <protection/>
    </xf>
    <xf numFmtId="22" fontId="4" fillId="0" borderId="2" xfId="34" applyNumberFormat="1" applyFont="1" applyFill="1" applyBorder="1" applyAlignment="1" applyProtection="1">
      <alignment horizontal="center"/>
      <protection/>
    </xf>
    <xf numFmtId="0" fontId="4" fillId="0" borderId="39" xfId="34" applyFont="1" applyBorder="1" applyAlignment="1" applyProtection="1">
      <alignment horizontal="center"/>
      <protection/>
    </xf>
    <xf numFmtId="0" fontId="4" fillId="0" borderId="59" xfId="34" applyFont="1" applyBorder="1" applyAlignment="1" applyProtection="1">
      <alignment horizontal="center"/>
      <protection/>
    </xf>
    <xf numFmtId="164" fontId="4" fillId="0" borderId="39" xfId="34" applyNumberFormat="1" applyFont="1" applyBorder="1" applyAlignment="1" applyProtection="1">
      <alignment horizontal="center"/>
      <protection/>
    </xf>
    <xf numFmtId="1" fontId="4" fillId="0" borderId="41" xfId="34" applyNumberFormat="1" applyFont="1" applyBorder="1" applyAlignment="1" applyProtection="1" quotePrefix="1">
      <alignment horizontal="center"/>
      <protection/>
    </xf>
    <xf numFmtId="166" fontId="90" fillId="2" borderId="3" xfId="34" applyNumberFormat="1" applyFont="1" applyFill="1" applyBorder="1" applyAlignment="1" applyProtection="1">
      <alignment horizontal="center"/>
      <protection/>
    </xf>
    <xf numFmtId="166" fontId="90" fillId="16" borderId="3" xfId="34" applyNumberFormat="1" applyFont="1" applyFill="1" applyBorder="1" applyAlignment="1" applyProtection="1">
      <alignment horizontal="center"/>
      <protection/>
    </xf>
    <xf numFmtId="22" fontId="4" fillId="0" borderId="3" xfId="34" applyNumberFormat="1" applyFont="1" applyFill="1" applyBorder="1" applyAlignment="1">
      <alignment horizontal="center"/>
      <protection/>
    </xf>
    <xf numFmtId="22" fontId="4" fillId="0" borderId="3" xfId="34" applyNumberFormat="1" applyFont="1" applyFill="1" applyBorder="1" applyAlignment="1" applyProtection="1">
      <alignment horizontal="center"/>
      <protection/>
    </xf>
    <xf numFmtId="4" fontId="4" fillId="0" borderId="3" xfId="34" applyNumberFormat="1" applyFont="1" applyFill="1" applyBorder="1" applyAlignment="1" applyProtection="1">
      <alignment horizontal="center"/>
      <protection/>
    </xf>
    <xf numFmtId="3" fontId="4" fillId="0" borderId="3" xfId="34" applyNumberFormat="1" applyFont="1" applyFill="1" applyBorder="1" applyAlignment="1" applyProtection="1">
      <alignment horizontal="center"/>
      <protection/>
    </xf>
    <xf numFmtId="166" fontId="4" fillId="0" borderId="3" xfId="34" applyNumberFormat="1" applyFont="1" applyFill="1" applyBorder="1" applyAlignment="1" applyProtection="1">
      <alignment horizontal="center"/>
      <protection/>
    </xf>
    <xf numFmtId="164" fontId="33" fillId="2" borderId="3" xfId="34" applyNumberFormat="1" applyFont="1" applyFill="1" applyBorder="1" applyAlignment="1" applyProtection="1">
      <alignment horizontal="center"/>
      <protection/>
    </xf>
    <xf numFmtId="2" fontId="42" fillId="17" borderId="3" xfId="34" applyNumberFormat="1" applyFont="1" applyFill="1" applyBorder="1" applyAlignment="1">
      <alignment horizontal="center"/>
      <protection/>
    </xf>
    <xf numFmtId="166" fontId="42" fillId="18" borderId="40" xfId="34" applyNumberFormat="1" applyFont="1" applyFill="1" applyBorder="1" applyAlignment="1" applyProtection="1" quotePrefix="1">
      <alignment horizontal="center"/>
      <protection/>
    </xf>
    <xf numFmtId="166" fontId="42" fillId="18" borderId="41" xfId="34" applyNumberFormat="1" applyFont="1" applyFill="1" applyBorder="1" applyAlignment="1" applyProtection="1" quotePrefix="1">
      <alignment horizontal="center"/>
      <protection/>
    </xf>
    <xf numFmtId="166" fontId="42" fillId="3" borderId="3" xfId="34" applyNumberFormat="1" applyFont="1" applyFill="1" applyBorder="1" applyAlignment="1" applyProtection="1" quotePrefix="1">
      <alignment horizontal="center"/>
      <protection/>
    </xf>
    <xf numFmtId="166" fontId="42" fillId="16" borderId="18" xfId="34" applyNumberFormat="1" applyFont="1" applyFill="1" applyBorder="1" applyAlignment="1" applyProtection="1" quotePrefix="1">
      <alignment horizontal="center"/>
      <protection/>
    </xf>
    <xf numFmtId="166" fontId="42" fillId="16" borderId="52" xfId="34" applyNumberFormat="1" applyFont="1" applyFill="1" applyBorder="1" applyAlignment="1" applyProtection="1" quotePrefix="1">
      <alignment horizontal="center"/>
      <protection/>
    </xf>
    <xf numFmtId="166" fontId="42" fillId="16" borderId="20" xfId="34" applyNumberFormat="1" applyFont="1" applyFill="1" applyBorder="1" applyAlignment="1" applyProtection="1" quotePrefix="1">
      <alignment horizontal="center"/>
      <protection/>
    </xf>
    <xf numFmtId="166" fontId="4" fillId="0" borderId="20" xfId="34" applyNumberFormat="1" applyFont="1" applyFill="1" applyBorder="1" applyAlignment="1">
      <alignment horizontal="center"/>
      <protection/>
    </xf>
    <xf numFmtId="4" fontId="26" fillId="0" borderId="20" xfId="34" applyNumberFormat="1" applyFont="1" applyFill="1" applyBorder="1" applyAlignment="1">
      <alignment horizontal="right"/>
      <protection/>
    </xf>
    <xf numFmtId="0" fontId="4" fillId="0" borderId="0" xfId="34" applyFont="1" applyFill="1" applyBorder="1" applyAlignment="1">
      <alignment horizontal="center"/>
      <protection/>
    </xf>
    <xf numFmtId="164" fontId="4" fillId="0" borderId="0" xfId="34" applyNumberFormat="1" applyFont="1" applyBorder="1" applyAlignment="1" applyProtection="1">
      <alignment horizontal="center"/>
      <protection/>
    </xf>
    <xf numFmtId="1" fontId="4" fillId="0" borderId="0" xfId="34" applyNumberFormat="1" applyFont="1" applyBorder="1" applyAlignment="1" applyProtection="1" quotePrefix="1">
      <alignment horizontal="center"/>
      <protection/>
    </xf>
    <xf numFmtId="166" fontId="4" fillId="0" borderId="0" xfId="34" applyNumberFormat="1" applyFont="1" applyFill="1" applyBorder="1" applyAlignment="1" applyProtection="1">
      <alignment horizontal="center"/>
      <protection/>
    </xf>
    <xf numFmtId="22" fontId="4" fillId="0" borderId="0" xfId="34" applyNumberFormat="1" applyFont="1" applyFill="1" applyBorder="1" applyAlignment="1">
      <alignment horizontal="center"/>
      <protection/>
    </xf>
    <xf numFmtId="22" fontId="4" fillId="0" borderId="0" xfId="34" applyNumberFormat="1" applyFont="1" applyFill="1" applyBorder="1" applyAlignment="1" applyProtection="1">
      <alignment horizontal="center"/>
      <protection/>
    </xf>
    <xf numFmtId="4" fontId="4" fillId="0" borderId="0" xfId="34" applyNumberFormat="1" applyFont="1" applyFill="1" applyBorder="1" applyAlignment="1" applyProtection="1">
      <alignment horizontal="center"/>
      <protection/>
    </xf>
    <xf numFmtId="3" fontId="4" fillId="0" borderId="0" xfId="34" applyNumberFormat="1" applyFont="1" applyFill="1" applyBorder="1" applyAlignment="1" applyProtection="1">
      <alignment horizontal="center"/>
      <protection/>
    </xf>
    <xf numFmtId="166" fontId="4" fillId="0" borderId="0" xfId="34" applyNumberFormat="1" applyFont="1" applyBorder="1" applyAlignment="1" applyProtection="1" quotePrefix="1">
      <alignment horizontal="center"/>
      <protection/>
    </xf>
    <xf numFmtId="166" fontId="4" fillId="0" borderId="0" xfId="34" applyNumberFormat="1" applyFont="1" applyBorder="1" applyAlignment="1" applyProtection="1">
      <alignment horizontal="center"/>
      <protection/>
    </xf>
    <xf numFmtId="164" fontId="4" fillId="0" borderId="16" xfId="34" applyNumberFormat="1" applyFont="1" applyFill="1" applyBorder="1" applyAlignment="1" applyProtection="1">
      <alignment horizontal="center"/>
      <protection/>
    </xf>
    <xf numFmtId="2" fontId="54" fillId="0" borderId="16" xfId="34" applyNumberFormat="1" applyFont="1" applyFill="1" applyBorder="1" applyAlignment="1">
      <alignment horizontal="center"/>
      <protection/>
    </xf>
    <xf numFmtId="166" fontId="6" fillId="0" borderId="16" xfId="34" applyNumberFormat="1" applyFont="1" applyFill="1" applyBorder="1" applyAlignment="1" applyProtection="1" quotePrefix="1">
      <alignment horizontal="center"/>
      <protection/>
    </xf>
    <xf numFmtId="166" fontId="4" fillId="0" borderId="16" xfId="34" applyNumberFormat="1" applyFont="1" applyFill="1" applyBorder="1" applyAlignment="1">
      <alignment horizontal="center"/>
      <protection/>
    </xf>
    <xf numFmtId="8" fontId="26" fillId="0" borderId="14" xfId="36" applyNumberFormat="1" applyFont="1" applyFill="1" applyBorder="1" applyAlignment="1">
      <alignment horizontal="right"/>
    </xf>
    <xf numFmtId="0" fontId="24" fillId="0" borderId="8" xfId="34" applyFont="1" applyFill="1" applyBorder="1" applyAlignment="1" applyProtection="1" quotePrefix="1">
      <alignment horizontal="center" vertical="center" wrapText="1"/>
      <protection/>
    </xf>
    <xf numFmtId="0" fontId="37" fillId="10" borderId="14" xfId="34" applyFont="1" applyFill="1" applyBorder="1" applyAlignment="1">
      <alignment horizontal="center" vertical="center" wrapText="1"/>
      <protection/>
    </xf>
    <xf numFmtId="0" fontId="57" fillId="6" borderId="8" xfId="34" applyFont="1" applyFill="1" applyBorder="1" applyAlignment="1" applyProtection="1">
      <alignment horizontal="centerContinuous" vertical="center" wrapText="1"/>
      <protection/>
    </xf>
    <xf numFmtId="0" fontId="57" fillId="6" borderId="9" xfId="34" applyFont="1" applyFill="1" applyBorder="1" applyAlignment="1">
      <alignment horizontal="centerContinuous" vertical="center"/>
      <protection/>
    </xf>
    <xf numFmtId="0" fontId="39" fillId="3" borderId="14" xfId="34" applyFont="1" applyFill="1" applyBorder="1" applyAlignment="1">
      <alignment horizontal="center" vertical="center" wrapText="1"/>
      <protection/>
    </xf>
    <xf numFmtId="0" fontId="4" fillId="0" borderId="56" xfId="34" applyFont="1" applyFill="1" applyBorder="1" applyAlignment="1">
      <alignment horizontal="center"/>
      <protection/>
    </xf>
    <xf numFmtId="164" fontId="42" fillId="4" borderId="2" xfId="34" applyNumberFormat="1" applyFont="1" applyFill="1" applyBorder="1" applyAlignment="1" applyProtection="1">
      <alignment horizontal="center"/>
      <protection/>
    </xf>
    <xf numFmtId="0" fontId="72" fillId="10" borderId="17" xfId="34" applyFont="1" applyFill="1" applyBorder="1" applyAlignment="1" applyProtection="1">
      <alignment horizontal="center"/>
      <protection/>
    </xf>
    <xf numFmtId="166" fontId="59" fillId="6" borderId="32" xfId="34" applyNumberFormat="1" applyFont="1" applyFill="1" applyBorder="1" applyAlignment="1" applyProtection="1" quotePrefix="1">
      <alignment horizontal="center"/>
      <protection/>
    </xf>
    <xf numFmtId="166" fontId="59" fillId="6" borderId="33" xfId="34" applyNumberFormat="1" applyFont="1" applyFill="1" applyBorder="1" applyAlignment="1" applyProtection="1" quotePrefix="1">
      <alignment horizontal="center"/>
      <protection/>
    </xf>
    <xf numFmtId="166" fontId="41" fillId="3" borderId="17" xfId="34" applyNumberFormat="1" applyFont="1" applyFill="1" applyBorder="1" applyAlignment="1" applyProtection="1" quotePrefix="1">
      <alignment horizontal="center"/>
      <protection/>
    </xf>
    <xf numFmtId="0" fontId="4" fillId="0" borderId="21" xfId="30" applyFont="1" applyBorder="1" applyAlignment="1" applyProtection="1">
      <alignment horizontal="center"/>
      <protection locked="0"/>
    </xf>
    <xf numFmtId="164" fontId="4" fillId="0" borderId="2" xfId="30" applyNumberFormat="1" applyFont="1" applyBorder="1" applyAlignment="1" applyProtection="1" quotePrefix="1">
      <alignment horizontal="center"/>
      <protection locked="0"/>
    </xf>
    <xf numFmtId="22" fontId="4" fillId="0" borderId="22" xfId="30" applyNumberFormat="1" applyFont="1" applyBorder="1" applyAlignment="1" applyProtection="1">
      <alignment horizontal="center"/>
      <protection locked="0"/>
    </xf>
    <xf numFmtId="22" fontId="4" fillId="0" borderId="2" xfId="30" applyNumberFormat="1" applyFont="1" applyBorder="1" applyAlignment="1" applyProtection="1">
      <alignment horizontal="center"/>
      <protection locked="0"/>
    </xf>
    <xf numFmtId="2" fontId="72" fillId="10" borderId="2" xfId="34" applyNumberFormat="1" applyFont="1" applyFill="1" applyBorder="1" applyAlignment="1" applyProtection="1">
      <alignment horizontal="center"/>
      <protection/>
    </xf>
    <xf numFmtId="166" fontId="59" fillId="6" borderId="22" xfId="34" applyNumberFormat="1" applyFont="1" applyFill="1" applyBorder="1" applyAlignment="1" applyProtection="1" quotePrefix="1">
      <alignment horizontal="center"/>
      <protection/>
    </xf>
    <xf numFmtId="166" fontId="59" fillId="6" borderId="46" xfId="34" applyNumberFormat="1" applyFont="1" applyFill="1" applyBorder="1" applyAlignment="1" applyProtection="1" quotePrefix="1">
      <alignment horizontal="center"/>
      <protection/>
    </xf>
    <xf numFmtId="4" fontId="26" fillId="0" borderId="2" xfId="34" applyNumberFormat="1" applyFont="1" applyFill="1" applyBorder="1" applyAlignment="1">
      <alignment horizontal="right"/>
      <protection/>
    </xf>
    <xf numFmtId="0" fontId="4" fillId="0" borderId="21" xfId="37" applyFont="1" applyBorder="1" applyAlignment="1" applyProtection="1">
      <alignment horizontal="center"/>
      <protection locked="0"/>
    </xf>
    <xf numFmtId="164" fontId="4" fillId="0" borderId="36" xfId="34" applyNumberFormat="1" applyFont="1" applyBorder="1" applyAlignment="1" applyProtection="1">
      <alignment horizontal="center"/>
      <protection/>
    </xf>
    <xf numFmtId="22" fontId="4" fillId="0" borderId="22" xfId="37" applyNumberFormat="1" applyFont="1" applyBorder="1" applyAlignment="1" applyProtection="1">
      <alignment horizontal="center"/>
      <protection locked="0"/>
    </xf>
    <xf numFmtId="22" fontId="4" fillId="0" borderId="2" xfId="37" applyNumberFormat="1" applyFont="1" applyBorder="1" applyAlignment="1" applyProtection="1">
      <alignment horizontal="center"/>
      <protection locked="0"/>
    </xf>
    <xf numFmtId="164" fontId="4" fillId="0" borderId="64" xfId="34" applyNumberFormat="1" applyFont="1" applyBorder="1" applyAlignment="1" applyProtection="1">
      <alignment horizontal="center"/>
      <protection/>
    </xf>
    <xf numFmtId="164" fontId="4" fillId="0" borderId="0" xfId="34" applyNumberFormat="1" applyFont="1" applyFill="1" applyBorder="1" applyAlignment="1" applyProtection="1">
      <alignment horizontal="center"/>
      <protection/>
    </xf>
    <xf numFmtId="2" fontId="54" fillId="0" borderId="0" xfId="34" applyNumberFormat="1" applyFont="1" applyFill="1" applyBorder="1" applyAlignment="1">
      <alignment horizontal="center"/>
      <protection/>
    </xf>
    <xf numFmtId="166" fontId="6" fillId="0" borderId="0" xfId="34" applyNumberFormat="1" applyFont="1" applyFill="1" applyBorder="1" applyAlignment="1" applyProtection="1" quotePrefix="1">
      <alignment horizontal="center"/>
      <protection/>
    </xf>
    <xf numFmtId="166" fontId="4" fillId="0" borderId="0" xfId="34" applyNumberFormat="1" applyFont="1" applyFill="1" applyBorder="1" applyAlignment="1">
      <alignment horizontal="center"/>
      <protection/>
    </xf>
    <xf numFmtId="8" fontId="26" fillId="0" borderId="15" xfId="36" applyNumberFormat="1" applyFont="1" applyFill="1" applyBorder="1" applyAlignment="1">
      <alignment horizontal="right"/>
    </xf>
    <xf numFmtId="166" fontId="42" fillId="16" borderId="0" xfId="34" applyNumberFormat="1" applyFont="1" applyFill="1" applyBorder="1" applyAlignment="1" applyProtection="1" quotePrefix="1">
      <alignment horizontal="center"/>
      <protection/>
    </xf>
    <xf numFmtId="0" fontId="32" fillId="2" borderId="9" xfId="34" applyFont="1" applyFill="1" applyBorder="1" applyAlignment="1" applyProtection="1">
      <alignment horizontal="center" vertical="center"/>
      <protection/>
    </xf>
    <xf numFmtId="0" fontId="45" fillId="8" borderId="14" xfId="34" applyFont="1" applyFill="1" applyBorder="1" applyAlignment="1">
      <alignment horizontal="center" vertical="center" wrapText="1"/>
      <protection/>
    </xf>
    <xf numFmtId="0" fontId="43" fillId="12" borderId="8" xfId="34" applyFont="1" applyFill="1" applyBorder="1" applyAlignment="1" applyProtection="1">
      <alignment horizontal="centerContinuous" vertical="center" wrapText="1"/>
      <protection/>
    </xf>
    <xf numFmtId="0" fontId="43" fillId="12" borderId="9" xfId="34" applyFont="1" applyFill="1" applyBorder="1" applyAlignment="1">
      <alignment horizontal="centerContinuous" vertical="center"/>
      <protection/>
    </xf>
    <xf numFmtId="0" fontId="37" fillId="10" borderId="8" xfId="34" applyFont="1" applyFill="1" applyBorder="1" applyAlignment="1" applyProtection="1">
      <alignment horizontal="centerContinuous" vertical="center" wrapText="1"/>
      <protection/>
    </xf>
    <xf numFmtId="0" fontId="37" fillId="10" borderId="9" xfId="34" applyFont="1" applyFill="1" applyBorder="1" applyAlignment="1">
      <alignment horizontal="centerContinuous" vertical="center"/>
      <protection/>
    </xf>
    <xf numFmtId="0" fontId="46" fillId="6" borderId="14" xfId="34" applyFont="1" applyFill="1" applyBorder="1" applyAlignment="1">
      <alignment horizontal="center" vertical="center" wrapText="1"/>
      <protection/>
    </xf>
    <xf numFmtId="0" fontId="69" fillId="6" borderId="14" xfId="34" applyFont="1" applyFill="1" applyBorder="1" applyAlignment="1">
      <alignment horizontal="center" vertical="center" wrapText="1"/>
      <protection/>
    </xf>
    <xf numFmtId="0" fontId="45" fillId="0" borderId="14" xfId="34" applyFont="1" applyFill="1" applyBorder="1" applyAlignment="1">
      <alignment horizontal="center" vertical="center" wrapText="1"/>
      <protection/>
    </xf>
    <xf numFmtId="4" fontId="19" fillId="0" borderId="1" xfId="34" applyNumberFormat="1" applyFont="1" applyFill="1" applyBorder="1" applyAlignment="1">
      <alignment horizontal="center"/>
      <protection/>
    </xf>
    <xf numFmtId="0" fontId="4" fillId="0" borderId="30" xfId="34" applyFont="1" applyFill="1" applyBorder="1" applyAlignment="1">
      <alignment horizontal="center"/>
      <protection/>
    </xf>
    <xf numFmtId="0" fontId="4" fillId="0" borderId="47" xfId="34" applyFont="1" applyBorder="1" applyAlignment="1">
      <alignment horizontal="center"/>
      <protection/>
    </xf>
    <xf numFmtId="0" fontId="33" fillId="2" borderId="45" xfId="34" applyFont="1" applyFill="1" applyBorder="1" applyAlignment="1">
      <alignment horizontal="center"/>
      <protection/>
    </xf>
    <xf numFmtId="0" fontId="4" fillId="0" borderId="48" xfId="34" applyFont="1" applyBorder="1" applyAlignment="1">
      <alignment horizontal="center"/>
      <protection/>
    </xf>
    <xf numFmtId="0" fontId="4" fillId="0" borderId="45" xfId="34" applyFont="1" applyBorder="1" applyAlignment="1">
      <alignment horizontal="center"/>
      <protection/>
    </xf>
    <xf numFmtId="0" fontId="4" fillId="0" borderId="2" xfId="34" applyFont="1" applyBorder="1">
      <alignment/>
      <protection/>
    </xf>
    <xf numFmtId="0" fontId="33" fillId="2" borderId="0" xfId="34" applyFont="1" applyFill="1" applyBorder="1" applyAlignment="1">
      <alignment horizontal="center"/>
      <protection/>
    </xf>
    <xf numFmtId="0" fontId="76" fillId="8" borderId="30" xfId="34" applyFont="1" applyFill="1" applyBorder="1" applyAlignment="1">
      <alignment horizontal="center"/>
      <protection/>
    </xf>
    <xf numFmtId="0" fontId="44" fillId="12" borderId="34" xfId="34" applyFont="1" applyFill="1" applyBorder="1" applyAlignment="1">
      <alignment horizontal="center"/>
      <protection/>
    </xf>
    <xf numFmtId="0" fontId="44" fillId="12" borderId="35" xfId="34" applyFont="1" applyFill="1" applyBorder="1" applyAlignment="1">
      <alignment horizontal="center"/>
      <protection/>
    </xf>
    <xf numFmtId="0" fontId="72" fillId="10" borderId="34" xfId="34" applyFont="1" applyFill="1" applyBorder="1" applyAlignment="1">
      <alignment horizontal="center"/>
      <protection/>
    </xf>
    <xf numFmtId="0" fontId="72" fillId="10" borderId="35" xfId="34" applyFont="1" applyFill="1" applyBorder="1" applyAlignment="1">
      <alignment horizontal="center"/>
      <protection/>
    </xf>
    <xf numFmtId="0" fontId="47" fillId="6" borderId="30" xfId="34" applyFont="1" applyFill="1" applyBorder="1" applyAlignment="1">
      <alignment horizontal="center"/>
      <protection/>
    </xf>
    <xf numFmtId="0" fontId="4" fillId="0" borderId="30" xfId="34" applyFont="1" applyBorder="1" applyAlignment="1">
      <alignment horizontal="center"/>
      <protection/>
    </xf>
    <xf numFmtId="7" fontId="26" fillId="0" borderId="30" xfId="34" applyNumberFormat="1" applyFont="1" applyFill="1" applyBorder="1" applyAlignment="1">
      <alignment horizontal="center"/>
      <protection/>
    </xf>
    <xf numFmtId="0" fontId="9" fillId="0" borderId="19" xfId="33" applyFont="1" applyBorder="1" applyAlignment="1" applyProtection="1">
      <alignment horizontal="center"/>
      <protection locked="0"/>
    </xf>
    <xf numFmtId="169" fontId="33" fillId="2" borderId="19" xfId="34" applyNumberFormat="1" applyFont="1" applyFill="1" applyBorder="1" applyAlignment="1" applyProtection="1">
      <alignment horizontal="center"/>
      <protection/>
    </xf>
    <xf numFmtId="22" fontId="4" fillId="0" borderId="37" xfId="33" applyNumberFormat="1" applyFont="1" applyBorder="1" applyAlignment="1" applyProtection="1">
      <alignment horizontal="center"/>
      <protection locked="0"/>
    </xf>
    <xf numFmtId="22" fontId="4" fillId="0" borderId="19" xfId="33" applyNumberFormat="1" applyFont="1" applyBorder="1" applyAlignment="1" applyProtection="1">
      <alignment horizontal="center"/>
      <protection locked="0"/>
    </xf>
    <xf numFmtId="2" fontId="4" fillId="0" borderId="19" xfId="34" applyNumberFormat="1" applyFont="1" applyFill="1" applyBorder="1" applyAlignment="1" applyProtection="1" quotePrefix="1">
      <alignment horizontal="center"/>
      <protection/>
    </xf>
    <xf numFmtId="164" fontId="4" fillId="0" borderId="19" xfId="34" applyNumberFormat="1" applyFont="1" applyFill="1" applyBorder="1" applyAlignment="1" applyProtection="1" quotePrefix="1">
      <alignment horizontal="center"/>
      <protection/>
    </xf>
    <xf numFmtId="166" fontId="4" fillId="0" borderId="36" xfId="34" applyNumberFormat="1" applyFont="1" applyBorder="1" applyAlignment="1" applyProtection="1">
      <alignment horizontal="center"/>
      <protection/>
    </xf>
    <xf numFmtId="164" fontId="33" fillId="2" borderId="49" xfId="34" applyNumberFormat="1" applyFont="1" applyFill="1" applyBorder="1" applyAlignment="1" applyProtection="1">
      <alignment horizontal="center"/>
      <protection/>
    </xf>
    <xf numFmtId="2" fontId="76" fillId="8" borderId="38" xfId="34" applyNumberFormat="1" applyFont="1" applyFill="1" applyBorder="1" applyAlignment="1" applyProtection="1">
      <alignment horizontal="center"/>
      <protection/>
    </xf>
    <xf numFmtId="166" fontId="44" fillId="12" borderId="37" xfId="34" applyNumberFormat="1" applyFont="1" applyFill="1" applyBorder="1" applyAlignment="1" applyProtection="1" quotePrefix="1">
      <alignment horizontal="center"/>
      <protection/>
    </xf>
    <xf numFmtId="166" fontId="44" fillId="12" borderId="38" xfId="34" applyNumberFormat="1" applyFont="1" applyFill="1" applyBorder="1" applyAlignment="1" applyProtection="1" quotePrefix="1">
      <alignment horizontal="center"/>
      <protection/>
    </xf>
    <xf numFmtId="166" fontId="72" fillId="10" borderId="37" xfId="34" applyNumberFormat="1" applyFont="1" applyFill="1" applyBorder="1" applyAlignment="1" applyProtection="1" quotePrefix="1">
      <alignment horizontal="center"/>
      <protection/>
    </xf>
    <xf numFmtId="166" fontId="72" fillId="10" borderId="38" xfId="34" applyNumberFormat="1" applyFont="1" applyFill="1" applyBorder="1" applyAlignment="1" applyProtection="1" quotePrefix="1">
      <alignment horizontal="center"/>
      <protection/>
    </xf>
    <xf numFmtId="166" fontId="47" fillId="6" borderId="19" xfId="34" applyNumberFormat="1" applyFont="1" applyFill="1" applyBorder="1" applyAlignment="1" applyProtection="1" quotePrefix="1">
      <alignment horizontal="center"/>
      <protection/>
    </xf>
    <xf numFmtId="2" fontId="71" fillId="6" borderId="19" xfId="34" applyNumberFormat="1" applyFont="1" applyFill="1" applyBorder="1" applyAlignment="1" applyProtection="1">
      <alignment horizontal="center"/>
      <protection/>
    </xf>
    <xf numFmtId="166" fontId="4" fillId="0" borderId="19" xfId="34" applyNumberFormat="1" applyFont="1" applyBorder="1" applyAlignment="1" applyProtection="1">
      <alignment horizontal="center"/>
      <protection/>
    </xf>
    <xf numFmtId="4" fontId="26" fillId="0" borderId="19" xfId="34" applyNumberFormat="1" applyFont="1" applyFill="1" applyBorder="1" applyAlignment="1">
      <alignment horizontal="right"/>
      <protection/>
    </xf>
    <xf numFmtId="0" fontId="9" fillId="0" borderId="2" xfId="33" applyFont="1" applyBorder="1" applyAlignment="1" applyProtection="1">
      <alignment horizontal="center"/>
      <protection locked="0"/>
    </xf>
    <xf numFmtId="22" fontId="4" fillId="0" borderId="22" xfId="33" applyNumberFormat="1" applyFont="1" applyBorder="1" applyAlignment="1" applyProtection="1">
      <alignment horizontal="center"/>
      <protection locked="0"/>
    </xf>
    <xf numFmtId="22" fontId="4" fillId="0" borderId="21" xfId="33" applyNumberFormat="1" applyFont="1" applyBorder="1" applyAlignment="1" applyProtection="1">
      <alignment horizontal="center"/>
      <protection locked="0"/>
    </xf>
    <xf numFmtId="2" fontId="4" fillId="0" borderId="2" xfId="34" applyNumberFormat="1" applyFont="1" applyFill="1" applyBorder="1" applyAlignment="1" applyProtection="1" quotePrefix="1">
      <alignment horizontal="center"/>
      <protection/>
    </xf>
    <xf numFmtId="166" fontId="4" fillId="0" borderId="4" xfId="34" applyNumberFormat="1" applyFont="1" applyBorder="1" applyAlignment="1" applyProtection="1">
      <alignment horizontal="center"/>
      <protection locked="0"/>
    </xf>
    <xf numFmtId="2" fontId="71" fillId="6" borderId="2" xfId="34" applyNumberFormat="1" applyFont="1" applyFill="1" applyBorder="1" applyAlignment="1" applyProtection="1">
      <alignment horizontal="center"/>
      <protection/>
    </xf>
    <xf numFmtId="0" fontId="9" fillId="0" borderId="50" xfId="34" applyFont="1" applyBorder="1" applyAlignment="1" applyProtection="1">
      <alignment horizontal="center"/>
      <protection locked="0"/>
    </xf>
    <xf numFmtId="0" fontId="9" fillId="0" borderId="21" xfId="34" applyFont="1" applyBorder="1" applyAlignment="1" applyProtection="1">
      <alignment horizontal="center"/>
      <protection locked="0"/>
    </xf>
    <xf numFmtId="169" fontId="33" fillId="2" borderId="2" xfId="34" applyNumberFormat="1" applyFont="1" applyFill="1" applyBorder="1" applyAlignment="1" applyProtection="1">
      <alignment horizontal="center"/>
      <protection/>
    </xf>
    <xf numFmtId="22" fontId="4" fillId="0" borderId="22" xfId="34" applyNumberFormat="1" applyFont="1" applyBorder="1" applyAlignment="1" applyProtection="1">
      <alignment horizontal="center"/>
      <protection locked="0"/>
    </xf>
    <xf numFmtId="22" fontId="4" fillId="0" borderId="21" xfId="34" applyNumberFormat="1" applyFont="1" applyBorder="1" applyAlignment="1" applyProtection="1">
      <alignment horizontal="center"/>
      <protection locked="0"/>
    </xf>
    <xf numFmtId="2" fontId="76" fillId="8" borderId="2" xfId="34" applyNumberFormat="1" applyFont="1" applyFill="1" applyBorder="1" applyAlignment="1" applyProtection="1">
      <alignment horizontal="center"/>
      <protection/>
    </xf>
    <xf numFmtId="0" fontId="4" fillId="0" borderId="39" xfId="34" applyFont="1" applyFill="1" applyBorder="1" applyAlignment="1">
      <alignment horizontal="center"/>
      <protection/>
    </xf>
    <xf numFmtId="0" fontId="9" fillId="0" borderId="52" xfId="34" applyFont="1" applyBorder="1" applyAlignment="1" applyProtection="1">
      <alignment horizontal="center"/>
      <protection locked="0"/>
    </xf>
    <xf numFmtId="0" fontId="9" fillId="0" borderId="18" xfId="34" applyFont="1" applyBorder="1" applyAlignment="1" applyProtection="1">
      <alignment horizontal="center"/>
      <protection locked="0"/>
    </xf>
    <xf numFmtId="22" fontId="4" fillId="0" borderId="25" xfId="34" applyNumberFormat="1" applyFont="1" applyBorder="1" applyAlignment="1" applyProtection="1">
      <alignment horizontal="center"/>
      <protection locked="0"/>
    </xf>
    <xf numFmtId="22" fontId="4" fillId="0" borderId="18" xfId="34" applyNumberFormat="1" applyFont="1" applyBorder="1" applyAlignment="1" applyProtection="1">
      <alignment horizontal="center"/>
      <protection locked="0"/>
    </xf>
    <xf numFmtId="2" fontId="4" fillId="0" borderId="3" xfId="34" applyNumberFormat="1" applyFont="1" applyFill="1" applyBorder="1" applyAlignment="1" applyProtection="1" quotePrefix="1">
      <alignment horizontal="center"/>
      <protection/>
    </xf>
    <xf numFmtId="164" fontId="4" fillId="0" borderId="3" xfId="34" applyNumberFormat="1" applyFont="1" applyFill="1" applyBorder="1" applyAlignment="1" applyProtection="1" quotePrefix="1">
      <alignment horizontal="center"/>
      <protection/>
    </xf>
    <xf numFmtId="166" fontId="4" fillId="0" borderId="20" xfId="34" applyNumberFormat="1" applyFont="1" applyBorder="1" applyAlignment="1" applyProtection="1">
      <alignment horizontal="center"/>
      <protection locked="0"/>
    </xf>
    <xf numFmtId="168" fontId="4" fillId="0" borderId="20" xfId="34" applyNumberFormat="1" applyFont="1" applyBorder="1" applyAlignment="1" applyProtection="1" quotePrefix="1">
      <alignment horizontal="center"/>
      <protection/>
    </xf>
    <xf numFmtId="164" fontId="33" fillId="2" borderId="52" xfId="34" applyNumberFormat="1" applyFont="1" applyFill="1" applyBorder="1" applyAlignment="1" applyProtection="1">
      <alignment horizontal="center"/>
      <protection/>
    </xf>
    <xf numFmtId="2" fontId="76" fillId="8" borderId="3" xfId="34" applyNumberFormat="1" applyFont="1" applyFill="1" applyBorder="1" applyAlignment="1" applyProtection="1">
      <alignment horizontal="center"/>
      <protection/>
    </xf>
    <xf numFmtId="166" fontId="44" fillId="12" borderId="40" xfId="34" applyNumberFormat="1" applyFont="1" applyFill="1" applyBorder="1" applyAlignment="1" applyProtection="1" quotePrefix="1">
      <alignment horizontal="center"/>
      <protection/>
    </xf>
    <xf numFmtId="166" fontId="44" fillId="12" borderId="41" xfId="34" applyNumberFormat="1" applyFont="1" applyFill="1" applyBorder="1" applyAlignment="1" applyProtection="1" quotePrefix="1">
      <alignment horizontal="center"/>
      <protection/>
    </xf>
    <xf numFmtId="166" fontId="72" fillId="10" borderId="40" xfId="34" applyNumberFormat="1" applyFont="1" applyFill="1" applyBorder="1" applyAlignment="1" applyProtection="1" quotePrefix="1">
      <alignment horizontal="center"/>
      <protection/>
    </xf>
    <xf numFmtId="166" fontId="72" fillId="10" borderId="41" xfId="34" applyNumberFormat="1" applyFont="1" applyFill="1" applyBorder="1" applyAlignment="1" applyProtection="1" quotePrefix="1">
      <alignment horizontal="center"/>
      <protection/>
    </xf>
    <xf numFmtId="166" fontId="47" fillId="6" borderId="39" xfId="34" applyNumberFormat="1" applyFont="1" applyFill="1" applyBorder="1" applyAlignment="1" applyProtection="1" quotePrefix="1">
      <alignment horizontal="center"/>
      <protection/>
    </xf>
    <xf numFmtId="2" fontId="71" fillId="6" borderId="3" xfId="34" applyNumberFormat="1" applyFont="1" applyFill="1" applyBorder="1" applyAlignment="1" applyProtection="1">
      <alignment horizontal="center"/>
      <protection/>
    </xf>
    <xf numFmtId="4" fontId="26" fillId="0" borderId="3" xfId="34" applyNumberFormat="1" applyFont="1" applyFill="1" applyBorder="1" applyAlignment="1">
      <alignment horizontal="right"/>
      <protection/>
    </xf>
    <xf numFmtId="8" fontId="26" fillId="0" borderId="0" xfId="36" applyNumberFormat="1" applyFont="1" applyFill="1" applyBorder="1" applyAlignment="1">
      <alignment horizontal="right"/>
    </xf>
    <xf numFmtId="166" fontId="4" fillId="0" borderId="0" xfId="34" applyNumberFormat="1" applyFont="1" applyBorder="1" applyAlignment="1" applyProtection="1" quotePrefix="1">
      <alignment horizontal="centerContinuous"/>
      <protection/>
    </xf>
    <xf numFmtId="166" fontId="4" fillId="0" borderId="0" xfId="34" applyNumberFormat="1" applyFont="1" applyBorder="1" applyAlignment="1" applyProtection="1">
      <alignment horizontal="centerContinuous"/>
      <protection/>
    </xf>
    <xf numFmtId="4" fontId="26" fillId="0" borderId="0" xfId="34" applyNumberFormat="1" applyFont="1" applyFill="1" applyBorder="1" applyAlignment="1">
      <alignment horizontal="right"/>
      <protection/>
    </xf>
    <xf numFmtId="2" fontId="50" fillId="0" borderId="0" xfId="34" applyNumberFormat="1" applyFont="1" applyBorder="1" applyAlignment="1" applyProtection="1">
      <alignment horizontal="left"/>
      <protection/>
    </xf>
    <xf numFmtId="166" fontId="50" fillId="0" borderId="0" xfId="34" applyNumberFormat="1" applyFont="1" applyBorder="1" applyAlignment="1" applyProtection="1">
      <alignment horizontal="center"/>
      <protection/>
    </xf>
    <xf numFmtId="0" fontId="50" fillId="0" borderId="0" xfId="34" applyFont="1" applyBorder="1" applyAlignment="1" applyProtection="1">
      <alignment horizontal="center"/>
      <protection/>
    </xf>
    <xf numFmtId="165" fontId="50" fillId="0" borderId="0" xfId="34" applyNumberFormat="1" applyFont="1" applyBorder="1" applyAlignment="1" applyProtection="1">
      <alignment horizontal="center"/>
      <protection/>
    </xf>
    <xf numFmtId="0" fontId="55" fillId="0" borderId="0" xfId="34" applyFont="1">
      <alignment/>
      <protection/>
    </xf>
    <xf numFmtId="168" fontId="50" fillId="0" borderId="0" xfId="34" applyNumberFormat="1" applyFont="1" applyBorder="1" applyAlignment="1" applyProtection="1" quotePrefix="1">
      <alignment horizontal="center"/>
      <protection/>
    </xf>
    <xf numFmtId="0" fontId="50" fillId="0" borderId="0" xfId="34" applyFont="1">
      <alignment/>
      <protection/>
    </xf>
    <xf numFmtId="2" fontId="50" fillId="0" borderId="0" xfId="34" applyNumberFormat="1" applyFont="1" applyBorder="1" applyAlignment="1" applyProtection="1">
      <alignment horizontal="center"/>
      <protection/>
    </xf>
    <xf numFmtId="166" fontId="50" fillId="0" borderId="0" xfId="34" applyNumberFormat="1" applyFont="1" applyBorder="1" applyAlignment="1" applyProtection="1" quotePrefix="1">
      <alignment horizontal="center"/>
      <protection/>
    </xf>
    <xf numFmtId="0" fontId="10" fillId="0" borderId="0" xfId="34" applyFont="1" applyBorder="1" applyAlignment="1">
      <alignment horizontal="center"/>
      <protection/>
    </xf>
    <xf numFmtId="2" fontId="91" fillId="0" borderId="0" xfId="34" applyNumberFormat="1" applyFont="1" applyBorder="1" applyAlignment="1" applyProtection="1">
      <alignment horizontal="left"/>
      <protection/>
    </xf>
    <xf numFmtId="0" fontId="19" fillId="0" borderId="0" xfId="34" applyFont="1" applyAlignment="1">
      <alignment horizontal="center"/>
      <protection/>
    </xf>
    <xf numFmtId="168" fontId="10" fillId="0" borderId="0" xfId="34" applyNumberFormat="1" applyFont="1" applyBorder="1" applyAlignment="1" applyProtection="1">
      <alignment horizontal="left"/>
      <protection/>
    </xf>
    <xf numFmtId="166" fontId="10" fillId="0" borderId="0" xfId="34" applyNumberFormat="1" applyFont="1" applyBorder="1" applyAlignment="1" applyProtection="1">
      <alignment horizontal="left"/>
      <protection/>
    </xf>
    <xf numFmtId="4" fontId="88" fillId="0" borderId="0" xfId="34" applyNumberFormat="1" applyFont="1" applyBorder="1" applyAlignment="1" applyProtection="1">
      <alignment horizontal="center"/>
      <protection/>
    </xf>
    <xf numFmtId="7" fontId="10" fillId="0" borderId="0" xfId="34" applyNumberFormat="1" applyFont="1" applyBorder="1" applyAlignment="1">
      <alignment horizontal="centerContinuous"/>
      <protection/>
    </xf>
    <xf numFmtId="1" fontId="19" fillId="0" borderId="0" xfId="34" applyNumberFormat="1" applyFont="1" applyBorder="1" applyAlignment="1" applyProtection="1">
      <alignment horizontal="center"/>
      <protection/>
    </xf>
    <xf numFmtId="172" fontId="19" fillId="0" borderId="0" xfId="34" applyNumberFormat="1" applyFont="1" applyBorder="1" applyAlignment="1" applyProtection="1">
      <alignment horizontal="centerContinuous"/>
      <protection/>
    </xf>
    <xf numFmtId="172" fontId="50" fillId="0" borderId="0" xfId="34" applyNumberFormat="1" applyFont="1" applyBorder="1" applyAlignment="1" applyProtection="1">
      <alignment horizontal="centerContinuous"/>
      <protection/>
    </xf>
    <xf numFmtId="166" fontId="19" fillId="0" borderId="0" xfId="34" applyNumberFormat="1" applyFont="1" applyBorder="1">
      <alignment/>
      <protection/>
    </xf>
    <xf numFmtId="7" fontId="19" fillId="0" borderId="0" xfId="34" applyNumberFormat="1" applyFont="1" applyBorder="1" applyAlignment="1">
      <alignment horizontal="centerContinuous"/>
      <protection/>
    </xf>
    <xf numFmtId="0" fontId="19" fillId="0" borderId="0" xfId="34" applyFont="1" applyAlignment="1">
      <alignment horizontal="centerContinuous"/>
      <protection/>
    </xf>
    <xf numFmtId="166" fontId="19" fillId="0" borderId="0" xfId="34" applyNumberFormat="1" applyFont="1" applyBorder="1" applyAlignment="1" applyProtection="1">
      <alignment horizontal="centerContinuous"/>
      <protection/>
    </xf>
    <xf numFmtId="166" fontId="50" fillId="0" borderId="0" xfId="34" applyNumberFormat="1" applyFont="1" applyBorder="1" applyAlignment="1" applyProtection="1" quotePrefix="1">
      <alignment horizontal="right"/>
      <protection/>
    </xf>
    <xf numFmtId="166" fontId="88" fillId="0" borderId="0" xfId="34" applyNumberFormat="1" applyFont="1" applyBorder="1" applyAlignment="1" applyProtection="1" quotePrefix="1">
      <alignment horizontal="center"/>
      <protection/>
    </xf>
    <xf numFmtId="2" fontId="92" fillId="0" borderId="0" xfId="34" applyNumberFormat="1" applyFont="1" applyBorder="1" applyAlignment="1" applyProtection="1">
      <alignment horizontal="center"/>
      <protection/>
    </xf>
    <xf numFmtId="4" fontId="50" fillId="0" borderId="0" xfId="34" applyNumberFormat="1" applyFont="1" applyBorder="1" applyAlignment="1" applyProtection="1">
      <alignment horizontal="center"/>
      <protection/>
    </xf>
    <xf numFmtId="7" fontId="50" fillId="0" borderId="0" xfId="34" applyNumberFormat="1" applyFont="1" applyFill="1" applyBorder="1" applyAlignment="1">
      <alignment horizontal="center"/>
      <protection/>
    </xf>
    <xf numFmtId="166" fontId="50" fillId="0" borderId="0" xfId="34" applyNumberFormat="1" applyFont="1" applyBorder="1" applyAlignment="1" applyProtection="1" quotePrefix="1">
      <alignment horizontal="left"/>
      <protection/>
    </xf>
    <xf numFmtId="1" fontId="19" fillId="0" borderId="0" xfId="34" applyNumberFormat="1" applyFont="1" applyBorder="1" applyAlignment="1" applyProtection="1">
      <alignment horizontal="left"/>
      <protection/>
    </xf>
    <xf numFmtId="1" fontId="19" fillId="0" borderId="0" xfId="34" applyNumberFormat="1" applyFont="1" applyBorder="1" applyAlignment="1" applyProtection="1">
      <alignment horizontal="centerContinuous"/>
      <protection/>
    </xf>
    <xf numFmtId="0" fontId="112" fillId="0" borderId="0" xfId="33" applyFont="1" applyBorder="1" applyAlignment="1" applyProtection="1">
      <alignment horizontal="center"/>
      <protection locked="0"/>
    </xf>
    <xf numFmtId="0" fontId="112" fillId="0" borderId="0" xfId="38" applyFont="1" applyBorder="1" applyAlignment="1">
      <alignment horizontal="center"/>
      <protection/>
    </xf>
    <xf numFmtId="0" fontId="112" fillId="0" borderId="0" xfId="38" applyFont="1">
      <alignment/>
      <protection/>
    </xf>
    <xf numFmtId="1" fontId="112" fillId="0" borderId="0" xfId="34" applyNumberFormat="1" applyFont="1" applyBorder="1" applyAlignment="1" applyProtection="1">
      <alignment horizontal="centerContinuous"/>
      <protection/>
    </xf>
    <xf numFmtId="7" fontId="50" fillId="0" borderId="50" xfId="34" applyNumberFormat="1" applyFont="1" applyFill="1" applyBorder="1" applyAlignment="1">
      <alignment horizontal="center"/>
      <protection/>
    </xf>
    <xf numFmtId="7" fontId="19" fillId="0" borderId="0" xfId="34" applyNumberFormat="1" applyFont="1" applyBorder="1" applyAlignment="1">
      <alignment horizontal="right"/>
      <protection/>
    </xf>
    <xf numFmtId="166" fontId="3" fillId="0" borderId="0" xfId="34" applyNumberFormat="1" applyFont="1" applyBorder="1" applyAlignment="1" applyProtection="1">
      <alignment horizontal="left"/>
      <protection/>
    </xf>
    <xf numFmtId="10" fontId="19" fillId="0" borderId="0" xfId="34" applyNumberFormat="1" applyFont="1" applyBorder="1" applyAlignment="1" applyProtection="1">
      <alignment horizontal="center"/>
      <protection/>
    </xf>
    <xf numFmtId="7" fontId="19" fillId="0" borderId="0" xfId="34" applyNumberFormat="1" applyFont="1" applyAlignment="1">
      <alignment horizontal="right"/>
      <protection/>
    </xf>
    <xf numFmtId="0" fontId="19" fillId="0" borderId="0" xfId="34" applyFont="1" quotePrefix="1">
      <alignment/>
      <protection/>
    </xf>
    <xf numFmtId="166" fontId="19" fillId="0" borderId="0" xfId="34" applyNumberFormat="1" applyFont="1" applyBorder="1" applyAlignment="1" applyProtection="1" quotePrefix="1">
      <alignment horizontal="center"/>
      <protection/>
    </xf>
    <xf numFmtId="7" fontId="19" fillId="0" borderId="0" xfId="34" applyNumberFormat="1" applyFont="1" applyBorder="1" applyAlignment="1" applyProtection="1">
      <alignment horizontal="left"/>
      <protection/>
    </xf>
    <xf numFmtId="0" fontId="55" fillId="0" borderId="0" xfId="34" applyFont="1" quotePrefix="1">
      <alignment/>
      <protection/>
    </xf>
    <xf numFmtId="0" fontId="27" fillId="0" borderId="0" xfId="34" applyFont="1" applyAlignment="1">
      <alignment vertical="center"/>
      <protection/>
    </xf>
    <xf numFmtId="0" fontId="20" fillId="0" borderId="7" xfId="34" applyFont="1" applyBorder="1" applyAlignment="1">
      <alignment vertical="center"/>
      <protection/>
    </xf>
    <xf numFmtId="0" fontId="20" fillId="0" borderId="0" xfId="34" applyFont="1" applyBorder="1" applyAlignment="1">
      <alignment horizontal="center" vertical="center"/>
      <protection/>
    </xf>
    <xf numFmtId="166" fontId="20" fillId="0" borderId="0" xfId="34" applyNumberFormat="1" applyFont="1" applyBorder="1" applyAlignment="1" applyProtection="1">
      <alignment horizontal="left" vertical="center"/>
      <protection/>
    </xf>
    <xf numFmtId="0" fontId="27" fillId="0" borderId="0" xfId="34" applyFont="1" applyAlignment="1" quotePrefix="1">
      <alignment vertical="center"/>
      <protection/>
    </xf>
    <xf numFmtId="0" fontId="20" fillId="0" borderId="0" xfId="34" applyFont="1" applyBorder="1" applyAlignment="1" applyProtection="1">
      <alignment horizontal="center" vertical="center"/>
      <protection/>
    </xf>
    <xf numFmtId="165" fontId="20" fillId="0" borderId="0" xfId="34" applyNumberFormat="1" applyFont="1" applyBorder="1" applyAlignment="1" applyProtection="1">
      <alignment horizontal="center" vertical="center"/>
      <protection/>
    </xf>
    <xf numFmtId="4" fontId="22" fillId="0" borderId="8" xfId="34" applyNumberFormat="1" applyFont="1" applyBorder="1" applyAlignment="1" applyProtection="1">
      <alignment horizontal="center" vertical="center"/>
      <protection/>
    </xf>
    <xf numFmtId="7" fontId="93" fillId="0" borderId="9" xfId="34" applyNumberFormat="1" applyFont="1" applyFill="1" applyBorder="1" applyAlignment="1">
      <alignment horizontal="center" vertical="center"/>
      <protection/>
    </xf>
    <xf numFmtId="166" fontId="20" fillId="0" borderId="0" xfId="34" applyNumberFormat="1" applyFont="1" applyBorder="1" applyAlignment="1" applyProtection="1">
      <alignment horizontal="center" vertical="center"/>
      <protection/>
    </xf>
    <xf numFmtId="166" fontId="22" fillId="0" borderId="0" xfId="34" applyNumberFormat="1" applyFont="1" applyBorder="1" applyAlignment="1" applyProtection="1">
      <alignment horizontal="left" vertical="center"/>
      <protection/>
    </xf>
    <xf numFmtId="168" fontId="20" fillId="0" borderId="0" xfId="34" applyNumberFormat="1" applyFont="1" applyBorder="1" applyAlignment="1" applyProtection="1" quotePrefix="1">
      <alignment horizontal="center" vertical="center"/>
      <protection/>
    </xf>
    <xf numFmtId="2" fontId="94" fillId="0" borderId="0" xfId="34" applyNumberFormat="1" applyFont="1" applyBorder="1" applyAlignment="1" applyProtection="1">
      <alignment horizontal="center" vertical="center"/>
      <protection/>
    </xf>
    <xf numFmtId="166" fontId="95" fillId="0" borderId="0" xfId="34" applyNumberFormat="1" applyFont="1" applyBorder="1" applyAlignment="1" applyProtection="1" quotePrefix="1">
      <alignment horizontal="center" vertical="center"/>
      <protection/>
    </xf>
    <xf numFmtId="4" fontId="20" fillId="0" borderId="1" xfId="34" applyNumberFormat="1" applyFont="1" applyFill="1" applyBorder="1" applyAlignment="1">
      <alignment horizontal="center" vertical="center"/>
      <protection/>
    </xf>
    <xf numFmtId="0" fontId="19" fillId="0" borderId="10" xfId="34" applyFont="1" applyBorder="1">
      <alignment/>
      <protection/>
    </xf>
    <xf numFmtId="0" fontId="19" fillId="0" borderId="11" xfId="34" applyFont="1" applyBorder="1">
      <alignment/>
      <protection/>
    </xf>
    <xf numFmtId="0" fontId="0" fillId="0" borderId="11" xfId="34" applyBorder="1">
      <alignment/>
      <protection/>
    </xf>
    <xf numFmtId="0" fontId="19" fillId="0" borderId="12" xfId="34" applyFont="1" applyFill="1" applyBorder="1">
      <alignment/>
      <protection/>
    </xf>
    <xf numFmtId="0" fontId="4" fillId="0" borderId="0" xfId="34" applyFont="1" applyBorder="1" applyAlignment="1">
      <alignment horizontal="left"/>
      <protection/>
    </xf>
    <xf numFmtId="0" fontId="4" fillId="0" borderId="0" xfId="38" applyFont="1" applyFill="1">
      <alignment/>
      <protection/>
    </xf>
    <xf numFmtId="0" fontId="4" fillId="0" borderId="0" xfId="38" applyFont="1">
      <alignment/>
      <protection/>
    </xf>
    <xf numFmtId="0" fontId="0" fillId="0" borderId="0" xfId="38">
      <alignment/>
      <protection/>
    </xf>
    <xf numFmtId="0" fontId="51" fillId="0" borderId="0" xfId="38" applyFont="1" applyAlignment="1">
      <alignment horizontal="right" vertical="top"/>
      <protection/>
    </xf>
    <xf numFmtId="0" fontId="79" fillId="0" borderId="0" xfId="38" applyFont="1" applyFill="1">
      <alignment/>
      <protection/>
    </xf>
    <xf numFmtId="0" fontId="80" fillId="0" borderId="0" xfId="38" applyFont="1" applyAlignment="1">
      <alignment horizontal="centerContinuous"/>
      <protection/>
    </xf>
    <xf numFmtId="0" fontId="79" fillId="0" borderId="0" xfId="38" applyFont="1" applyAlignment="1">
      <alignment horizontal="centerContinuous"/>
      <protection/>
    </xf>
    <xf numFmtId="0" fontId="79" fillId="0" borderId="0" xfId="38" applyFont="1">
      <alignment/>
      <protection/>
    </xf>
    <xf numFmtId="0" fontId="11" fillId="0" borderId="0" xfId="38" applyFont="1" applyFill="1" applyBorder="1" applyAlignment="1" applyProtection="1">
      <alignment horizontal="center"/>
      <protection/>
    </xf>
    <xf numFmtId="0" fontId="11" fillId="0" borderId="0" xfId="38" applyFont="1" applyFill="1" applyBorder="1" applyAlignment="1" applyProtection="1">
      <alignment horizontal="left"/>
      <protection/>
    </xf>
    <xf numFmtId="0" fontId="15" fillId="0" borderId="0" xfId="38" applyFont="1">
      <alignment/>
      <protection/>
    </xf>
    <xf numFmtId="0" fontId="4" fillId="0" borderId="13" xfId="38" applyFont="1" applyBorder="1">
      <alignment/>
      <protection/>
    </xf>
    <xf numFmtId="0" fontId="4" fillId="0" borderId="5" xfId="38" applyFont="1" applyBorder="1">
      <alignment/>
      <protection/>
    </xf>
    <xf numFmtId="0" fontId="4" fillId="0" borderId="5" xfId="38" applyFont="1" applyBorder="1" applyAlignment="1" applyProtection="1">
      <alignment horizontal="left"/>
      <protection/>
    </xf>
    <xf numFmtId="0" fontId="0" fillId="0" borderId="5" xfId="38" applyBorder="1">
      <alignment/>
      <protection/>
    </xf>
    <xf numFmtId="0" fontId="4" fillId="0" borderId="6" xfId="38" applyFont="1" applyFill="1" applyBorder="1">
      <alignment/>
      <protection/>
    </xf>
    <xf numFmtId="0" fontId="4" fillId="0" borderId="7" xfId="38" applyFont="1" applyBorder="1">
      <alignment/>
      <protection/>
    </xf>
    <xf numFmtId="0" fontId="4" fillId="0" borderId="0" xfId="38" applyFont="1" applyBorder="1">
      <alignment/>
      <protection/>
    </xf>
    <xf numFmtId="0" fontId="8" fillId="0" borderId="0" xfId="38" applyFont="1" applyBorder="1" applyAlignment="1">
      <alignment horizontal="left"/>
      <protection/>
    </xf>
    <xf numFmtId="0" fontId="18" fillId="0" borderId="0" xfId="38" applyFont="1" applyBorder="1">
      <alignment/>
      <protection/>
    </xf>
    <xf numFmtId="0" fontId="4" fillId="0" borderId="1" xfId="38" applyFont="1" applyFill="1" applyBorder="1">
      <alignment/>
      <protection/>
    </xf>
    <xf numFmtId="0" fontId="20" fillId="0" borderId="0" xfId="38" applyFont="1">
      <alignment/>
      <protection/>
    </xf>
    <xf numFmtId="0" fontId="20" fillId="0" borderId="7" xfId="38" applyFont="1" applyBorder="1">
      <alignment/>
      <protection/>
    </xf>
    <xf numFmtId="0" fontId="20" fillId="0" borderId="0" xfId="38" applyFont="1" applyBorder="1">
      <alignment/>
      <protection/>
    </xf>
    <xf numFmtId="0" fontId="5" fillId="0" borderId="0" xfId="38" applyFont="1" applyBorder="1">
      <alignment/>
      <protection/>
    </xf>
    <xf numFmtId="0" fontId="20" fillId="0" borderId="1" xfId="38" applyFont="1" applyFill="1" applyBorder="1">
      <alignment/>
      <protection/>
    </xf>
    <xf numFmtId="0" fontId="4" fillId="0" borderId="0" xfId="38" applyFont="1" applyBorder="1" applyProtection="1">
      <alignment/>
      <protection/>
    </xf>
    <xf numFmtId="0" fontId="21" fillId="0" borderId="7" xfId="38" applyFont="1" applyBorder="1" applyAlignment="1">
      <alignment horizontal="centerContinuous"/>
      <protection/>
    </xf>
    <xf numFmtId="0" fontId="0" fillId="0" borderId="0" xfId="38" applyNumberFormat="1" applyAlignment="1">
      <alignment horizontal="centerContinuous"/>
      <protection/>
    </xf>
    <xf numFmtId="0" fontId="21" fillId="0" borderId="0" xfId="38" applyFont="1" applyBorder="1" applyAlignment="1">
      <alignment horizontal="centerContinuous"/>
      <protection/>
    </xf>
    <xf numFmtId="0" fontId="20" fillId="0" borderId="0" xfId="38" applyFont="1" applyBorder="1" applyAlignment="1">
      <alignment horizontal="centerContinuous"/>
      <protection/>
    </xf>
    <xf numFmtId="0" fontId="0" fillId="0" borderId="0" xfId="38" applyAlignment="1">
      <alignment horizontal="centerContinuous"/>
      <protection/>
    </xf>
    <xf numFmtId="0" fontId="20" fillId="0" borderId="0" xfId="38" applyFont="1" applyAlignment="1">
      <alignment horizontal="centerContinuous"/>
      <protection/>
    </xf>
    <xf numFmtId="0" fontId="20" fillId="0" borderId="0" xfId="38" applyFont="1" applyAlignment="1">
      <alignment/>
      <protection/>
    </xf>
    <xf numFmtId="0" fontId="20" fillId="0" borderId="1" xfId="38" applyFont="1" applyBorder="1" applyAlignment="1">
      <alignment horizontal="centerContinuous"/>
      <protection/>
    </xf>
    <xf numFmtId="0" fontId="4" fillId="0" borderId="0" xfId="38" applyFont="1" applyBorder="1" applyAlignment="1">
      <alignment horizontal="center"/>
      <protection/>
    </xf>
    <xf numFmtId="0" fontId="81" fillId="0" borderId="0" xfId="38" applyFont="1" applyBorder="1" applyAlignment="1" quotePrefix="1">
      <alignment horizontal="left"/>
      <protection/>
    </xf>
    <xf numFmtId="166" fontId="7" fillId="0" borderId="0" xfId="38" applyNumberFormat="1" applyFont="1" applyBorder="1" applyAlignment="1" applyProtection="1">
      <alignment horizontal="left"/>
      <protection/>
    </xf>
    <xf numFmtId="0" fontId="0" fillId="0" borderId="0" xfId="38" applyBorder="1">
      <alignment/>
      <protection/>
    </xf>
    <xf numFmtId="0" fontId="22" fillId="0" borderId="0" xfId="38" applyFont="1" applyBorder="1" applyAlignment="1">
      <alignment horizontal="center"/>
      <protection/>
    </xf>
    <xf numFmtId="0" fontId="22" fillId="0" borderId="0" xfId="38" applyFont="1" applyBorder="1">
      <alignment/>
      <protection/>
    </xf>
    <xf numFmtId="0" fontId="19" fillId="0" borderId="0" xfId="38" applyFont="1">
      <alignment/>
      <protection/>
    </xf>
    <xf numFmtId="0" fontId="19" fillId="0" borderId="7" xfId="38" applyFont="1" applyBorder="1">
      <alignment/>
      <protection/>
    </xf>
    <xf numFmtId="0" fontId="19" fillId="0" borderId="0" xfId="38" applyFont="1" applyBorder="1">
      <alignment/>
      <protection/>
    </xf>
    <xf numFmtId="0" fontId="19" fillId="0" borderId="0" xfId="38" applyFont="1" applyBorder="1" applyAlignment="1">
      <alignment horizontal="right"/>
      <protection/>
    </xf>
    <xf numFmtId="7" fontId="19" fillId="0" borderId="0" xfId="38" applyNumberFormat="1" applyFont="1" applyBorder="1" applyAlignment="1">
      <alignment horizontal="center"/>
      <protection/>
    </xf>
    <xf numFmtId="0" fontId="19" fillId="0" borderId="0" xfId="38" applyFont="1" applyBorder="1" applyAlignment="1">
      <alignment horizontal="center"/>
      <protection/>
    </xf>
    <xf numFmtId="0" fontId="82" fillId="0" borderId="0" xfId="38" applyFont="1" applyBorder="1" applyAlignment="1" quotePrefix="1">
      <alignment horizontal="left"/>
      <protection/>
    </xf>
    <xf numFmtId="0" fontId="19" fillId="0" borderId="1" xfId="38" applyFont="1" applyFill="1" applyBorder="1">
      <alignment/>
      <protection/>
    </xf>
    <xf numFmtId="0" fontId="19" fillId="0" borderId="0" xfId="38" applyFont="1" applyBorder="1" applyAlignment="1" applyProtection="1">
      <alignment horizontal="left"/>
      <protection/>
    </xf>
    <xf numFmtId="169" fontId="19" fillId="0" borderId="0" xfId="38" applyNumberFormat="1" applyFont="1" applyBorder="1" applyAlignment="1">
      <alignment horizontal="center"/>
      <protection/>
    </xf>
    <xf numFmtId="166" fontId="19" fillId="0" borderId="0" xfId="38" applyNumberFormat="1" applyFont="1" applyBorder="1" applyAlignment="1" applyProtection="1">
      <alignment horizontal="left"/>
      <protection/>
    </xf>
    <xf numFmtId="0" fontId="19" fillId="0" borderId="0" xfId="38" applyFont="1" applyAlignment="1">
      <alignment horizontal="right"/>
      <protection/>
    </xf>
    <xf numFmtId="10" fontId="19" fillId="0" borderId="0" xfId="38" applyNumberFormat="1" applyFont="1" applyBorder="1" applyAlignment="1" applyProtection="1">
      <alignment horizontal="right"/>
      <protection/>
    </xf>
    <xf numFmtId="0" fontId="0" fillId="0" borderId="0" xfId="38" applyFont="1" applyBorder="1" applyAlignment="1" applyProtection="1">
      <alignment horizontal="center"/>
      <protection/>
    </xf>
    <xf numFmtId="169" fontId="0" fillId="0" borderId="0" xfId="38" applyNumberFormat="1" applyFont="1" applyBorder="1" applyAlignment="1">
      <alignment horizontal="centerContinuous"/>
      <protection/>
    </xf>
    <xf numFmtId="172" fontId="19" fillId="0" borderId="0" xfId="38" applyNumberFormat="1" applyFont="1" applyBorder="1">
      <alignment/>
      <protection/>
    </xf>
    <xf numFmtId="0" fontId="19" fillId="0" borderId="0" xfId="38" applyFont="1" applyBorder="1" applyAlignment="1" applyProtection="1">
      <alignment horizontal="center"/>
      <protection/>
    </xf>
    <xf numFmtId="0" fontId="3" fillId="0" borderId="0" xfId="38" applyFont="1" applyBorder="1">
      <alignment/>
      <protection/>
    </xf>
    <xf numFmtId="166" fontId="10" fillId="0" borderId="8" xfId="38" applyNumberFormat="1" applyFont="1" applyBorder="1" applyAlignment="1" applyProtection="1">
      <alignment horizontal="center"/>
      <protection/>
    </xf>
    <xf numFmtId="172" fontId="19" fillId="0" borderId="9" xfId="38" applyNumberFormat="1" applyFont="1" applyBorder="1" applyAlignment="1" applyProtection="1">
      <alignment horizontal="centerContinuous"/>
      <protection/>
    </xf>
    <xf numFmtId="0" fontId="4" fillId="0" borderId="0" xfId="38" applyFont="1" applyBorder="1" applyAlignment="1" applyProtection="1">
      <alignment horizontal="center"/>
      <protection/>
    </xf>
    <xf numFmtId="0" fontId="24" fillId="0" borderId="14" xfId="38" applyFont="1" applyBorder="1" applyAlignment="1">
      <alignment horizontal="center" vertical="center"/>
      <protection/>
    </xf>
    <xf numFmtId="0" fontId="24" fillId="0" borderId="14" xfId="39" applyFont="1" applyBorder="1" applyAlignment="1">
      <alignment horizontal="center" vertical="center"/>
      <protection/>
    </xf>
    <xf numFmtId="164" fontId="24" fillId="0" borderId="9" xfId="38" applyNumberFormat="1" applyFont="1" applyBorder="1" applyAlignment="1" applyProtection="1">
      <alignment horizontal="center" vertical="center" wrapText="1"/>
      <protection/>
    </xf>
    <xf numFmtId="0" fontId="24" fillId="0" borderId="15" xfId="38" applyFont="1" applyBorder="1" applyAlignment="1" applyProtection="1">
      <alignment horizontal="center" vertical="center" wrapText="1"/>
      <protection/>
    </xf>
    <xf numFmtId="166" fontId="24" fillId="0" borderId="14" xfId="38" applyNumberFormat="1" applyFont="1" applyBorder="1" applyAlignment="1" applyProtection="1">
      <alignment horizontal="center" vertical="center"/>
      <protection/>
    </xf>
    <xf numFmtId="166" fontId="32" fillId="2" borderId="14" xfId="38" applyNumberFormat="1" applyFont="1" applyFill="1" applyBorder="1" applyAlignment="1" applyProtection="1">
      <alignment horizontal="center" vertical="center"/>
      <protection/>
    </xf>
    <xf numFmtId="0" fontId="39" fillId="4" borderId="14" xfId="38" applyFont="1" applyFill="1" applyBorder="1" applyAlignment="1" applyProtection="1">
      <alignment horizontal="center" vertical="center"/>
      <protection/>
    </xf>
    <xf numFmtId="0" fontId="24" fillId="0" borderId="14" xfId="38" applyFont="1" applyBorder="1" applyAlignment="1" applyProtection="1">
      <alignment horizontal="center" vertical="center"/>
      <protection/>
    </xf>
    <xf numFmtId="0" fontId="24" fillId="0" borderId="8" xfId="38" applyFont="1" applyBorder="1" applyAlignment="1" applyProtection="1">
      <alignment horizontal="center" vertical="center"/>
      <protection/>
    </xf>
    <xf numFmtId="0" fontId="24" fillId="0" borderId="8" xfId="38" applyFont="1" applyBorder="1" applyAlignment="1" applyProtection="1">
      <alignment horizontal="center" vertical="center" wrapText="1"/>
      <protection/>
    </xf>
    <xf numFmtId="0" fontId="24" fillId="0" borderId="14" xfId="38" applyFont="1" applyBorder="1" applyAlignment="1" applyProtection="1">
      <alignment horizontal="center" vertical="center" wrapText="1"/>
      <protection/>
    </xf>
    <xf numFmtId="0" fontId="39" fillId="5" borderId="14" xfId="38" applyFont="1" applyFill="1" applyBorder="1" applyAlignment="1">
      <alignment horizontal="center" vertical="center" wrapText="1"/>
      <protection/>
    </xf>
    <xf numFmtId="0" fontId="45" fillId="13" borderId="14" xfId="38" applyFont="1" applyFill="1" applyBorder="1" applyAlignment="1">
      <alignment horizontal="center" vertical="center" wrapText="1"/>
      <protection/>
    </xf>
    <xf numFmtId="0" fontId="83" fillId="3" borderId="8" xfId="38" applyFont="1" applyFill="1" applyBorder="1" applyAlignment="1" applyProtection="1">
      <alignment horizontal="centerContinuous" vertical="center" wrapText="1"/>
      <protection/>
    </xf>
    <xf numFmtId="0" fontId="84" fillId="3" borderId="15" xfId="38" applyFont="1" applyFill="1" applyBorder="1" applyAlignment="1">
      <alignment horizontal="centerContinuous"/>
      <protection/>
    </xf>
    <xf numFmtId="0" fontId="83" fillId="3" borderId="9" xfId="38" applyFont="1" applyFill="1" applyBorder="1" applyAlignment="1">
      <alignment horizontal="centerContinuous" vertical="center"/>
      <protection/>
    </xf>
    <xf numFmtId="0" fontId="39" fillId="14" borderId="8" xfId="38" applyFont="1" applyFill="1" applyBorder="1" applyAlignment="1">
      <alignment horizontal="centerContinuous" vertical="center" wrapText="1"/>
      <protection/>
    </xf>
    <xf numFmtId="0" fontId="40" fillId="14" borderId="15" xfId="38" applyFont="1" applyFill="1" applyBorder="1" applyAlignment="1">
      <alignment horizontal="centerContinuous"/>
      <protection/>
    </xf>
    <xf numFmtId="0" fontId="39" fillId="14" borderId="9" xfId="38" applyFont="1" applyFill="1" applyBorder="1" applyAlignment="1">
      <alignment horizontal="centerContinuous" vertical="center"/>
      <protection/>
    </xf>
    <xf numFmtId="0" fontId="39" fillId="8" borderId="14" xfId="38" applyFont="1" applyFill="1" applyBorder="1" applyAlignment="1">
      <alignment horizontal="centerContinuous" vertical="center" wrapText="1"/>
      <protection/>
    </xf>
    <xf numFmtId="0" fontId="39" fillId="15" borderId="14" xfId="38" applyFont="1" applyFill="1" applyBorder="1" applyAlignment="1">
      <alignment horizontal="centerContinuous" vertical="center" wrapText="1"/>
      <protection/>
    </xf>
    <xf numFmtId="0" fontId="24" fillId="0" borderId="9" xfId="38" applyFont="1" applyBorder="1" applyAlignment="1">
      <alignment horizontal="center" vertical="center" wrapText="1"/>
      <protection/>
    </xf>
    <xf numFmtId="0" fontId="24" fillId="0" borderId="14" xfId="38" applyFont="1" applyFill="1" applyBorder="1" applyAlignment="1">
      <alignment horizontal="center" vertical="center" wrapText="1"/>
      <protection/>
    </xf>
    <xf numFmtId="0" fontId="4" fillId="0" borderId="1" xfId="38" applyFont="1" applyFill="1" applyBorder="1" applyAlignment="1">
      <alignment horizontal="center"/>
      <protection/>
    </xf>
    <xf numFmtId="0" fontId="4" fillId="0" borderId="2" xfId="38" applyFont="1" applyBorder="1" applyAlignment="1">
      <alignment horizontal="center"/>
      <protection/>
    </xf>
    <xf numFmtId="0" fontId="19" fillId="0" borderId="2" xfId="38" applyFont="1" applyBorder="1">
      <alignment/>
      <protection/>
    </xf>
    <xf numFmtId="164" fontId="19" fillId="0" borderId="4" xfId="38" applyNumberFormat="1" applyFont="1" applyBorder="1" applyProtection="1">
      <alignment/>
      <protection/>
    </xf>
    <xf numFmtId="164" fontId="19" fillId="0" borderId="2" xfId="38" applyNumberFormat="1" applyFont="1" applyBorder="1" applyAlignment="1" applyProtection="1">
      <alignment horizontal="center"/>
      <protection/>
    </xf>
    <xf numFmtId="164" fontId="19" fillId="0" borderId="17" xfId="38" applyNumberFormat="1" applyFont="1" applyBorder="1" applyAlignment="1" applyProtection="1">
      <alignment horizontal="center"/>
      <protection/>
    </xf>
    <xf numFmtId="164" fontId="85" fillId="2" borderId="17" xfId="38" applyNumberFormat="1" applyFont="1" applyFill="1" applyBorder="1" applyAlignment="1" applyProtection="1">
      <alignment horizontal="center"/>
      <protection/>
    </xf>
    <xf numFmtId="169" fontId="86" fillId="4" borderId="17" xfId="38" applyNumberFormat="1" applyFont="1" applyFill="1" applyBorder="1" applyAlignment="1">
      <alignment horizontal="center"/>
      <protection/>
    </xf>
    <xf numFmtId="0" fontId="19" fillId="0" borderId="17" xfId="38" applyFont="1" applyBorder="1" applyAlignment="1">
      <alignment horizontal="center"/>
      <protection/>
    </xf>
    <xf numFmtId="0" fontId="19" fillId="0" borderId="54" xfId="38" applyFont="1" applyBorder="1" applyAlignment="1">
      <alignment horizontal="center"/>
      <protection/>
    </xf>
    <xf numFmtId="0" fontId="4" fillId="0" borderId="4" xfId="38" applyFont="1" applyBorder="1" applyAlignment="1">
      <alignment horizontal="center"/>
      <protection/>
    </xf>
    <xf numFmtId="0" fontId="4" fillId="0" borderId="17" xfId="38" applyFont="1" applyBorder="1" applyAlignment="1">
      <alignment horizontal="center"/>
      <protection/>
    </xf>
    <xf numFmtId="0" fontId="41" fillId="5" borderId="17" xfId="38" applyFont="1" applyFill="1" applyBorder="1" applyAlignment="1">
      <alignment horizontal="center"/>
      <protection/>
    </xf>
    <xf numFmtId="0" fontId="76" fillId="13" borderId="17" xfId="38" applyFont="1" applyFill="1" applyBorder="1" applyAlignment="1">
      <alignment horizontal="center"/>
      <protection/>
    </xf>
    <xf numFmtId="166" fontId="87" fillId="3" borderId="32" xfId="38" applyNumberFormat="1" applyFont="1" applyFill="1" applyBorder="1" applyAlignment="1" applyProtection="1" quotePrefix="1">
      <alignment horizontal="center"/>
      <protection/>
    </xf>
    <xf numFmtId="166" fontId="87" fillId="3" borderId="55" xfId="38" applyNumberFormat="1" applyFont="1" applyFill="1" applyBorder="1" applyAlignment="1" applyProtection="1" quotePrefix="1">
      <alignment horizontal="center"/>
      <protection/>
    </xf>
    <xf numFmtId="4" fontId="87" fillId="3" borderId="56" xfId="38" applyNumberFormat="1" applyFont="1" applyFill="1" applyBorder="1" applyAlignment="1" applyProtection="1">
      <alignment horizontal="center"/>
      <protection/>
    </xf>
    <xf numFmtId="166" fontId="41" fillId="14" borderId="32" xfId="38" applyNumberFormat="1" applyFont="1" applyFill="1" applyBorder="1" applyAlignment="1" applyProtection="1" quotePrefix="1">
      <alignment horizontal="center"/>
      <protection/>
    </xf>
    <xf numFmtId="166" fontId="41" fillId="14" borderId="55" xfId="38" applyNumberFormat="1" applyFont="1" applyFill="1" applyBorder="1" applyAlignment="1" applyProtection="1" quotePrefix="1">
      <alignment horizontal="center"/>
      <protection/>
    </xf>
    <xf numFmtId="4" fontId="41" fillId="14" borderId="56" xfId="38" applyNumberFormat="1" applyFont="1" applyFill="1" applyBorder="1" applyAlignment="1" applyProtection="1">
      <alignment horizontal="center"/>
      <protection/>
    </xf>
    <xf numFmtId="4" fontId="41" fillId="8" borderId="17" xfId="38" applyNumberFormat="1" applyFont="1" applyFill="1" applyBorder="1" applyAlignment="1" applyProtection="1">
      <alignment horizontal="center"/>
      <protection/>
    </xf>
    <xf numFmtId="4" fontId="41" fillId="15" borderId="17" xfId="38" applyNumberFormat="1" applyFont="1" applyFill="1" applyBorder="1" applyAlignment="1" applyProtection="1">
      <alignment horizontal="center"/>
      <protection/>
    </xf>
    <xf numFmtId="0" fontId="4" fillId="0" borderId="56" xfId="38" applyFont="1" applyBorder="1" applyAlignment="1">
      <alignment horizontal="left"/>
      <protection/>
    </xf>
    <xf numFmtId="0" fontId="7" fillId="0" borderId="56" xfId="38" applyFont="1" applyBorder="1" applyAlignment="1">
      <alignment horizontal="center"/>
      <protection/>
    </xf>
    <xf numFmtId="0" fontId="4" fillId="0" borderId="2" xfId="40" applyFont="1" applyBorder="1" applyAlignment="1" applyProtection="1">
      <alignment horizontal="center"/>
      <protection locked="0"/>
    </xf>
    <xf numFmtId="0" fontId="4" fillId="0" borderId="2" xfId="41" applyFont="1" applyFill="1" applyBorder="1" applyAlignment="1" applyProtection="1">
      <alignment horizontal="center"/>
      <protection locked="0"/>
    </xf>
    <xf numFmtId="164" fontId="4" fillId="0" borderId="2" xfId="41" applyNumberFormat="1" applyFont="1" applyFill="1" applyBorder="1" applyAlignment="1" applyProtection="1">
      <alignment horizontal="center"/>
      <protection locked="0"/>
    </xf>
    <xf numFmtId="167" fontId="4" fillId="0" borderId="2" xfId="41" applyNumberFormat="1" applyFont="1" applyFill="1" applyBorder="1" applyAlignment="1" applyProtection="1">
      <alignment horizontal="center"/>
      <protection locked="0"/>
    </xf>
    <xf numFmtId="0" fontId="85" fillId="2" borderId="2" xfId="38" applyFont="1" applyFill="1" applyBorder="1" applyAlignment="1" applyProtection="1">
      <alignment horizontal="center"/>
      <protection/>
    </xf>
    <xf numFmtId="169" fontId="86" fillId="4" borderId="2" xfId="38" applyNumberFormat="1" applyFont="1" applyFill="1" applyBorder="1" applyAlignment="1" applyProtection="1">
      <alignment horizontal="center"/>
      <protection/>
    </xf>
    <xf numFmtId="22" fontId="4" fillId="0" borderId="4" xfId="41" applyNumberFormat="1" applyFont="1" applyFill="1" applyBorder="1" applyAlignment="1" applyProtection="1">
      <alignment horizontal="center"/>
      <protection locked="0"/>
    </xf>
    <xf numFmtId="22" fontId="4" fillId="0" borderId="21" xfId="41" applyNumberFormat="1" applyFont="1" applyFill="1" applyBorder="1" applyAlignment="1" applyProtection="1">
      <alignment horizontal="center"/>
      <protection locked="0"/>
    </xf>
    <xf numFmtId="4" fontId="4" fillId="0" borderId="2" xfId="38" applyNumberFormat="1" applyFont="1" applyFill="1" applyBorder="1" applyAlignment="1" applyProtection="1" quotePrefix="1">
      <alignment horizontal="center"/>
      <protection/>
    </xf>
    <xf numFmtId="164" fontId="4" fillId="0" borderId="2" xfId="38" applyNumberFormat="1" applyFont="1" applyFill="1" applyBorder="1" applyAlignment="1" applyProtection="1" quotePrefix="1">
      <alignment horizontal="center"/>
      <protection/>
    </xf>
    <xf numFmtId="166" fontId="4" fillId="0" borderId="4" xfId="31" applyNumberFormat="1" applyFont="1" applyBorder="1" applyAlignment="1" applyProtection="1">
      <alignment horizontal="center"/>
      <protection locked="0"/>
    </xf>
    <xf numFmtId="168" fontId="4" fillId="0" borderId="4" xfId="38" applyNumberFormat="1" applyFont="1" applyBorder="1" applyAlignment="1" applyProtection="1" quotePrefix="1">
      <alignment horizontal="center"/>
      <protection/>
    </xf>
    <xf numFmtId="166" fontId="4" fillId="0" borderId="2" xfId="38" applyNumberFormat="1" applyFont="1" applyBorder="1" applyAlignment="1" applyProtection="1">
      <alignment horizontal="center"/>
      <protection/>
    </xf>
    <xf numFmtId="2" fontId="41" fillId="5" borderId="2" xfId="38" applyNumberFormat="1" applyFont="1" applyFill="1" applyBorder="1" applyAlignment="1" applyProtection="1">
      <alignment horizontal="center"/>
      <protection/>
    </xf>
    <xf numFmtId="2" fontId="76" fillId="13" borderId="2" xfId="38" applyNumberFormat="1" applyFont="1" applyFill="1" applyBorder="1" applyAlignment="1" applyProtection="1">
      <alignment horizontal="center"/>
      <protection/>
    </xf>
    <xf numFmtId="166" fontId="87" fillId="3" borderId="22" xfId="38" applyNumberFormat="1" applyFont="1" applyFill="1" applyBorder="1" applyAlignment="1" applyProtection="1" quotePrefix="1">
      <alignment horizontal="center"/>
      <protection/>
    </xf>
    <xf numFmtId="166" fontId="87" fillId="3" borderId="23" xfId="38" applyNumberFormat="1" applyFont="1" applyFill="1" applyBorder="1" applyAlignment="1" applyProtection="1" quotePrefix="1">
      <alignment horizontal="center"/>
      <protection/>
    </xf>
    <xf numFmtId="4" fontId="87" fillId="3" borderId="4" xfId="38" applyNumberFormat="1" applyFont="1" applyFill="1" applyBorder="1" applyAlignment="1" applyProtection="1">
      <alignment horizontal="center"/>
      <protection/>
    </xf>
    <xf numFmtId="166" fontId="41" fillId="14" borderId="22" xfId="38" applyNumberFormat="1" applyFont="1" applyFill="1" applyBorder="1" applyAlignment="1" applyProtection="1" quotePrefix="1">
      <alignment horizontal="center"/>
      <protection/>
    </xf>
    <xf numFmtId="166" fontId="41" fillId="14" borderId="23" xfId="38" applyNumberFormat="1" applyFont="1" applyFill="1" applyBorder="1" applyAlignment="1" applyProtection="1" quotePrefix="1">
      <alignment horizontal="center"/>
      <protection/>
    </xf>
    <xf numFmtId="4" fontId="41" fillId="14" borderId="4" xfId="38" applyNumberFormat="1" applyFont="1" applyFill="1" applyBorder="1" applyAlignment="1" applyProtection="1">
      <alignment horizontal="center"/>
      <protection/>
    </xf>
    <xf numFmtId="4" fontId="41" fillId="8" borderId="2" xfId="38" applyNumberFormat="1" applyFont="1" applyFill="1" applyBorder="1" applyAlignment="1" applyProtection="1">
      <alignment horizontal="center"/>
      <protection/>
    </xf>
    <xf numFmtId="4" fontId="41" fillId="15" borderId="2" xfId="38" applyNumberFormat="1" applyFont="1" applyFill="1" applyBorder="1" applyAlignment="1" applyProtection="1">
      <alignment horizontal="center"/>
      <protection/>
    </xf>
    <xf numFmtId="4" fontId="4" fillId="0" borderId="4" xfId="38" applyNumberFormat="1" applyFont="1" applyBorder="1" applyAlignment="1" applyProtection="1">
      <alignment horizontal="center"/>
      <protection/>
    </xf>
    <xf numFmtId="4" fontId="7" fillId="0" borderId="4" xfId="38" applyNumberFormat="1" applyFont="1" applyFill="1" applyBorder="1" applyAlignment="1">
      <alignment horizontal="right"/>
      <protection/>
    </xf>
    <xf numFmtId="22" fontId="4" fillId="0" borderId="4" xfId="31" applyNumberFormat="1" applyFont="1" applyFill="1" applyBorder="1" applyAlignment="1" applyProtection="1">
      <alignment horizontal="center"/>
      <protection locked="0"/>
    </xf>
    <xf numFmtId="22" fontId="4" fillId="0" borderId="24" xfId="31" applyNumberFormat="1" applyFont="1" applyFill="1" applyBorder="1" applyAlignment="1" applyProtection="1">
      <alignment horizontal="center"/>
      <protection locked="0"/>
    </xf>
    <xf numFmtId="166" fontId="4" fillId="0" borderId="4" xfId="38" applyNumberFormat="1" applyFont="1" applyBorder="1" applyAlignment="1" applyProtection="1">
      <alignment horizontal="center"/>
      <protection/>
    </xf>
    <xf numFmtId="164" fontId="4" fillId="0" borderId="2" xfId="31" applyNumberFormat="1" applyFont="1" applyFill="1" applyBorder="1" applyAlignment="1" applyProtection="1">
      <alignment horizontal="center"/>
      <protection locked="0"/>
    </xf>
    <xf numFmtId="0" fontId="4" fillId="0" borderId="3" xfId="38" applyFont="1" applyFill="1" applyBorder="1" applyAlignment="1">
      <alignment horizontal="center"/>
      <protection/>
    </xf>
    <xf numFmtId="0" fontId="19" fillId="0" borderId="3" xfId="38" applyFont="1" applyBorder="1" applyAlignment="1">
      <alignment horizontal="center"/>
      <protection/>
    </xf>
    <xf numFmtId="164" fontId="88" fillId="0" borderId="3" xfId="38" applyNumberFormat="1" applyFont="1" applyBorder="1" applyAlignment="1" applyProtection="1">
      <alignment horizontal="center"/>
      <protection/>
    </xf>
    <xf numFmtId="0" fontId="19" fillId="0" borderId="3" xfId="38" applyFont="1" applyBorder="1" applyAlignment="1" applyProtection="1">
      <alignment horizontal="center"/>
      <protection/>
    </xf>
    <xf numFmtId="165" fontId="19" fillId="0" borderId="3" xfId="38" applyNumberFormat="1" applyFont="1" applyBorder="1" applyAlignment="1" applyProtection="1">
      <alignment horizontal="center"/>
      <protection/>
    </xf>
    <xf numFmtId="165" fontId="85" fillId="2" borderId="3" xfId="38" applyNumberFormat="1" applyFont="1" applyFill="1" applyBorder="1" applyAlignment="1" applyProtection="1">
      <alignment horizontal="center"/>
      <protection/>
    </xf>
    <xf numFmtId="169" fontId="86" fillId="4" borderId="3" xfId="38" applyNumberFormat="1" applyFont="1" applyFill="1" applyBorder="1" applyAlignment="1" applyProtection="1">
      <alignment horizontal="center"/>
      <protection/>
    </xf>
    <xf numFmtId="166" fontId="19" fillId="0" borderId="3" xfId="38" applyNumberFormat="1" applyFont="1" applyBorder="1" applyAlignment="1" applyProtection="1">
      <alignment horizontal="center"/>
      <protection/>
    </xf>
    <xf numFmtId="166" fontId="4" fillId="0" borderId="3" xfId="38" applyNumberFormat="1" applyFont="1" applyBorder="1" applyAlignment="1" applyProtection="1">
      <alignment horizontal="center"/>
      <protection/>
    </xf>
    <xf numFmtId="168" fontId="4" fillId="0" borderId="3" xfId="38" applyNumberFormat="1" applyFont="1" applyBorder="1" applyAlignment="1" applyProtection="1" quotePrefix="1">
      <alignment horizontal="center"/>
      <protection/>
    </xf>
    <xf numFmtId="2" fontId="41" fillId="5" borderId="3" xfId="38" applyNumberFormat="1" applyFont="1" applyFill="1" applyBorder="1" applyAlignment="1" applyProtection="1">
      <alignment horizontal="center"/>
      <protection/>
    </xf>
    <xf numFmtId="2" fontId="76" fillId="13" borderId="3" xfId="38" applyNumberFormat="1" applyFont="1" applyFill="1" applyBorder="1" applyAlignment="1" applyProtection="1">
      <alignment horizontal="center"/>
      <protection/>
    </xf>
    <xf numFmtId="166" fontId="87" fillId="3" borderId="25" xfId="38" applyNumberFormat="1" applyFont="1" applyFill="1" applyBorder="1" applyAlignment="1" applyProtection="1" quotePrefix="1">
      <alignment horizontal="center"/>
      <protection/>
    </xf>
    <xf numFmtId="166" fontId="87" fillId="3" borderId="57" xfId="38" applyNumberFormat="1" applyFont="1" applyFill="1" applyBorder="1" applyAlignment="1" applyProtection="1" quotePrefix="1">
      <alignment horizontal="center"/>
      <protection/>
    </xf>
    <xf numFmtId="4" fontId="87" fillId="3" borderId="20" xfId="38" applyNumberFormat="1" applyFont="1" applyFill="1" applyBorder="1" applyAlignment="1" applyProtection="1">
      <alignment horizontal="center"/>
      <protection/>
    </xf>
    <xf numFmtId="166" fontId="41" fillId="14" borderId="25" xfId="38" applyNumberFormat="1" applyFont="1" applyFill="1" applyBorder="1" applyAlignment="1" applyProtection="1" quotePrefix="1">
      <alignment horizontal="center"/>
      <protection/>
    </xf>
    <xf numFmtId="166" fontId="41" fillId="14" borderId="57" xfId="38" applyNumberFormat="1" applyFont="1" applyFill="1" applyBorder="1" applyAlignment="1" applyProtection="1" quotePrefix="1">
      <alignment horizontal="center"/>
      <protection/>
    </xf>
    <xf numFmtId="4" fontId="41" fillId="14" borderId="20" xfId="38" applyNumberFormat="1" applyFont="1" applyFill="1" applyBorder="1" applyAlignment="1" applyProtection="1">
      <alignment horizontal="center"/>
      <protection/>
    </xf>
    <xf numFmtId="4" fontId="41" fillId="8" borderId="3" xfId="38" applyNumberFormat="1" applyFont="1" applyFill="1" applyBorder="1" applyAlignment="1" applyProtection="1">
      <alignment horizontal="center"/>
      <protection/>
    </xf>
    <xf numFmtId="4" fontId="41" fillId="15" borderId="3" xfId="38" applyNumberFormat="1" applyFont="1" applyFill="1" applyBorder="1" applyAlignment="1" applyProtection="1">
      <alignment horizontal="center"/>
      <protection/>
    </xf>
    <xf numFmtId="4" fontId="6" fillId="0" borderId="3" xfId="38" applyNumberFormat="1" applyFont="1" applyBorder="1" applyAlignment="1" applyProtection="1">
      <alignment horizontal="center"/>
      <protection/>
    </xf>
    <xf numFmtId="166" fontId="25" fillId="0" borderId="3" xfId="38" applyNumberFormat="1" applyFont="1" applyFill="1" applyBorder="1" applyAlignment="1">
      <alignment horizontal="center"/>
      <protection/>
    </xf>
    <xf numFmtId="4" fontId="4" fillId="0" borderId="1" xfId="38" applyNumberFormat="1" applyFont="1" applyFill="1" applyBorder="1" applyAlignment="1">
      <alignment horizontal="center"/>
      <protection/>
    </xf>
    <xf numFmtId="164" fontId="88" fillId="0" borderId="0" xfId="38" applyNumberFormat="1" applyFont="1" applyBorder="1" applyAlignment="1" applyProtection="1">
      <alignment horizontal="center"/>
      <protection/>
    </xf>
    <xf numFmtId="165" fontId="19" fillId="0" borderId="0" xfId="38" applyNumberFormat="1" applyFont="1" applyBorder="1" applyAlignment="1" applyProtection="1">
      <alignment horizontal="center"/>
      <protection/>
    </xf>
    <xf numFmtId="166" fontId="19" fillId="0" borderId="0" xfId="38" applyNumberFormat="1" applyFont="1" applyBorder="1" applyAlignment="1" applyProtection="1">
      <alignment horizontal="center"/>
      <protection/>
    </xf>
    <xf numFmtId="168" fontId="19" fillId="0" borderId="0" xfId="38" applyNumberFormat="1" applyFont="1" applyBorder="1" applyAlignment="1" applyProtection="1" quotePrefix="1">
      <alignment horizontal="center"/>
      <protection/>
    </xf>
    <xf numFmtId="2" fontId="86" fillId="5" borderId="14" xfId="38" applyNumberFormat="1" applyFont="1" applyFill="1" applyBorder="1" applyAlignment="1" applyProtection="1">
      <alignment horizontal="center"/>
      <protection/>
    </xf>
    <xf numFmtId="2" fontId="74" fillId="13" borderId="14" xfId="38" applyNumberFormat="1" applyFont="1" applyFill="1" applyBorder="1" applyAlignment="1" applyProtection="1">
      <alignment horizontal="center"/>
      <protection/>
    </xf>
    <xf numFmtId="2" fontId="89" fillId="3" borderId="14" xfId="38" applyNumberFormat="1" applyFont="1" applyFill="1" applyBorder="1" applyAlignment="1" applyProtection="1">
      <alignment horizontal="center"/>
      <protection/>
    </xf>
    <xf numFmtId="2" fontId="86" fillId="14" borderId="14" xfId="38" applyNumberFormat="1" applyFont="1" applyFill="1" applyBorder="1" applyAlignment="1" applyProtection="1">
      <alignment horizontal="center"/>
      <protection/>
    </xf>
    <xf numFmtId="2" fontId="86" fillId="8" borderId="14" xfId="38" applyNumberFormat="1" applyFont="1" applyFill="1" applyBorder="1" applyAlignment="1" applyProtection="1">
      <alignment horizontal="center"/>
      <protection/>
    </xf>
    <xf numFmtId="2" fontId="86" fillId="15" borderId="14" xfId="38" applyNumberFormat="1" applyFont="1" applyFill="1" applyBorder="1" applyAlignment="1" applyProtection="1">
      <alignment horizontal="center"/>
      <protection/>
    </xf>
    <xf numFmtId="2" fontId="19" fillId="0" borderId="31" xfId="38" applyNumberFormat="1" applyFont="1" applyBorder="1" applyAlignment="1" applyProtection="1">
      <alignment horizontal="center"/>
      <protection/>
    </xf>
    <xf numFmtId="7" fontId="7" fillId="0" borderId="14" xfId="38" applyNumberFormat="1" applyFont="1" applyBorder="1" applyAlignment="1" applyProtection="1">
      <alignment horizontal="right"/>
      <protection/>
    </xf>
    <xf numFmtId="2" fontId="86" fillId="0" borderId="15" xfId="38" applyNumberFormat="1" applyFont="1" applyFill="1" applyBorder="1" applyAlignment="1" applyProtection="1">
      <alignment horizontal="center"/>
      <protection/>
    </xf>
    <xf numFmtId="2" fontId="74" fillId="0" borderId="15" xfId="38" applyNumberFormat="1" applyFont="1" applyFill="1" applyBorder="1" applyAlignment="1" applyProtection="1">
      <alignment horizontal="center"/>
      <protection/>
    </xf>
    <xf numFmtId="2" fontId="89" fillId="0" borderId="15" xfId="38" applyNumberFormat="1" applyFont="1" applyFill="1" applyBorder="1" applyAlignment="1" applyProtection="1">
      <alignment horizontal="center"/>
      <protection/>
    </xf>
    <xf numFmtId="2" fontId="19" fillId="0" borderId="0" xfId="38" applyNumberFormat="1" applyFont="1" applyBorder="1" applyAlignment="1" applyProtection="1">
      <alignment horizontal="center"/>
      <protection/>
    </xf>
    <xf numFmtId="7" fontId="19" fillId="0" borderId="0" xfId="38" applyNumberFormat="1" applyFont="1" applyBorder="1" applyAlignment="1" applyProtection="1">
      <alignment horizontal="center"/>
      <protection/>
    </xf>
    <xf numFmtId="0" fontId="4" fillId="0" borderId="7" xfId="38" applyFont="1" applyFill="1" applyBorder="1">
      <alignment/>
      <protection/>
    </xf>
    <xf numFmtId="0" fontId="24" fillId="0" borderId="14" xfId="38" applyFont="1" applyFill="1" applyBorder="1" applyAlignment="1">
      <alignment horizontal="center" vertical="center"/>
      <protection/>
    </xf>
    <xf numFmtId="0" fontId="24" fillId="0" borderId="14" xfId="38" applyFont="1" applyFill="1" applyBorder="1" applyAlignment="1" applyProtection="1">
      <alignment horizontal="center" vertical="center" wrapText="1"/>
      <protection/>
    </xf>
    <xf numFmtId="0" fontId="24" fillId="0" borderId="14" xfId="38" applyFont="1" applyFill="1" applyBorder="1" applyAlignment="1" applyProtection="1">
      <alignment horizontal="center" vertical="center"/>
      <protection/>
    </xf>
    <xf numFmtId="0" fontId="24" fillId="0" borderId="14" xfId="38" applyFont="1" applyFill="1" applyBorder="1" applyAlignment="1" applyProtection="1" quotePrefix="1">
      <alignment horizontal="center" vertical="center" wrapText="1"/>
      <protection/>
    </xf>
    <xf numFmtId="0" fontId="32" fillId="2" borderId="14" xfId="38" applyFont="1" applyFill="1" applyBorder="1" applyAlignment="1" applyProtection="1">
      <alignment horizontal="center" vertical="center"/>
      <protection/>
    </xf>
    <xf numFmtId="0" fontId="32" fillId="16" borderId="14" xfId="38" applyFont="1" applyFill="1" applyBorder="1" applyAlignment="1" applyProtection="1">
      <alignment horizontal="center" vertical="center"/>
      <protection/>
    </xf>
    <xf numFmtId="0" fontId="24" fillId="0" borderId="8" xfId="38" applyFont="1" applyFill="1" applyBorder="1" applyAlignment="1" applyProtection="1">
      <alignment horizontal="centerContinuous" vertical="center"/>
      <protection/>
    </xf>
    <xf numFmtId="0" fontId="24" fillId="0" borderId="15" xfId="38" applyFont="1" applyFill="1" applyBorder="1" applyAlignment="1" applyProtection="1">
      <alignment horizontal="centerContinuous" vertical="center"/>
      <protection/>
    </xf>
    <xf numFmtId="0" fontId="39" fillId="17" borderId="14" xfId="38" applyFont="1" applyFill="1" applyBorder="1" applyAlignment="1">
      <alignment horizontal="center" vertical="center" wrapText="1"/>
      <protection/>
    </xf>
    <xf numFmtId="0" fontId="39" fillId="18" borderId="8" xfId="38" applyFont="1" applyFill="1" applyBorder="1" applyAlignment="1" applyProtection="1">
      <alignment horizontal="centerContinuous" vertical="center" wrapText="1"/>
      <protection/>
    </xf>
    <xf numFmtId="0" fontId="39" fillId="18" borderId="9" xfId="38" applyFont="1" applyFill="1" applyBorder="1" applyAlignment="1">
      <alignment horizontal="centerContinuous" vertical="center"/>
      <protection/>
    </xf>
    <xf numFmtId="0" fontId="39" fillId="3" borderId="14" xfId="38" applyFont="1" applyFill="1" applyBorder="1" applyAlignment="1">
      <alignment horizontal="centerContinuous" vertical="center" wrapText="1"/>
      <protection/>
    </xf>
    <xf numFmtId="0" fontId="39" fillId="16" borderId="58" xfId="38" applyFont="1" applyFill="1" applyBorder="1" applyAlignment="1">
      <alignment vertical="center" wrapText="1"/>
      <protection/>
    </xf>
    <xf numFmtId="0" fontId="39" fillId="16" borderId="16" xfId="38" applyFont="1" applyFill="1" applyBorder="1" applyAlignment="1">
      <alignment vertical="center" wrapText="1"/>
      <protection/>
    </xf>
    <xf numFmtId="0" fontId="39" fillId="16" borderId="31" xfId="38" applyFont="1" applyFill="1" applyBorder="1" applyAlignment="1">
      <alignment vertical="center" wrapText="1"/>
      <protection/>
    </xf>
    <xf numFmtId="0" fontId="24" fillId="0" borderId="14" xfId="38" applyFont="1" applyBorder="1" applyAlignment="1">
      <alignment horizontal="center" vertical="center" wrapText="1"/>
      <protection/>
    </xf>
    <xf numFmtId="0" fontId="4" fillId="0" borderId="2" xfId="38" applyFont="1" applyFill="1" applyBorder="1" applyAlignment="1">
      <alignment horizontal="center"/>
      <protection/>
    </xf>
    <xf numFmtId="164" fontId="4" fillId="0" borderId="2" xfId="38" applyNumberFormat="1" applyFont="1" applyFill="1" applyBorder="1" applyAlignment="1" applyProtection="1">
      <alignment horizontal="center"/>
      <protection/>
    </xf>
    <xf numFmtId="0" fontId="90" fillId="2" borderId="2" xfId="38" applyFont="1" applyFill="1" applyBorder="1" applyAlignment="1">
      <alignment horizontal="center"/>
      <protection/>
    </xf>
    <xf numFmtId="0" fontId="90" fillId="16" borderId="2" xfId="38" applyFont="1" applyFill="1" applyBorder="1" applyAlignment="1">
      <alignment horizontal="center"/>
      <protection/>
    </xf>
    <xf numFmtId="0" fontId="4" fillId="0" borderId="4" xfId="38" applyFont="1" applyFill="1" applyBorder="1" applyAlignment="1">
      <alignment horizontal="center"/>
      <protection/>
    </xf>
    <xf numFmtId="0" fontId="33" fillId="2" borderId="17" xfId="38" applyFont="1" applyFill="1" applyBorder="1" applyAlignment="1">
      <alignment horizontal="center"/>
      <protection/>
    </xf>
    <xf numFmtId="0" fontId="42" fillId="17" borderId="17" xfId="38" applyFont="1" applyFill="1" applyBorder="1" applyAlignment="1">
      <alignment horizontal="center"/>
      <protection/>
    </xf>
    <xf numFmtId="0" fontId="42" fillId="18" borderId="32" xfId="38" applyFont="1" applyFill="1" applyBorder="1" applyAlignment="1">
      <alignment horizontal="center"/>
      <protection/>
    </xf>
    <xf numFmtId="0" fontId="42" fillId="18" borderId="33" xfId="38" applyFont="1" applyFill="1" applyBorder="1" applyAlignment="1">
      <alignment horizontal="left"/>
      <protection/>
    </xf>
    <xf numFmtId="0" fontId="42" fillId="3" borderId="17" xfId="38" applyFont="1" applyFill="1" applyBorder="1" applyAlignment="1">
      <alignment horizontal="left"/>
      <protection/>
    </xf>
    <xf numFmtId="0" fontId="42" fillId="16" borderId="48" xfId="38" applyFont="1" applyFill="1" applyBorder="1" applyAlignment="1">
      <alignment horizontal="left"/>
      <protection/>
    </xf>
    <xf numFmtId="0" fontId="42" fillId="16" borderId="0" xfId="38" applyFont="1" applyFill="1" applyBorder="1" applyAlignment="1">
      <alignment horizontal="left"/>
      <protection/>
    </xf>
    <xf numFmtId="0" fontId="42" fillId="16" borderId="47" xfId="38" applyFont="1" applyFill="1" applyBorder="1" applyAlignment="1">
      <alignment horizontal="left"/>
      <protection/>
    </xf>
    <xf numFmtId="0" fontId="7" fillId="0" borderId="4" xfId="38" applyFont="1" applyFill="1" applyBorder="1" applyAlignment="1">
      <alignment horizontal="center"/>
      <protection/>
    </xf>
    <xf numFmtId="0" fontId="4" fillId="0" borderId="19" xfId="31" applyFont="1" applyBorder="1" applyAlignment="1" applyProtection="1">
      <alignment horizontal="center"/>
      <protection locked="0"/>
    </xf>
    <xf numFmtId="0" fontId="4" fillId="0" borderId="24" xfId="31" applyFont="1" applyBorder="1" applyAlignment="1" applyProtection="1">
      <alignment horizontal="center"/>
      <protection locked="0"/>
    </xf>
    <xf numFmtId="164" fontId="4" fillId="0" borderId="19" xfId="31" applyNumberFormat="1" applyFont="1" applyBorder="1" applyAlignment="1" applyProtection="1">
      <alignment horizontal="center"/>
      <protection locked="0"/>
    </xf>
    <xf numFmtId="1" fontId="4" fillId="0" borderId="38" xfId="31" applyNumberFormat="1" applyFont="1" applyBorder="1" applyAlignment="1" applyProtection="1">
      <alignment horizontal="center"/>
      <protection locked="0"/>
    </xf>
    <xf numFmtId="166" fontId="90" fillId="2" borderId="2" xfId="38" applyNumberFormat="1" applyFont="1" applyFill="1" applyBorder="1" applyAlignment="1" applyProtection="1">
      <alignment horizontal="center"/>
      <protection/>
    </xf>
    <xf numFmtId="166" fontId="90" fillId="16" borderId="2" xfId="38" applyNumberFormat="1" applyFont="1" applyFill="1" applyBorder="1" applyAlignment="1" applyProtection="1">
      <alignment horizontal="center"/>
      <protection/>
    </xf>
    <xf numFmtId="22" fontId="4" fillId="0" borderId="2" xfId="31" applyNumberFormat="1" applyFont="1" applyFill="1" applyBorder="1" applyAlignment="1" applyProtection="1">
      <alignment horizontal="center"/>
      <protection locked="0"/>
    </xf>
    <xf numFmtId="4" fontId="4" fillId="0" borderId="2" xfId="38" applyNumberFormat="1" applyFont="1" applyFill="1" applyBorder="1" applyAlignment="1" applyProtection="1">
      <alignment horizontal="center"/>
      <protection/>
    </xf>
    <xf numFmtId="3" fontId="4" fillId="0" borderId="2" xfId="38" applyNumberFormat="1" applyFont="1" applyFill="1" applyBorder="1" applyAlignment="1" applyProtection="1">
      <alignment horizontal="center"/>
      <protection/>
    </xf>
    <xf numFmtId="166" fontId="4" fillId="0" borderId="2" xfId="38" applyNumberFormat="1" applyFont="1" applyFill="1" applyBorder="1" applyAlignment="1" applyProtection="1">
      <alignment horizontal="center"/>
      <protection/>
    </xf>
    <xf numFmtId="166" fontId="4" fillId="0" borderId="2" xfId="38" applyNumberFormat="1" applyFont="1" applyBorder="1" applyAlignment="1" applyProtection="1" quotePrefix="1">
      <alignment horizontal="center"/>
      <protection/>
    </xf>
    <xf numFmtId="164" fontId="33" fillId="2" borderId="2" xfId="38" applyNumberFormat="1" applyFont="1" applyFill="1" applyBorder="1" applyAlignment="1" applyProtection="1">
      <alignment horizontal="center"/>
      <protection/>
    </xf>
    <xf numFmtId="2" fontId="41" fillId="17" borderId="2" xfId="38" applyNumberFormat="1" applyFont="1" applyFill="1" applyBorder="1" applyAlignment="1">
      <alignment horizontal="center"/>
      <protection/>
    </xf>
    <xf numFmtId="166" fontId="41" fillId="18" borderId="37" xfId="38" applyNumberFormat="1" applyFont="1" applyFill="1" applyBorder="1" applyAlignment="1" applyProtection="1" quotePrefix="1">
      <alignment horizontal="center"/>
      <protection/>
    </xf>
    <xf numFmtId="166" fontId="41" fillId="18" borderId="38" xfId="38" applyNumberFormat="1" applyFont="1" applyFill="1" applyBorder="1" applyAlignment="1" applyProtection="1" quotePrefix="1">
      <alignment horizontal="center"/>
      <protection/>
    </xf>
    <xf numFmtId="166" fontId="41" fillId="3" borderId="2" xfId="38" applyNumberFormat="1" applyFont="1" applyFill="1" applyBorder="1" applyAlignment="1" applyProtection="1" quotePrefix="1">
      <alignment horizontal="center"/>
      <protection/>
    </xf>
    <xf numFmtId="166" fontId="41" fillId="16" borderId="48" xfId="38" applyNumberFormat="1" applyFont="1" applyFill="1" applyBorder="1" applyAlignment="1" applyProtection="1" quotePrefix="1">
      <alignment horizontal="center"/>
      <protection/>
    </xf>
    <xf numFmtId="166" fontId="41" fillId="16" borderId="0" xfId="38" applyNumberFormat="1" applyFont="1" applyFill="1" applyBorder="1" applyAlignment="1" applyProtection="1" quotePrefix="1">
      <alignment horizontal="center"/>
      <protection/>
    </xf>
    <xf numFmtId="166" fontId="41" fillId="16" borderId="47" xfId="38" applyNumberFormat="1" applyFont="1" applyFill="1" applyBorder="1" applyAlignment="1" applyProtection="1" quotePrefix="1">
      <alignment horizontal="center"/>
      <protection/>
    </xf>
    <xf numFmtId="166" fontId="4" fillId="0" borderId="4" xfId="38" applyNumberFormat="1" applyFont="1" applyFill="1" applyBorder="1" applyAlignment="1">
      <alignment horizontal="center"/>
      <protection/>
    </xf>
    <xf numFmtId="4" fontId="26" fillId="0" borderId="4" xfId="38" applyNumberFormat="1" applyFont="1" applyFill="1" applyBorder="1" applyAlignment="1">
      <alignment horizontal="right"/>
      <protection/>
    </xf>
    <xf numFmtId="0" fontId="4" fillId="0" borderId="19" xfId="40" applyFont="1" applyBorder="1" applyAlignment="1" applyProtection="1">
      <alignment horizontal="center"/>
      <protection locked="0"/>
    </xf>
    <xf numFmtId="166" fontId="90" fillId="16" borderId="45" xfId="38" applyNumberFormat="1" applyFont="1" applyFill="1" applyBorder="1" applyAlignment="1" applyProtection="1">
      <alignment horizontal="center"/>
      <protection/>
    </xf>
    <xf numFmtId="0" fontId="4" fillId="0" borderId="39" xfId="38" applyFont="1" applyBorder="1" applyAlignment="1" applyProtection="1">
      <alignment horizontal="center"/>
      <protection/>
    </xf>
    <xf numFmtId="0" fontId="4" fillId="0" borderId="59" xfId="38" applyFont="1" applyBorder="1" applyAlignment="1" applyProtection="1">
      <alignment horizontal="center"/>
      <protection/>
    </xf>
    <xf numFmtId="164" fontId="4" fillId="0" borderId="39" xfId="38" applyNumberFormat="1" applyFont="1" applyBorder="1" applyAlignment="1" applyProtection="1">
      <alignment horizontal="center"/>
      <protection/>
    </xf>
    <xf numFmtId="1" fontId="4" fillId="0" borderId="41" xfId="38" applyNumberFormat="1" applyFont="1" applyBorder="1" applyAlignment="1" applyProtection="1" quotePrefix="1">
      <alignment horizontal="center"/>
      <protection/>
    </xf>
    <xf numFmtId="166" fontId="90" fillId="2" borderId="3" xfId="38" applyNumberFormat="1" applyFont="1" applyFill="1" applyBorder="1" applyAlignment="1" applyProtection="1">
      <alignment horizontal="center"/>
      <protection/>
    </xf>
    <xf numFmtId="166" fontId="90" fillId="16" borderId="3" xfId="38" applyNumberFormat="1" applyFont="1" applyFill="1" applyBorder="1" applyAlignment="1" applyProtection="1">
      <alignment horizontal="center"/>
      <protection/>
    </xf>
    <xf numFmtId="22" fontId="4" fillId="0" borderId="3" xfId="38" applyNumberFormat="1" applyFont="1" applyFill="1" applyBorder="1" applyAlignment="1">
      <alignment horizontal="center"/>
      <protection/>
    </xf>
    <xf numFmtId="22" fontId="4" fillId="0" borderId="3" xfId="38" applyNumberFormat="1" applyFont="1" applyFill="1" applyBorder="1" applyAlignment="1" applyProtection="1">
      <alignment horizontal="center"/>
      <protection/>
    </xf>
    <xf numFmtId="4" fontId="4" fillId="0" borderId="3" xfId="38" applyNumberFormat="1" applyFont="1" applyFill="1" applyBorder="1" applyAlignment="1" applyProtection="1">
      <alignment horizontal="center"/>
      <protection/>
    </xf>
    <xf numFmtId="3" fontId="4" fillId="0" borderId="3" xfId="38" applyNumberFormat="1" applyFont="1" applyFill="1" applyBorder="1" applyAlignment="1" applyProtection="1">
      <alignment horizontal="center"/>
      <protection/>
    </xf>
    <xf numFmtId="166" fontId="4" fillId="0" borderId="3" xfId="38" applyNumberFormat="1" applyFont="1" applyFill="1" applyBorder="1" applyAlignment="1" applyProtection="1">
      <alignment horizontal="center"/>
      <protection/>
    </xf>
    <xf numFmtId="164" fontId="33" fillId="2" borderId="3" xfId="38" applyNumberFormat="1" applyFont="1" applyFill="1" applyBorder="1" applyAlignment="1" applyProtection="1">
      <alignment horizontal="center"/>
      <protection/>
    </xf>
    <xf numFmtId="2" fontId="42" fillId="17" borderId="3" xfId="38" applyNumberFormat="1" applyFont="1" applyFill="1" applyBorder="1" applyAlignment="1">
      <alignment horizontal="center"/>
      <protection/>
    </xf>
    <xf numFmtId="166" fontId="42" fillId="18" borderId="25" xfId="38" applyNumberFormat="1" applyFont="1" applyFill="1" applyBorder="1" applyAlignment="1" applyProtection="1" quotePrefix="1">
      <alignment horizontal="center"/>
      <protection/>
    </xf>
    <xf numFmtId="166" fontId="42" fillId="18" borderId="27" xfId="38" applyNumberFormat="1" applyFont="1" applyFill="1" applyBorder="1" applyAlignment="1" applyProtection="1" quotePrefix="1">
      <alignment horizontal="center"/>
      <protection/>
    </xf>
    <xf numFmtId="166" fontId="42" fillId="3" borderId="3" xfId="38" applyNumberFormat="1" applyFont="1" applyFill="1" applyBorder="1" applyAlignment="1" applyProtection="1" quotePrefix="1">
      <alignment horizontal="center"/>
      <protection/>
    </xf>
    <xf numFmtId="166" fontId="42" fillId="16" borderId="18" xfId="38" applyNumberFormat="1" applyFont="1" applyFill="1" applyBorder="1" applyAlignment="1" applyProtection="1" quotePrefix="1">
      <alignment horizontal="center"/>
      <protection/>
    </xf>
    <xf numFmtId="166" fontId="42" fillId="16" borderId="52" xfId="38" applyNumberFormat="1" applyFont="1" applyFill="1" applyBorder="1" applyAlignment="1" applyProtection="1" quotePrefix="1">
      <alignment horizontal="center"/>
      <protection/>
    </xf>
    <xf numFmtId="166" fontId="42" fillId="16" borderId="20" xfId="38" applyNumberFormat="1" applyFont="1" applyFill="1" applyBorder="1" applyAlignment="1" applyProtection="1" quotePrefix="1">
      <alignment horizontal="center"/>
      <protection/>
    </xf>
    <xf numFmtId="166" fontId="4" fillId="0" borderId="20" xfId="38" applyNumberFormat="1" applyFont="1" applyFill="1" applyBorder="1" applyAlignment="1">
      <alignment horizontal="center"/>
      <protection/>
    </xf>
    <xf numFmtId="4" fontId="26" fillId="0" borderId="20" xfId="38" applyNumberFormat="1" applyFont="1" applyFill="1" applyBorder="1" applyAlignment="1">
      <alignment horizontal="right"/>
      <protection/>
    </xf>
    <xf numFmtId="0" fontId="4" fillId="0" borderId="0" xfId="38" applyFont="1" applyFill="1" applyBorder="1" applyAlignment="1">
      <alignment horizontal="center"/>
      <protection/>
    </xf>
    <xf numFmtId="164" fontId="4" fillId="0" borderId="0" xfId="38" applyNumberFormat="1" applyFont="1" applyBorder="1" applyAlignment="1" applyProtection="1">
      <alignment horizontal="center"/>
      <protection/>
    </xf>
    <xf numFmtId="1" fontId="4" fillId="0" borderId="0" xfId="38" applyNumberFormat="1" applyFont="1" applyBorder="1" applyAlignment="1" applyProtection="1" quotePrefix="1">
      <alignment horizontal="center"/>
      <protection/>
    </xf>
    <xf numFmtId="166" fontId="4" fillId="0" borderId="0" xfId="38" applyNumberFormat="1" applyFont="1" applyFill="1" applyBorder="1" applyAlignment="1" applyProtection="1">
      <alignment horizontal="center"/>
      <protection/>
    </xf>
    <xf numFmtId="22" fontId="4" fillId="0" borderId="0" xfId="38" applyNumberFormat="1" applyFont="1" applyFill="1" applyBorder="1" applyAlignment="1">
      <alignment horizontal="center"/>
      <protection/>
    </xf>
    <xf numFmtId="22" fontId="4" fillId="0" borderId="0" xfId="38" applyNumberFormat="1" applyFont="1" applyFill="1" applyBorder="1" applyAlignment="1" applyProtection="1">
      <alignment horizontal="center"/>
      <protection/>
    </xf>
    <xf numFmtId="4" fontId="4" fillId="0" borderId="0" xfId="38" applyNumberFormat="1" applyFont="1" applyFill="1" applyBorder="1" applyAlignment="1" applyProtection="1">
      <alignment horizontal="center"/>
      <protection/>
    </xf>
    <xf numFmtId="3" fontId="4" fillId="0" borderId="0" xfId="38" applyNumberFormat="1" applyFont="1" applyFill="1" applyBorder="1" applyAlignment="1" applyProtection="1">
      <alignment horizontal="center"/>
      <protection/>
    </xf>
    <xf numFmtId="166" fontId="4" fillId="0" borderId="0" xfId="38" applyNumberFormat="1" applyFont="1" applyBorder="1" applyAlignment="1" applyProtection="1" quotePrefix="1">
      <alignment horizontal="center"/>
      <protection/>
    </xf>
    <xf numFmtId="166" fontId="4" fillId="0" borderId="0" xfId="38" applyNumberFormat="1" applyFont="1" applyBorder="1" applyAlignment="1" applyProtection="1">
      <alignment horizontal="center"/>
      <protection/>
    </xf>
    <xf numFmtId="164" fontId="4" fillId="0" borderId="16" xfId="38" applyNumberFormat="1" applyFont="1" applyFill="1" applyBorder="1" applyAlignment="1" applyProtection="1">
      <alignment horizontal="center"/>
      <protection/>
    </xf>
    <xf numFmtId="2" fontId="54" fillId="0" borderId="16" xfId="38" applyNumberFormat="1" applyFont="1" applyFill="1" applyBorder="1" applyAlignment="1">
      <alignment horizontal="center"/>
      <protection/>
    </xf>
    <xf numFmtId="166" fontId="6" fillId="0" borderId="16" xfId="38" applyNumberFormat="1" applyFont="1" applyFill="1" applyBorder="1" applyAlignment="1" applyProtection="1" quotePrefix="1">
      <alignment horizontal="center"/>
      <protection/>
    </xf>
    <xf numFmtId="166" fontId="4" fillId="0" borderId="16" xfId="38" applyNumberFormat="1" applyFont="1" applyFill="1" applyBorder="1" applyAlignment="1">
      <alignment horizontal="center"/>
      <protection/>
    </xf>
    <xf numFmtId="8" fontId="26" fillId="0" borderId="14" xfId="42" applyNumberFormat="1" applyFont="1" applyFill="1" applyBorder="1" applyAlignment="1">
      <alignment horizontal="right"/>
    </xf>
    <xf numFmtId="0" fontId="37" fillId="10" borderId="14" xfId="38" applyFont="1" applyFill="1" applyBorder="1" applyAlignment="1">
      <alignment horizontal="center" vertical="center" wrapText="1"/>
      <protection/>
    </xf>
    <xf numFmtId="0" fontId="57" fillId="6" borderId="8" xfId="38" applyFont="1" applyFill="1" applyBorder="1" applyAlignment="1" applyProtection="1">
      <alignment horizontal="centerContinuous" vertical="center" wrapText="1"/>
      <protection/>
    </xf>
    <xf numFmtId="0" fontId="57" fillId="6" borderId="9" xfId="38" applyFont="1" applyFill="1" applyBorder="1" applyAlignment="1">
      <alignment horizontal="centerContinuous" vertical="center"/>
      <protection/>
    </xf>
    <xf numFmtId="0" fontId="39" fillId="3" borderId="14" xfId="38" applyFont="1" applyFill="1" applyBorder="1" applyAlignment="1">
      <alignment horizontal="center" vertical="center" wrapText="1"/>
      <protection/>
    </xf>
    <xf numFmtId="164" fontId="42" fillId="4" borderId="2" xfId="38" applyNumberFormat="1" applyFont="1" applyFill="1" applyBorder="1" applyAlignment="1" applyProtection="1">
      <alignment horizontal="center"/>
      <protection/>
    </xf>
    <xf numFmtId="0" fontId="72" fillId="10" borderId="17" xfId="38" applyFont="1" applyFill="1" applyBorder="1" applyAlignment="1" applyProtection="1">
      <alignment horizontal="center"/>
      <protection/>
    </xf>
    <xf numFmtId="166" fontId="59" fillId="6" borderId="32" xfId="38" applyNumberFormat="1" applyFont="1" applyFill="1" applyBorder="1" applyAlignment="1" applyProtection="1" quotePrefix="1">
      <alignment horizontal="center"/>
      <protection/>
    </xf>
    <xf numFmtId="166" fontId="59" fillId="6" borderId="33" xfId="38" applyNumberFormat="1" applyFont="1" applyFill="1" applyBorder="1" applyAlignment="1" applyProtection="1" quotePrefix="1">
      <alignment horizontal="center"/>
      <protection/>
    </xf>
    <xf numFmtId="166" fontId="41" fillId="3" borderId="17" xfId="38" applyNumberFormat="1" applyFont="1" applyFill="1" applyBorder="1" applyAlignment="1" applyProtection="1" quotePrefix="1">
      <alignment horizontal="center"/>
      <protection/>
    </xf>
    <xf numFmtId="0" fontId="9" fillId="0" borderId="21" xfId="30" applyFont="1" applyBorder="1" applyAlignment="1" applyProtection="1">
      <alignment horizontal="center"/>
      <protection locked="0"/>
    </xf>
    <xf numFmtId="166" fontId="4" fillId="0" borderId="4" xfId="43" applyNumberFormat="1" applyFont="1" applyBorder="1" applyAlignment="1" applyProtection="1">
      <alignment horizontal="center"/>
      <protection locked="0"/>
    </xf>
    <xf numFmtId="2" fontId="72" fillId="10" borderId="2" xfId="38" applyNumberFormat="1" applyFont="1" applyFill="1" applyBorder="1" applyAlignment="1" applyProtection="1">
      <alignment horizontal="center"/>
      <protection/>
    </xf>
    <xf numFmtId="166" fontId="59" fillId="6" borderId="22" xfId="38" applyNumberFormat="1" applyFont="1" applyFill="1" applyBorder="1" applyAlignment="1" applyProtection="1" quotePrefix="1">
      <alignment horizontal="center"/>
      <protection/>
    </xf>
    <xf numFmtId="166" fontId="59" fillId="6" borderId="46" xfId="38" applyNumberFormat="1" applyFont="1" applyFill="1" applyBorder="1" applyAlignment="1" applyProtection="1" quotePrefix="1">
      <alignment horizontal="center"/>
      <protection/>
    </xf>
    <xf numFmtId="4" fontId="26" fillId="0" borderId="2" xfId="38" applyNumberFormat="1" applyFont="1" applyFill="1" applyBorder="1" applyAlignment="1">
      <alignment horizontal="right"/>
      <protection/>
    </xf>
    <xf numFmtId="0" fontId="4" fillId="0" borderId="39" xfId="40" applyFont="1" applyBorder="1" applyAlignment="1" applyProtection="1">
      <alignment horizontal="center"/>
      <protection locked="0"/>
    </xf>
    <xf numFmtId="164" fontId="4" fillId="0" borderId="0" xfId="38" applyNumberFormat="1" applyFont="1" applyFill="1" applyBorder="1" applyAlignment="1" applyProtection="1">
      <alignment horizontal="center"/>
      <protection/>
    </xf>
    <xf numFmtId="2" fontId="54" fillId="0" borderId="0" xfId="38" applyNumberFormat="1" applyFont="1" applyFill="1" applyBorder="1" applyAlignment="1">
      <alignment horizontal="center"/>
      <protection/>
    </xf>
    <xf numFmtId="166" fontId="6" fillId="0" borderId="0" xfId="38" applyNumberFormat="1" applyFont="1" applyFill="1" applyBorder="1" applyAlignment="1" applyProtection="1" quotePrefix="1">
      <alignment horizontal="center"/>
      <protection/>
    </xf>
    <xf numFmtId="166" fontId="4" fillId="0" borderId="0" xfId="38" applyNumberFormat="1" applyFont="1" applyFill="1" applyBorder="1" applyAlignment="1">
      <alignment horizontal="center"/>
      <protection/>
    </xf>
    <xf numFmtId="8" fontId="26" fillId="0" borderId="15" xfId="42" applyNumberFormat="1" applyFont="1" applyFill="1" applyBorder="1" applyAlignment="1">
      <alignment horizontal="right"/>
    </xf>
    <xf numFmtId="0" fontId="9" fillId="0" borderId="50" xfId="30" applyFont="1" applyBorder="1" applyAlignment="1" applyProtection="1">
      <alignment horizontal="center"/>
      <protection locked="0"/>
    </xf>
    <xf numFmtId="166" fontId="42" fillId="18" borderId="40" xfId="38" applyNumberFormat="1" applyFont="1" applyFill="1" applyBorder="1" applyAlignment="1" applyProtection="1" quotePrefix="1">
      <alignment horizontal="center"/>
      <protection/>
    </xf>
    <xf numFmtId="166" fontId="42" fillId="18" borderId="41" xfId="38" applyNumberFormat="1" applyFont="1" applyFill="1" applyBorder="1" applyAlignment="1" applyProtection="1" quotePrefix="1">
      <alignment horizontal="center"/>
      <protection/>
    </xf>
    <xf numFmtId="8" fontId="26" fillId="0" borderId="0" xfId="42" applyNumberFormat="1" applyFont="1" applyFill="1" applyBorder="1" applyAlignment="1">
      <alignment horizontal="right"/>
    </xf>
    <xf numFmtId="4" fontId="19" fillId="0" borderId="1" xfId="38" applyNumberFormat="1" applyFont="1" applyFill="1" applyBorder="1" applyAlignment="1">
      <alignment horizontal="center"/>
      <protection/>
    </xf>
    <xf numFmtId="166" fontId="4" fillId="0" borderId="0" xfId="38" applyNumberFormat="1" applyFont="1" applyBorder="1" applyAlignment="1" applyProtection="1" quotePrefix="1">
      <alignment horizontal="centerContinuous"/>
      <protection/>
    </xf>
    <xf numFmtId="166" fontId="4" fillId="0" borderId="0" xfId="38" applyNumberFormat="1" applyFont="1" applyBorder="1" applyAlignment="1" applyProtection="1">
      <alignment horizontal="centerContinuous"/>
      <protection/>
    </xf>
    <xf numFmtId="4" fontId="26" fillId="0" borderId="0" xfId="38" applyNumberFormat="1" applyFont="1" applyFill="1" applyBorder="1" applyAlignment="1">
      <alignment horizontal="right"/>
      <protection/>
    </xf>
    <xf numFmtId="2" fontId="50" fillId="0" borderId="0" xfId="38" applyNumberFormat="1" applyFont="1" applyBorder="1" applyAlignment="1" applyProtection="1">
      <alignment horizontal="left"/>
      <protection/>
    </xf>
    <xf numFmtId="166" fontId="50" fillId="0" borderId="0" xfId="38" applyNumberFormat="1" applyFont="1" applyBorder="1" applyAlignment="1" applyProtection="1">
      <alignment horizontal="center"/>
      <protection/>
    </xf>
    <xf numFmtId="0" fontId="50" fillId="0" borderId="0" xfId="38" applyFont="1" applyBorder="1" applyAlignment="1" applyProtection="1">
      <alignment horizontal="center"/>
      <protection/>
    </xf>
    <xf numFmtId="165" fontId="50" fillId="0" borderId="0" xfId="38" applyNumberFormat="1" applyFont="1" applyBorder="1" applyAlignment="1" applyProtection="1">
      <alignment horizontal="center"/>
      <protection/>
    </xf>
    <xf numFmtId="0" fontId="55" fillId="0" borderId="0" xfId="38" applyFont="1">
      <alignment/>
      <protection/>
    </xf>
    <xf numFmtId="168" fontId="50" fillId="0" borderId="0" xfId="38" applyNumberFormat="1" applyFont="1" applyBorder="1" applyAlignment="1" applyProtection="1" quotePrefix="1">
      <alignment horizontal="center"/>
      <protection/>
    </xf>
    <xf numFmtId="0" fontId="50" fillId="0" borderId="0" xfId="38" applyFont="1">
      <alignment/>
      <protection/>
    </xf>
    <xf numFmtId="2" fontId="50" fillId="0" borderId="0" xfId="38" applyNumberFormat="1" applyFont="1" applyBorder="1" applyAlignment="1" applyProtection="1">
      <alignment horizontal="center"/>
      <protection/>
    </xf>
    <xf numFmtId="166" fontId="50" fillId="0" borderId="0" xfId="38" applyNumberFormat="1" applyFont="1" applyBorder="1" applyAlignment="1" applyProtection="1" quotePrefix="1">
      <alignment horizontal="center"/>
      <protection/>
    </xf>
    <xf numFmtId="0" fontId="10" fillId="0" borderId="0" xfId="38" applyFont="1" applyBorder="1" applyAlignment="1">
      <alignment horizontal="center"/>
      <protection/>
    </xf>
    <xf numFmtId="2" fontId="91" fillId="0" borderId="0" xfId="38" applyNumberFormat="1" applyFont="1" applyBorder="1" applyAlignment="1" applyProtection="1">
      <alignment horizontal="left"/>
      <protection/>
    </xf>
    <xf numFmtId="0" fontId="19" fillId="0" borderId="0" xfId="38" applyFont="1" applyAlignment="1">
      <alignment horizontal="center"/>
      <protection/>
    </xf>
    <xf numFmtId="168" fontId="10" fillId="0" borderId="0" xfId="38" applyNumberFormat="1" applyFont="1" applyBorder="1" applyAlignment="1" applyProtection="1">
      <alignment horizontal="left"/>
      <protection/>
    </xf>
    <xf numFmtId="166" fontId="10" fillId="0" borderId="0" xfId="38" applyNumberFormat="1" applyFont="1" applyBorder="1" applyAlignment="1" applyProtection="1">
      <alignment horizontal="left"/>
      <protection/>
    </xf>
    <xf numFmtId="4" fontId="88" fillId="0" borderId="0" xfId="38" applyNumberFormat="1" applyFont="1" applyBorder="1" applyAlignment="1" applyProtection="1">
      <alignment horizontal="center"/>
      <protection/>
    </xf>
    <xf numFmtId="7" fontId="10" fillId="0" borderId="0" xfId="38" applyNumberFormat="1" applyFont="1" applyBorder="1" applyAlignment="1">
      <alignment horizontal="centerContinuous"/>
      <protection/>
    </xf>
    <xf numFmtId="1" fontId="19" fillId="0" borderId="0" xfId="38" applyNumberFormat="1" applyFont="1" applyBorder="1" applyAlignment="1" applyProtection="1">
      <alignment horizontal="center"/>
      <protection/>
    </xf>
    <xf numFmtId="172" fontId="19" fillId="0" borderId="0" xfId="38" applyNumberFormat="1" applyFont="1" applyBorder="1" applyAlignment="1" applyProtection="1">
      <alignment horizontal="centerContinuous"/>
      <protection/>
    </xf>
    <xf numFmtId="172" fontId="50" fillId="0" borderId="0" xfId="38" applyNumberFormat="1" applyFont="1" applyBorder="1" applyAlignment="1" applyProtection="1">
      <alignment horizontal="centerContinuous"/>
      <protection/>
    </xf>
    <xf numFmtId="166" fontId="19" fillId="0" borderId="0" xfId="38" applyNumberFormat="1" applyFont="1" applyBorder="1">
      <alignment/>
      <protection/>
    </xf>
    <xf numFmtId="7" fontId="19" fillId="0" borderId="0" xfId="38" applyNumberFormat="1" applyFont="1" applyBorder="1" applyAlignment="1">
      <alignment horizontal="centerContinuous"/>
      <protection/>
    </xf>
    <xf numFmtId="166" fontId="88" fillId="0" borderId="0" xfId="38" applyNumberFormat="1" applyFont="1" applyBorder="1" applyAlignment="1" applyProtection="1" quotePrefix="1">
      <alignment horizontal="center"/>
      <protection/>
    </xf>
    <xf numFmtId="2" fontId="92" fillId="0" borderId="0" xfId="38" applyNumberFormat="1" applyFont="1" applyBorder="1" applyAlignment="1" applyProtection="1">
      <alignment horizontal="center"/>
      <protection/>
    </xf>
    <xf numFmtId="4" fontId="50" fillId="0" borderId="0" xfId="38" applyNumberFormat="1" applyFont="1" applyBorder="1" applyAlignment="1" applyProtection="1">
      <alignment horizontal="center"/>
      <protection/>
    </xf>
    <xf numFmtId="7" fontId="50" fillId="0" borderId="0" xfId="38" applyNumberFormat="1" applyFont="1" applyFill="1" applyBorder="1" applyAlignment="1">
      <alignment horizontal="center"/>
      <protection/>
    </xf>
    <xf numFmtId="166" fontId="50" fillId="0" borderId="0" xfId="38" applyNumberFormat="1" applyFont="1" applyBorder="1" applyAlignment="1" applyProtection="1" quotePrefix="1">
      <alignment horizontal="left"/>
      <protection/>
    </xf>
    <xf numFmtId="166" fontId="19" fillId="0" borderId="0" xfId="38" applyNumberFormat="1" applyFont="1" applyBorder="1" applyAlignment="1" applyProtection="1">
      <alignment horizontal="centerContinuous"/>
      <protection/>
    </xf>
    <xf numFmtId="1" fontId="19" fillId="0" borderId="0" xfId="38" applyNumberFormat="1" applyFont="1" applyBorder="1" applyAlignment="1" applyProtection="1">
      <alignment horizontal="centerContinuous"/>
      <protection/>
    </xf>
    <xf numFmtId="7" fontId="19" fillId="0" borderId="0" xfId="38" applyNumberFormat="1" applyFont="1" applyBorder="1" applyAlignment="1">
      <alignment horizontal="right"/>
      <protection/>
    </xf>
    <xf numFmtId="0" fontId="113" fillId="0" borderId="8" xfId="38" applyFont="1" applyBorder="1" applyAlignment="1">
      <alignment horizontal="center"/>
      <protection/>
    </xf>
    <xf numFmtId="7" fontId="10" fillId="0" borderId="9" xfId="38" applyNumberFormat="1" applyFont="1" applyBorder="1" applyAlignment="1">
      <alignment horizontal="center"/>
      <protection/>
    </xf>
    <xf numFmtId="166" fontId="3" fillId="0" borderId="0" xfId="38" applyNumberFormat="1" applyFont="1" applyBorder="1" applyAlignment="1" applyProtection="1">
      <alignment horizontal="left"/>
      <protection/>
    </xf>
    <xf numFmtId="10" fontId="19" fillId="0" borderId="0" xfId="38" applyNumberFormat="1" applyFont="1" applyBorder="1" applyAlignment="1" applyProtection="1">
      <alignment horizontal="center"/>
      <protection/>
    </xf>
    <xf numFmtId="7" fontId="19" fillId="0" borderId="0" xfId="38" applyNumberFormat="1" applyFont="1" applyAlignment="1">
      <alignment horizontal="right"/>
      <protection/>
    </xf>
    <xf numFmtId="0" fontId="19" fillId="0" borderId="0" xfId="38" applyFont="1" quotePrefix="1">
      <alignment/>
      <protection/>
    </xf>
    <xf numFmtId="166" fontId="19" fillId="0" borderId="0" xfId="38" applyNumberFormat="1" applyFont="1" applyBorder="1" applyAlignment="1" applyProtection="1" quotePrefix="1">
      <alignment horizontal="center"/>
      <protection/>
    </xf>
    <xf numFmtId="7" fontId="19" fillId="0" borderId="0" xfId="38" applyNumberFormat="1" applyFont="1" applyBorder="1" applyAlignment="1" applyProtection="1">
      <alignment horizontal="left"/>
      <protection/>
    </xf>
    <xf numFmtId="0" fontId="55" fillId="0" borderId="0" xfId="38" applyFont="1" quotePrefix="1">
      <alignment/>
      <protection/>
    </xf>
    <xf numFmtId="0" fontId="27" fillId="0" borderId="0" xfId="38" applyFont="1" applyAlignment="1">
      <alignment vertical="center"/>
      <protection/>
    </xf>
    <xf numFmtId="0" fontId="20" fillId="0" borderId="7" xfId="38" applyFont="1" applyBorder="1" applyAlignment="1">
      <alignment vertical="center"/>
      <protection/>
    </xf>
    <xf numFmtId="0" fontId="20" fillId="0" borderId="0" xfId="38" applyFont="1" applyBorder="1" applyAlignment="1">
      <alignment horizontal="center" vertical="center"/>
      <protection/>
    </xf>
    <xf numFmtId="166" fontId="20" fillId="0" borderId="0" xfId="38" applyNumberFormat="1" applyFont="1" applyBorder="1" applyAlignment="1" applyProtection="1">
      <alignment horizontal="left" vertical="center"/>
      <protection/>
    </xf>
    <xf numFmtId="0" fontId="27" fillId="0" borderId="0" xfId="38" applyFont="1" applyAlignment="1" quotePrefix="1">
      <alignment vertical="center"/>
      <protection/>
    </xf>
    <xf numFmtId="0" fontId="20" fillId="0" borderId="0" xfId="38" applyFont="1" applyBorder="1" applyAlignment="1" applyProtection="1">
      <alignment horizontal="center" vertical="center"/>
      <protection/>
    </xf>
    <xf numFmtId="165" fontId="20" fillId="0" borderId="0" xfId="38" applyNumberFormat="1" applyFont="1" applyBorder="1" applyAlignment="1" applyProtection="1">
      <alignment horizontal="center" vertical="center"/>
      <protection/>
    </xf>
    <xf numFmtId="4" fontId="22" fillId="0" borderId="8" xfId="38" applyNumberFormat="1" applyFont="1" applyBorder="1" applyAlignment="1" applyProtection="1">
      <alignment horizontal="center" vertical="center"/>
      <protection/>
    </xf>
    <xf numFmtId="7" fontId="93" fillId="0" borderId="9" xfId="38" applyNumberFormat="1" applyFont="1" applyFill="1" applyBorder="1" applyAlignment="1">
      <alignment horizontal="center" vertical="center"/>
      <protection/>
    </xf>
    <xf numFmtId="166" fontId="20" fillId="0" borderId="0" xfId="38" applyNumberFormat="1" applyFont="1" applyBorder="1" applyAlignment="1" applyProtection="1">
      <alignment horizontal="center" vertical="center"/>
      <protection/>
    </xf>
    <xf numFmtId="166" fontId="22" fillId="0" borderId="0" xfId="38" applyNumberFormat="1" applyFont="1" applyBorder="1" applyAlignment="1" applyProtection="1">
      <alignment horizontal="left" vertical="center"/>
      <protection/>
    </xf>
    <xf numFmtId="168" fontId="20" fillId="0" borderId="0" xfId="38" applyNumberFormat="1" applyFont="1" applyBorder="1" applyAlignment="1" applyProtection="1" quotePrefix="1">
      <alignment horizontal="center" vertical="center"/>
      <protection/>
    </xf>
    <xf numFmtId="2" fontId="94" fillId="0" borderId="0" xfId="38" applyNumberFormat="1" applyFont="1" applyBorder="1" applyAlignment="1" applyProtection="1">
      <alignment horizontal="center" vertical="center"/>
      <protection/>
    </xf>
    <xf numFmtId="166" fontId="95" fillId="0" borderId="0" xfId="38" applyNumberFormat="1" applyFont="1" applyBorder="1" applyAlignment="1" applyProtection="1" quotePrefix="1">
      <alignment horizontal="center" vertical="center"/>
      <protection/>
    </xf>
    <xf numFmtId="4" fontId="20" fillId="0" borderId="1" xfId="38" applyNumberFormat="1" applyFont="1" applyFill="1" applyBorder="1" applyAlignment="1">
      <alignment horizontal="center" vertical="center"/>
      <protection/>
    </xf>
    <xf numFmtId="0" fontId="19" fillId="0" borderId="10" xfId="38" applyFont="1" applyBorder="1">
      <alignment/>
      <protection/>
    </xf>
    <xf numFmtId="0" fontId="19" fillId="0" borderId="11" xfId="38" applyFont="1" applyBorder="1">
      <alignment/>
      <protection/>
    </xf>
    <xf numFmtId="0" fontId="0" fillId="0" borderId="11" xfId="38" applyBorder="1">
      <alignment/>
      <protection/>
    </xf>
    <xf numFmtId="0" fontId="19" fillId="0" borderId="12" xfId="38" applyFont="1" applyFill="1" applyBorder="1">
      <alignment/>
      <protection/>
    </xf>
    <xf numFmtId="0" fontId="4" fillId="0" borderId="0" xfId="38" applyFont="1" applyBorder="1" applyAlignment="1">
      <alignment horizontal="left"/>
      <protection/>
    </xf>
    <xf numFmtId="0" fontId="4" fillId="0" borderId="0" xfId="31" applyFont="1" applyFill="1">
      <alignment/>
      <protection/>
    </xf>
    <xf numFmtId="0" fontId="4" fillId="0" borderId="0" xfId="31" applyFont="1">
      <alignment/>
      <protection/>
    </xf>
    <xf numFmtId="0" fontId="15" fillId="0" borderId="0" xfId="31" applyFont="1">
      <alignment/>
      <protection/>
    </xf>
    <xf numFmtId="0" fontId="4" fillId="0" borderId="6" xfId="31" applyFont="1" applyFill="1" applyBorder="1">
      <alignment/>
      <protection/>
    </xf>
    <xf numFmtId="0" fontId="8" fillId="0" borderId="0" xfId="31" applyFont="1" applyBorder="1" applyAlignment="1">
      <alignment horizontal="left"/>
      <protection/>
    </xf>
    <xf numFmtId="0" fontId="4" fillId="0" borderId="7" xfId="31" applyFont="1" applyFill="1" applyBorder="1">
      <alignment/>
      <protection/>
    </xf>
    <xf numFmtId="0" fontId="4" fillId="0" borderId="1" xfId="31" applyFont="1" applyFill="1" applyBorder="1">
      <alignment/>
      <protection/>
    </xf>
    <xf numFmtId="0" fontId="21" fillId="0" borderId="7" xfId="31" applyFont="1" applyBorder="1" applyAlignment="1">
      <alignment horizontal="centerContinuous"/>
      <protection/>
    </xf>
    <xf numFmtId="0" fontId="21" fillId="0" borderId="0" xfId="31" applyFont="1" applyBorder="1" applyAlignment="1">
      <alignment horizontal="centerContinuous"/>
      <protection/>
    </xf>
    <xf numFmtId="0" fontId="20" fillId="0" borderId="0" xfId="31" applyFont="1">
      <alignment/>
      <protection/>
    </xf>
    <xf numFmtId="0" fontId="4" fillId="0" borderId="0" xfId="31" applyFont="1" applyFill="1" applyBorder="1" applyAlignment="1">
      <alignment horizontal="center"/>
      <protection/>
    </xf>
    <xf numFmtId="0" fontId="0" fillId="0" borderId="0" xfId="31">
      <alignment/>
      <protection/>
    </xf>
    <xf numFmtId="0" fontId="4" fillId="0" borderId="0" xfId="31" applyFont="1" applyBorder="1">
      <alignment/>
      <protection/>
    </xf>
    <xf numFmtId="0" fontId="24" fillId="0" borderId="14" xfId="31" applyFont="1" applyFill="1" applyBorder="1" applyAlignment="1">
      <alignment horizontal="center" vertical="center"/>
      <protection/>
    </xf>
    <xf numFmtId="0" fontId="24" fillId="0" borderId="14" xfId="31" applyFont="1" applyBorder="1" applyAlignment="1">
      <alignment horizontal="center" vertical="center"/>
      <protection/>
    </xf>
    <xf numFmtId="0" fontId="24" fillId="0" borderId="14" xfId="31" applyFont="1" applyFill="1" applyBorder="1" applyAlignment="1" applyProtection="1">
      <alignment horizontal="center" vertical="center" wrapText="1"/>
      <protection/>
    </xf>
    <xf numFmtId="0" fontId="24" fillId="0" borderId="14" xfId="31" applyFont="1" applyFill="1" applyBorder="1" applyAlignment="1" applyProtection="1">
      <alignment horizontal="center" vertical="center"/>
      <protection/>
    </xf>
    <xf numFmtId="0" fontId="24" fillId="0" borderId="14" xfId="31" applyFont="1" applyFill="1" applyBorder="1" applyAlignment="1" applyProtection="1" quotePrefix="1">
      <alignment horizontal="center" vertical="center" wrapText="1"/>
      <protection/>
    </xf>
    <xf numFmtId="0" fontId="24" fillId="0" borderId="14" xfId="31" applyFont="1" applyFill="1" applyBorder="1" applyAlignment="1">
      <alignment horizontal="center" vertical="center" wrapText="1"/>
      <protection/>
    </xf>
    <xf numFmtId="0" fontId="32" fillId="2" borderId="14" xfId="31" applyFont="1" applyFill="1" applyBorder="1" applyAlignment="1" applyProtection="1">
      <alignment horizontal="center" vertical="center"/>
      <protection/>
    </xf>
    <xf numFmtId="0" fontId="24" fillId="0" borderId="8" xfId="31" applyFont="1" applyBorder="1" applyAlignment="1" applyProtection="1">
      <alignment horizontal="center" vertical="center" wrapText="1"/>
      <protection/>
    </xf>
    <xf numFmtId="0" fontId="69" fillId="6" borderId="14" xfId="31" applyFont="1" applyFill="1" applyBorder="1" applyAlignment="1">
      <alignment horizontal="center" vertical="center" wrapText="1"/>
      <protection/>
    </xf>
    <xf numFmtId="0" fontId="37" fillId="10" borderId="8" xfId="31" applyFont="1" applyFill="1" applyBorder="1" applyAlignment="1" applyProtection="1">
      <alignment horizontal="centerContinuous" vertical="center" wrapText="1"/>
      <protection/>
    </xf>
    <xf numFmtId="0" fontId="37" fillId="10" borderId="9" xfId="31" applyFont="1" applyFill="1" applyBorder="1" applyAlignment="1">
      <alignment horizontal="centerContinuous" vertical="center"/>
      <protection/>
    </xf>
    <xf numFmtId="0" fontId="24" fillId="0" borderId="14" xfId="31" applyFont="1" applyBorder="1" applyAlignment="1">
      <alignment horizontal="center" vertical="center" wrapText="1"/>
      <protection/>
    </xf>
    <xf numFmtId="168" fontId="4" fillId="0" borderId="4" xfId="31" applyNumberFormat="1" applyFont="1" applyBorder="1" applyAlignment="1" applyProtection="1" quotePrefix="1">
      <alignment horizontal="center"/>
      <protection/>
    </xf>
    <xf numFmtId="2" fontId="71" fillId="6" borderId="2" xfId="31" applyNumberFormat="1" applyFont="1" applyFill="1" applyBorder="1" applyAlignment="1" applyProtection="1">
      <alignment horizontal="center"/>
      <protection/>
    </xf>
    <xf numFmtId="166" fontId="72" fillId="10" borderId="37" xfId="31" applyNumberFormat="1" applyFont="1" applyFill="1" applyBorder="1" applyAlignment="1" applyProtection="1" quotePrefix="1">
      <alignment horizontal="center"/>
      <protection/>
    </xf>
    <xf numFmtId="166" fontId="72" fillId="10" borderId="38" xfId="31" applyNumberFormat="1" applyFont="1" applyFill="1" applyBorder="1" applyAlignment="1" applyProtection="1" quotePrefix="1">
      <alignment horizontal="center"/>
      <protection/>
    </xf>
    <xf numFmtId="0" fontId="4" fillId="0" borderId="2" xfId="31" applyFont="1" applyFill="1" applyBorder="1" applyAlignment="1">
      <alignment horizontal="center"/>
      <protection/>
    </xf>
    <xf numFmtId="0" fontId="12" fillId="0" borderId="0" xfId="33" applyFont="1">
      <alignment/>
      <protection/>
    </xf>
    <xf numFmtId="0" fontId="51" fillId="0" borderId="0" xfId="33" applyFont="1" applyAlignment="1">
      <alignment horizontal="right" vertical="top"/>
      <protection/>
    </xf>
    <xf numFmtId="0" fontId="12" fillId="0" borderId="0" xfId="33" applyFont="1" applyFill="1">
      <alignment/>
      <protection/>
    </xf>
    <xf numFmtId="0" fontId="13" fillId="0" borderId="0" xfId="33" applyFont="1" applyAlignment="1">
      <alignment horizontal="centerContinuous"/>
      <protection/>
    </xf>
    <xf numFmtId="0" fontId="4" fillId="0" borderId="0" xfId="33" applyFont="1" applyFill="1">
      <alignment/>
      <protection/>
    </xf>
    <xf numFmtId="0" fontId="4" fillId="0" borderId="0" xfId="33" applyFont="1">
      <alignment/>
      <protection/>
    </xf>
    <xf numFmtId="0" fontId="11" fillId="0" borderId="0" xfId="33" applyFont="1" applyFill="1" applyBorder="1" applyAlignment="1" applyProtection="1">
      <alignment horizontal="centerContinuous"/>
      <protection/>
    </xf>
    <xf numFmtId="0" fontId="15" fillId="0" borderId="0" xfId="33" applyFont="1" applyAlignment="1">
      <alignment horizontal="centerContinuous"/>
      <protection/>
    </xf>
    <xf numFmtId="0" fontId="15" fillId="0" borderId="0" xfId="33" applyFont="1">
      <alignment/>
      <protection/>
    </xf>
    <xf numFmtId="0" fontId="4" fillId="0" borderId="13" xfId="33" applyFont="1" applyBorder="1">
      <alignment/>
      <protection/>
    </xf>
    <xf numFmtId="0" fontId="4" fillId="0" borderId="5" xfId="33" applyFont="1" applyBorder="1">
      <alignment/>
      <protection/>
    </xf>
    <xf numFmtId="0" fontId="4" fillId="0" borderId="6" xfId="33" applyFont="1" applyBorder="1">
      <alignment/>
      <protection/>
    </xf>
    <xf numFmtId="0" fontId="17" fillId="0" borderId="0" xfId="33" applyFont="1">
      <alignment/>
      <protection/>
    </xf>
    <xf numFmtId="0" fontId="17" fillId="0" borderId="7" xfId="33" applyFont="1" applyBorder="1">
      <alignment/>
      <protection/>
    </xf>
    <xf numFmtId="0" fontId="17" fillId="0" borderId="0" xfId="33" applyFont="1" applyBorder="1">
      <alignment/>
      <protection/>
    </xf>
    <xf numFmtId="0" fontId="8" fillId="0" borderId="0" xfId="33" applyFont="1" applyFill="1" applyBorder="1">
      <alignment/>
      <protection/>
    </xf>
    <xf numFmtId="0" fontId="17" fillId="0" borderId="0" xfId="33" applyFont="1" applyFill="1">
      <alignment/>
      <protection/>
    </xf>
    <xf numFmtId="0" fontId="17" fillId="0" borderId="0" xfId="33" applyFont="1" applyFill="1" applyBorder="1">
      <alignment/>
      <protection/>
    </xf>
    <xf numFmtId="0" fontId="17" fillId="0" borderId="1" xfId="33" applyFont="1" applyBorder="1">
      <alignment/>
      <protection/>
    </xf>
    <xf numFmtId="0" fontId="4" fillId="0" borderId="7" xfId="33" applyFont="1" applyBorder="1">
      <alignment/>
      <protection/>
    </xf>
    <xf numFmtId="0" fontId="4" fillId="0" borderId="0" xfId="33" applyFont="1" applyBorder="1">
      <alignment/>
      <protection/>
    </xf>
    <xf numFmtId="0" fontId="4" fillId="0" borderId="0" xfId="33" applyFont="1" applyFill="1" applyBorder="1">
      <alignment/>
      <protection/>
    </xf>
    <xf numFmtId="0" fontId="4" fillId="0" borderId="1" xfId="33" applyFont="1" applyBorder="1">
      <alignment/>
      <protection/>
    </xf>
    <xf numFmtId="0" fontId="8" fillId="0" borderId="0" xfId="33" applyFont="1" applyFill="1">
      <alignment/>
      <protection/>
    </xf>
    <xf numFmtId="0" fontId="48" fillId="0" borderId="0" xfId="33" applyFont="1" applyFill="1">
      <alignment/>
      <protection/>
    </xf>
    <xf numFmtId="0" fontId="17" fillId="0" borderId="0" xfId="33" applyFont="1" applyFill="1" applyBorder="1" applyProtection="1">
      <alignment/>
      <protection/>
    </xf>
    <xf numFmtId="0" fontId="2" fillId="0" borderId="0" xfId="33" applyFont="1" applyFill="1">
      <alignment/>
      <protection/>
    </xf>
    <xf numFmtId="0" fontId="4" fillId="0" borderId="0" xfId="33" applyFont="1" applyFill="1" applyBorder="1" applyProtection="1">
      <alignment/>
      <protection/>
    </xf>
    <xf numFmtId="0" fontId="23" fillId="0" borderId="0" xfId="33" applyFont="1" applyBorder="1">
      <alignment/>
      <protection/>
    </xf>
    <xf numFmtId="0" fontId="21" fillId="0" borderId="7" xfId="33" applyFont="1" applyBorder="1" applyAlignment="1">
      <alignment horizontal="centerContinuous"/>
      <protection/>
    </xf>
    <xf numFmtId="0" fontId="21" fillId="0" borderId="0" xfId="33" applyFont="1" applyBorder="1" applyAlignment="1">
      <alignment horizontal="centerContinuous"/>
      <protection/>
    </xf>
    <xf numFmtId="0" fontId="21" fillId="0" borderId="0" xfId="33" applyFont="1" applyBorder="1" applyAlignment="1" applyProtection="1">
      <alignment horizontal="centerContinuous"/>
      <protection/>
    </xf>
    <xf numFmtId="0" fontId="21" fillId="0" borderId="1" xfId="33" applyFont="1" applyBorder="1" applyAlignment="1">
      <alignment horizontal="centerContinuous"/>
      <protection/>
    </xf>
    <xf numFmtId="0" fontId="23" fillId="0" borderId="7" xfId="33" applyFont="1" applyBorder="1" applyAlignment="1">
      <alignment horizontal="centerContinuous"/>
      <protection/>
    </xf>
    <xf numFmtId="0" fontId="23" fillId="0" borderId="0" xfId="33" applyFont="1" applyBorder="1" applyAlignment="1">
      <alignment horizontal="centerContinuous"/>
      <protection/>
    </xf>
    <xf numFmtId="0" fontId="23" fillId="0" borderId="0" xfId="33" applyFont="1" applyBorder="1" applyAlignment="1" applyProtection="1">
      <alignment horizontal="centerContinuous"/>
      <protection/>
    </xf>
    <xf numFmtId="0" fontId="23" fillId="0" borderId="1" xfId="33" applyFont="1" applyBorder="1" applyAlignment="1">
      <alignment horizontal="centerContinuous"/>
      <protection/>
    </xf>
    <xf numFmtId="0" fontId="0" fillId="0" borderId="0" xfId="33" applyFont="1" applyBorder="1">
      <alignment/>
      <protection/>
    </xf>
    <xf numFmtId="0" fontId="0" fillId="0" borderId="14" xfId="33" applyFont="1" applyBorder="1" applyAlignment="1">
      <alignment horizontal="center"/>
      <protection/>
    </xf>
    <xf numFmtId="0" fontId="0" fillId="0" borderId="8" xfId="33" applyFont="1" applyBorder="1" applyAlignment="1" applyProtection="1">
      <alignment horizontal="left" vertical="center"/>
      <protection/>
    </xf>
    <xf numFmtId="169" fontId="0" fillId="0" borderId="9" xfId="33" applyNumberFormat="1" applyFont="1" applyBorder="1" applyAlignment="1" applyProtection="1">
      <alignment horizontal="center" vertical="center"/>
      <protection/>
    </xf>
    <xf numFmtId="0" fontId="0" fillId="0" borderId="14" xfId="33" applyFont="1" applyBorder="1" applyAlignment="1">
      <alignment horizontal="center" vertical="center"/>
      <protection/>
    </xf>
    <xf numFmtId="22" fontId="4" fillId="0" borderId="0" xfId="33" applyNumberFormat="1" applyFont="1" applyBorder="1">
      <alignment/>
      <protection/>
    </xf>
    <xf numFmtId="0" fontId="0" fillId="0" borderId="8" xfId="33" applyFont="1" applyBorder="1" applyAlignment="1">
      <alignment vertical="center"/>
      <protection/>
    </xf>
    <xf numFmtId="169" fontId="0" fillId="0" borderId="9" xfId="33" applyNumberFormat="1" applyFont="1" applyBorder="1" applyAlignment="1">
      <alignment horizontal="center" vertical="center"/>
      <protection/>
    </xf>
    <xf numFmtId="0" fontId="0" fillId="0" borderId="8" xfId="33" applyFont="1" applyBorder="1" applyAlignment="1">
      <alignment horizontal="left" vertical="center"/>
      <protection/>
    </xf>
    <xf numFmtId="0" fontId="0" fillId="0" borderId="0" xfId="33" applyFont="1" applyBorder="1" applyAlignment="1" applyProtection="1">
      <alignment horizontal="center"/>
      <protection/>
    </xf>
    <xf numFmtId="169" fontId="0" fillId="0" borderId="0" xfId="33" applyNumberFormat="1" applyFont="1" applyBorder="1" applyAlignment="1">
      <alignment horizontal="centerContinuous"/>
      <protection/>
    </xf>
    <xf numFmtId="0" fontId="42" fillId="0" borderId="0" xfId="33" applyFont="1" applyBorder="1">
      <alignment/>
      <protection/>
    </xf>
    <xf numFmtId="0" fontId="24" fillId="0" borderId="14" xfId="33" applyFont="1" applyFill="1" applyBorder="1" applyAlignment="1">
      <alignment horizontal="center" vertical="center"/>
      <protection/>
    </xf>
    <xf numFmtId="0" fontId="24" fillId="0" borderId="14" xfId="33" applyFont="1" applyBorder="1" applyAlignment="1">
      <alignment horizontal="center" vertical="center"/>
      <protection/>
    </xf>
    <xf numFmtId="0" fontId="24" fillId="0" borderId="14" xfId="33" applyFont="1" applyBorder="1" applyAlignment="1" applyProtection="1">
      <alignment horizontal="center" vertical="center" wrapText="1"/>
      <protection/>
    </xf>
    <xf numFmtId="0" fontId="24" fillId="0" borderId="9" xfId="33" applyFont="1" applyBorder="1" applyAlignment="1" applyProtection="1">
      <alignment horizontal="center" vertical="center"/>
      <protection/>
    </xf>
    <xf numFmtId="0" fontId="24" fillId="0" borderId="15" xfId="33" applyFont="1" applyBorder="1" applyAlignment="1">
      <alignment horizontal="center" vertical="center" wrapText="1"/>
      <protection/>
    </xf>
    <xf numFmtId="0" fontId="32" fillId="2" borderId="14" xfId="33" applyFont="1" applyFill="1" applyBorder="1" applyAlignment="1" applyProtection="1">
      <alignment horizontal="center" vertical="center"/>
      <protection/>
    </xf>
    <xf numFmtId="0" fontId="24" fillId="0" borderId="14" xfId="33" applyFont="1" applyBorder="1" applyAlignment="1" applyProtection="1">
      <alignment horizontal="center" vertical="center"/>
      <protection/>
    </xf>
    <xf numFmtId="0" fontId="24" fillId="0" borderId="9" xfId="33" applyFont="1" applyBorder="1" applyAlignment="1" applyProtection="1">
      <alignment horizontal="center" vertical="center" wrapText="1"/>
      <protection/>
    </xf>
    <xf numFmtId="0" fontId="24" fillId="0" borderId="8" xfId="33" applyFont="1" applyBorder="1" applyAlignment="1" applyProtection="1">
      <alignment horizontal="center" vertical="center" wrapText="1"/>
      <protection/>
    </xf>
    <xf numFmtId="0" fontId="24" fillId="0" borderId="8" xfId="33" applyFont="1" applyBorder="1" applyAlignment="1" applyProtection="1">
      <alignment horizontal="center" vertical="center"/>
      <protection/>
    </xf>
    <xf numFmtId="0" fontId="39" fillId="4" borderId="14" xfId="33" applyFont="1" applyFill="1" applyBorder="1" applyAlignment="1" applyProtection="1">
      <alignment horizontal="center" vertical="center"/>
      <protection/>
    </xf>
    <xf numFmtId="0" fontId="37" fillId="10" borderId="14" xfId="33" applyFont="1" applyFill="1" applyBorder="1" applyAlignment="1">
      <alignment horizontal="center" vertical="center" wrapText="1"/>
      <protection/>
    </xf>
    <xf numFmtId="0" fontId="57" fillId="6" borderId="8" xfId="33" applyFont="1" applyFill="1" applyBorder="1" applyAlignment="1" applyProtection="1">
      <alignment horizontal="centerContinuous" vertical="center" wrapText="1"/>
      <protection/>
    </xf>
    <xf numFmtId="0" fontId="57" fillId="6" borderId="9" xfId="33" applyFont="1" applyFill="1" applyBorder="1" applyAlignment="1">
      <alignment horizontal="centerContinuous" vertical="center"/>
      <protection/>
    </xf>
    <xf numFmtId="0" fontId="39" fillId="3" borderId="14" xfId="33" applyFont="1" applyFill="1" applyBorder="1" applyAlignment="1">
      <alignment horizontal="center" vertical="center" wrapText="1"/>
      <protection/>
    </xf>
    <xf numFmtId="0" fontId="24" fillId="0" borderId="14" xfId="33" applyFont="1" applyBorder="1" applyAlignment="1">
      <alignment horizontal="center" vertical="center" wrapText="1"/>
      <protection/>
    </xf>
    <xf numFmtId="0" fontId="24" fillId="0" borderId="14" xfId="33" applyFont="1" applyFill="1" applyBorder="1" applyAlignment="1">
      <alignment horizontal="center" vertical="center" wrapText="1"/>
      <protection/>
    </xf>
    <xf numFmtId="0" fontId="4" fillId="0" borderId="30" xfId="33" applyFont="1" applyFill="1" applyBorder="1" applyAlignment="1">
      <alignment horizontal="center"/>
      <protection/>
    </xf>
    <xf numFmtId="0" fontId="9" fillId="0" borderId="2" xfId="33" applyFont="1" applyBorder="1" applyAlignment="1" applyProtection="1">
      <alignment horizontal="center"/>
      <protection/>
    </xf>
    <xf numFmtId="0" fontId="33" fillId="2" borderId="2" xfId="33" applyFont="1" applyFill="1" applyBorder="1" applyAlignment="1" applyProtection="1">
      <alignment horizontal="center"/>
      <protection/>
    </xf>
    <xf numFmtId="0" fontId="42" fillId="4" borderId="17" xfId="33" applyFont="1" applyFill="1" applyBorder="1" applyAlignment="1" applyProtection="1">
      <alignment horizontal="center"/>
      <protection/>
    </xf>
    <xf numFmtId="0" fontId="72" fillId="10" borderId="17" xfId="33" applyFont="1" applyFill="1" applyBorder="1" applyAlignment="1" applyProtection="1">
      <alignment horizontal="center"/>
      <protection/>
    </xf>
    <xf numFmtId="166" fontId="59" fillId="6" borderId="32" xfId="33" applyNumberFormat="1" applyFont="1" applyFill="1" applyBorder="1" applyAlignment="1" applyProtection="1" quotePrefix="1">
      <alignment horizontal="center"/>
      <protection/>
    </xf>
    <xf numFmtId="166" fontId="59" fillId="6" borderId="33" xfId="33" applyNumberFormat="1" applyFont="1" applyFill="1" applyBorder="1" applyAlignment="1" applyProtection="1" quotePrefix="1">
      <alignment horizontal="center"/>
      <protection/>
    </xf>
    <xf numFmtId="166" fontId="41" fillId="3" borderId="17" xfId="33" applyNumberFormat="1" applyFont="1" applyFill="1" applyBorder="1" applyAlignment="1" applyProtection="1" quotePrefix="1">
      <alignment horizontal="center"/>
      <protection/>
    </xf>
    <xf numFmtId="7" fontId="75" fillId="0" borderId="2" xfId="33" applyNumberFormat="1" applyFont="1" applyBorder="1" applyAlignment="1" applyProtection="1">
      <alignment/>
      <protection/>
    </xf>
    <xf numFmtId="0" fontId="9" fillId="0" borderId="21" xfId="33" applyFont="1" applyBorder="1" applyAlignment="1" applyProtection="1">
      <alignment horizontal="center"/>
      <protection/>
    </xf>
    <xf numFmtId="0" fontId="33" fillId="2" borderId="21" xfId="33" applyFont="1" applyFill="1" applyBorder="1" applyAlignment="1" applyProtection="1">
      <alignment horizontal="center"/>
      <protection/>
    </xf>
    <xf numFmtId="0" fontId="42" fillId="4" borderId="2" xfId="33" applyFont="1" applyFill="1" applyBorder="1" applyAlignment="1" applyProtection="1">
      <alignment horizontal="center"/>
      <protection/>
    </xf>
    <xf numFmtId="0" fontId="72" fillId="10" borderId="2" xfId="33" applyFont="1" applyFill="1" applyBorder="1" applyAlignment="1" applyProtection="1">
      <alignment horizontal="center"/>
      <protection/>
    </xf>
    <xf numFmtId="166" fontId="59" fillId="6" borderId="22" xfId="33" applyNumberFormat="1" applyFont="1" applyFill="1" applyBorder="1" applyAlignment="1" applyProtection="1" quotePrefix="1">
      <alignment horizontal="center"/>
      <protection/>
    </xf>
    <xf numFmtId="166" fontId="59" fillId="6" borderId="46" xfId="33" applyNumberFormat="1" applyFont="1" applyFill="1" applyBorder="1" applyAlignment="1" applyProtection="1" quotePrefix="1">
      <alignment horizontal="center"/>
      <protection/>
    </xf>
    <xf numFmtId="166" fontId="41" fillId="3" borderId="2" xfId="33" applyNumberFormat="1" applyFont="1" applyFill="1" applyBorder="1" applyAlignment="1" applyProtection="1" quotePrefix="1">
      <alignment horizontal="center"/>
      <protection/>
    </xf>
    <xf numFmtId="166" fontId="26" fillId="0" borderId="2" xfId="33" applyNumberFormat="1" applyFont="1" applyFill="1" applyBorder="1" applyAlignment="1">
      <alignment horizontal="center"/>
      <protection/>
    </xf>
    <xf numFmtId="0" fontId="9" fillId="0" borderId="21" xfId="33" applyFont="1" applyBorder="1" applyAlignment="1" applyProtection="1">
      <alignment horizontal="center"/>
      <protection locked="0"/>
    </xf>
    <xf numFmtId="164" fontId="6" fillId="0" borderId="2" xfId="33" applyNumberFormat="1" applyFont="1" applyBorder="1" applyAlignment="1" applyProtection="1" quotePrefix="1">
      <alignment horizontal="center"/>
      <protection locked="0"/>
    </xf>
    <xf numFmtId="166" fontId="33" fillId="2" borderId="2" xfId="33" applyNumberFormat="1" applyFont="1" applyFill="1" applyBorder="1" applyAlignment="1" applyProtection="1">
      <alignment horizontal="center"/>
      <protection/>
    </xf>
    <xf numFmtId="22" fontId="4" fillId="0" borderId="2" xfId="33" applyNumberFormat="1" applyFont="1" applyBorder="1" applyAlignment="1" applyProtection="1">
      <alignment horizontal="center"/>
      <protection locked="0"/>
    </xf>
    <xf numFmtId="2" fontId="4" fillId="0" borderId="2" xfId="33" applyNumberFormat="1" applyFont="1" applyFill="1" applyBorder="1" applyAlignment="1" applyProtection="1" quotePrefix="1">
      <alignment horizontal="center"/>
      <protection/>
    </xf>
    <xf numFmtId="164" fontId="4" fillId="0" borderId="2" xfId="33" applyNumberFormat="1" applyFont="1" applyFill="1" applyBorder="1" applyAlignment="1" applyProtection="1" quotePrefix="1">
      <alignment horizontal="center"/>
      <protection/>
    </xf>
    <xf numFmtId="166" fontId="4" fillId="0" borderId="2" xfId="33" applyNumberFormat="1" applyFont="1" applyBorder="1" applyAlignment="1" applyProtection="1">
      <alignment horizontal="center"/>
      <protection/>
    </xf>
    <xf numFmtId="164" fontId="42" fillId="4" borderId="2" xfId="33" applyNumberFormat="1" applyFont="1" applyFill="1" applyBorder="1" applyAlignment="1" applyProtection="1">
      <alignment horizontal="center"/>
      <protection/>
    </xf>
    <xf numFmtId="2" fontId="72" fillId="10" borderId="2" xfId="33" applyNumberFormat="1" applyFont="1" applyFill="1" applyBorder="1" applyAlignment="1" applyProtection="1">
      <alignment horizontal="center"/>
      <protection/>
    </xf>
    <xf numFmtId="4" fontId="26" fillId="0" borderId="2" xfId="33" applyNumberFormat="1" applyFont="1" applyFill="1" applyBorder="1" applyAlignment="1">
      <alignment horizontal="right"/>
      <protection/>
    </xf>
    <xf numFmtId="164" fontId="6" fillId="0" borderId="3" xfId="33" applyNumberFormat="1" applyFont="1" applyBorder="1" applyAlignment="1" applyProtection="1">
      <alignment horizontal="center"/>
      <protection locked="0"/>
    </xf>
    <xf numFmtId="166" fontId="33" fillId="2" borderId="3" xfId="33" applyNumberFormat="1" applyFont="1" applyFill="1" applyBorder="1" applyAlignment="1" applyProtection="1">
      <alignment horizontal="center"/>
      <protection/>
    </xf>
    <xf numFmtId="166" fontId="4" fillId="0" borderId="20" xfId="33" applyNumberFormat="1" applyFont="1" applyBorder="1" applyAlignment="1" applyProtection="1">
      <alignment horizontal="center"/>
      <protection locked="0"/>
    </xf>
    <xf numFmtId="166" fontId="4" fillId="0" borderId="20" xfId="33" applyNumberFormat="1" applyFont="1" applyBorder="1" applyAlignment="1" applyProtection="1">
      <alignment horizontal="center"/>
      <protection/>
    </xf>
    <xf numFmtId="166" fontId="4" fillId="0" borderId="3" xfId="33" applyNumberFormat="1" applyFont="1" applyBorder="1" applyAlignment="1" applyProtection="1">
      <alignment horizontal="center"/>
      <protection locked="0"/>
    </xf>
    <xf numFmtId="164" fontId="42" fillId="4" borderId="3" xfId="33" applyNumberFormat="1" applyFont="1" applyFill="1" applyBorder="1" applyAlignment="1" applyProtection="1">
      <alignment horizontal="center"/>
      <protection locked="0"/>
    </xf>
    <xf numFmtId="2" fontId="72" fillId="10" borderId="3" xfId="33" applyNumberFormat="1" applyFont="1" applyFill="1" applyBorder="1" applyAlignment="1" applyProtection="1">
      <alignment horizontal="center"/>
      <protection locked="0"/>
    </xf>
    <xf numFmtId="166" fontId="59" fillId="6" borderId="25" xfId="33" applyNumberFormat="1" applyFont="1" applyFill="1" applyBorder="1" applyAlignment="1" applyProtection="1" quotePrefix="1">
      <alignment horizontal="center"/>
      <protection locked="0"/>
    </xf>
    <xf numFmtId="166" fontId="59" fillId="6" borderId="27" xfId="33" applyNumberFormat="1" applyFont="1" applyFill="1" applyBorder="1" applyAlignment="1" applyProtection="1" quotePrefix="1">
      <alignment horizontal="center"/>
      <protection locked="0"/>
    </xf>
    <xf numFmtId="166" fontId="41" fillId="3" borderId="3" xfId="33" applyNumberFormat="1" applyFont="1" applyFill="1" applyBorder="1" applyAlignment="1" applyProtection="1" quotePrefix="1">
      <alignment horizontal="center"/>
      <protection locked="0"/>
    </xf>
    <xf numFmtId="7" fontId="25" fillId="0" borderId="28" xfId="33" applyNumberFormat="1" applyFont="1" applyFill="1" applyBorder="1" applyAlignment="1">
      <alignment horizontal="right"/>
      <protection/>
    </xf>
    <xf numFmtId="0" fontId="29" fillId="0" borderId="16" xfId="33" applyFont="1" applyBorder="1" applyAlignment="1">
      <alignment horizontal="center"/>
      <protection/>
    </xf>
    <xf numFmtId="0" fontId="109" fillId="0" borderId="0" xfId="33" applyFont="1" applyBorder="1" applyAlignment="1">
      <alignment horizontal="left"/>
      <protection/>
    </xf>
    <xf numFmtId="0" fontId="31" fillId="0" borderId="0" xfId="33" applyFont="1" applyBorder="1" applyAlignment="1" applyProtection="1">
      <alignment horizontal="left"/>
      <protection/>
    </xf>
    <xf numFmtId="0" fontId="0" fillId="0" borderId="0" xfId="33">
      <alignment/>
      <protection/>
    </xf>
    <xf numFmtId="4" fontId="72" fillId="10" borderId="14" xfId="33" applyNumberFormat="1" applyFont="1" applyFill="1" applyBorder="1" applyAlignment="1">
      <alignment horizontal="center"/>
      <protection/>
    </xf>
    <xf numFmtId="4" fontId="59" fillId="6" borderId="43" xfId="33" applyNumberFormat="1" applyFont="1" applyFill="1" applyBorder="1" applyAlignment="1">
      <alignment horizontal="center"/>
      <protection/>
    </xf>
    <xf numFmtId="4" fontId="59" fillId="6" borderId="44" xfId="33" applyNumberFormat="1" applyFont="1" applyFill="1" applyBorder="1" applyAlignment="1">
      <alignment horizontal="center"/>
      <protection/>
    </xf>
    <xf numFmtId="4" fontId="41" fillId="3" borderId="14" xfId="33" applyNumberFormat="1" applyFont="1" applyFill="1" applyBorder="1" applyAlignment="1">
      <alignment horizontal="center"/>
      <protection/>
    </xf>
    <xf numFmtId="4" fontId="18" fillId="0" borderId="0" xfId="33" applyNumberFormat="1" applyFont="1" applyFill="1" applyBorder="1" applyAlignment="1">
      <alignment horizontal="center"/>
      <protection/>
    </xf>
    <xf numFmtId="7" fontId="10" fillId="0" borderId="14" xfId="33" applyNumberFormat="1" applyFont="1" applyFill="1" applyBorder="1" applyAlignment="1">
      <alignment horizontal="right"/>
      <protection/>
    </xf>
    <xf numFmtId="0" fontId="4" fillId="0" borderId="10" xfId="33" applyFont="1" applyBorder="1">
      <alignment/>
      <protection/>
    </xf>
    <xf numFmtId="0" fontId="4" fillId="0" borderId="11" xfId="33" applyFont="1" applyBorder="1">
      <alignment/>
      <protection/>
    </xf>
    <xf numFmtId="0" fontId="4" fillId="0" borderId="12" xfId="33" applyFont="1" applyBorder="1">
      <alignment/>
      <protection/>
    </xf>
    <xf numFmtId="0" fontId="1" fillId="0" borderId="0" xfId="33" applyFont="1">
      <alignment/>
      <protection/>
    </xf>
    <xf numFmtId="0" fontId="51" fillId="0" borderId="0" xfId="31" applyFont="1" applyAlignment="1">
      <alignment horizontal="right" vertical="top"/>
      <protection/>
    </xf>
    <xf numFmtId="0" fontId="79" fillId="0" borderId="0" xfId="31" applyFont="1" applyFill="1">
      <alignment/>
      <protection/>
    </xf>
    <xf numFmtId="0" fontId="80" fillId="0" borderId="0" xfId="31" applyFont="1" applyAlignment="1">
      <alignment horizontal="centerContinuous"/>
      <protection/>
    </xf>
    <xf numFmtId="0" fontId="79" fillId="0" borderId="0" xfId="31" applyFont="1" applyAlignment="1">
      <alignment horizontal="centerContinuous"/>
      <protection/>
    </xf>
    <xf numFmtId="0" fontId="79" fillId="0" borderId="0" xfId="31" applyFont="1">
      <alignment/>
      <protection/>
    </xf>
    <xf numFmtId="0" fontId="11" fillId="0" borderId="0" xfId="31" applyFont="1" applyFill="1" applyBorder="1" applyAlignment="1" applyProtection="1">
      <alignment horizontal="center"/>
      <protection/>
    </xf>
    <xf numFmtId="0" fontId="11" fillId="0" borderId="0" xfId="31" applyFont="1" applyFill="1" applyBorder="1" applyAlignment="1" applyProtection="1">
      <alignment horizontal="left"/>
      <protection/>
    </xf>
    <xf numFmtId="0" fontId="4" fillId="0" borderId="13" xfId="31" applyFont="1" applyBorder="1">
      <alignment/>
      <protection/>
    </xf>
    <xf numFmtId="0" fontId="4" fillId="0" borderId="5" xfId="31" applyFont="1" applyBorder="1">
      <alignment/>
      <protection/>
    </xf>
    <xf numFmtId="0" fontId="4" fillId="0" borderId="5" xfId="31" applyFont="1" applyBorder="1" applyAlignment="1" applyProtection="1">
      <alignment horizontal="left"/>
      <protection/>
    </xf>
    <xf numFmtId="0" fontId="4" fillId="0" borderId="7" xfId="31" applyFont="1" applyBorder="1">
      <alignment/>
      <protection/>
    </xf>
    <xf numFmtId="0" fontId="18" fillId="0" borderId="0" xfId="31" applyFont="1" applyBorder="1">
      <alignment/>
      <protection/>
    </xf>
    <xf numFmtId="0" fontId="20" fillId="0" borderId="7" xfId="31" applyFont="1" applyBorder="1">
      <alignment/>
      <protection/>
    </xf>
    <xf numFmtId="0" fontId="20" fillId="0" borderId="0" xfId="31" applyFont="1" applyBorder="1">
      <alignment/>
      <protection/>
    </xf>
    <xf numFmtId="0" fontId="5" fillId="0" borderId="0" xfId="31" applyFont="1" applyBorder="1">
      <alignment/>
      <protection/>
    </xf>
    <xf numFmtId="0" fontId="20" fillId="0" borderId="1" xfId="31" applyFont="1" applyFill="1" applyBorder="1">
      <alignment/>
      <protection/>
    </xf>
    <xf numFmtId="0" fontId="4" fillId="0" borderId="0" xfId="31" applyFont="1" applyBorder="1" applyProtection="1">
      <alignment/>
      <protection/>
    </xf>
    <xf numFmtId="0" fontId="0" fillId="0" borderId="0" xfId="31" applyNumberFormat="1" applyAlignment="1">
      <alignment horizontal="centerContinuous"/>
      <protection/>
    </xf>
    <xf numFmtId="0" fontId="20" fillId="0" borderId="0" xfId="31" applyFont="1" applyBorder="1" applyAlignment="1">
      <alignment horizontal="centerContinuous"/>
      <protection/>
    </xf>
    <xf numFmtId="0" fontId="0" fillId="0" borderId="0" xfId="31" applyAlignment="1">
      <alignment horizontal="centerContinuous"/>
      <protection/>
    </xf>
    <xf numFmtId="0" fontId="20" fillId="0" borderId="0" xfId="31" applyFont="1" applyAlignment="1">
      <alignment horizontal="centerContinuous"/>
      <protection/>
    </xf>
    <xf numFmtId="0" fontId="20" fillId="0" borderId="1" xfId="31" applyFont="1" applyBorder="1" applyAlignment="1">
      <alignment horizontal="centerContinuous"/>
      <protection/>
    </xf>
    <xf numFmtId="0" fontId="4" fillId="0" borderId="0" xfId="31" applyFont="1" applyBorder="1" applyAlignment="1">
      <alignment horizontal="center"/>
      <protection/>
    </xf>
    <xf numFmtId="0" fontId="81" fillId="0" borderId="0" xfId="31" applyFont="1" applyBorder="1" applyAlignment="1" quotePrefix="1">
      <alignment horizontal="left"/>
      <protection/>
    </xf>
    <xf numFmtId="166" fontId="7" fillId="0" borderId="0" xfId="31" applyNumberFormat="1" applyFont="1" applyBorder="1" applyAlignment="1" applyProtection="1">
      <alignment horizontal="left"/>
      <protection/>
    </xf>
    <xf numFmtId="0" fontId="0" fillId="0" borderId="0" xfId="31" applyBorder="1">
      <alignment/>
      <protection/>
    </xf>
    <xf numFmtId="0" fontId="22" fillId="0" borderId="0" xfId="31" applyFont="1" applyBorder="1" applyAlignment="1">
      <alignment horizontal="center"/>
      <protection/>
    </xf>
    <xf numFmtId="0" fontId="22" fillId="0" borderId="0" xfId="31" applyFont="1" applyBorder="1">
      <alignment/>
      <protection/>
    </xf>
    <xf numFmtId="0" fontId="19" fillId="0" borderId="0" xfId="31" applyFont="1">
      <alignment/>
      <protection/>
    </xf>
    <xf numFmtId="0" fontId="19" fillId="0" borderId="7" xfId="31" applyFont="1" applyBorder="1">
      <alignment/>
      <protection/>
    </xf>
    <xf numFmtId="0" fontId="19" fillId="0" borderId="0" xfId="31" applyFont="1" applyBorder="1">
      <alignment/>
      <protection/>
    </xf>
    <xf numFmtId="0" fontId="19" fillId="0" borderId="0" xfId="31" applyFont="1" applyBorder="1" applyAlignment="1">
      <alignment horizontal="right"/>
      <protection/>
    </xf>
    <xf numFmtId="0" fontId="19" fillId="0" borderId="0" xfId="31" applyFont="1" applyAlignment="1">
      <alignment horizontal="right"/>
      <protection/>
    </xf>
    <xf numFmtId="172" fontId="19" fillId="0" borderId="0" xfId="31" applyNumberFormat="1" applyFont="1" applyBorder="1" applyAlignment="1" applyProtection="1">
      <alignment horizontal="centerContinuous"/>
      <protection/>
    </xf>
    <xf numFmtId="166" fontId="50" fillId="0" borderId="0" xfId="31" applyNumberFormat="1" applyFont="1" applyBorder="1" applyAlignment="1" applyProtection="1" quotePrefix="1">
      <alignment horizontal="left"/>
      <protection/>
    </xf>
    <xf numFmtId="0" fontId="82" fillId="0" borderId="0" xfId="31" applyFont="1" applyBorder="1" applyAlignment="1" quotePrefix="1">
      <alignment horizontal="left"/>
      <protection/>
    </xf>
    <xf numFmtId="1" fontId="0" fillId="0" borderId="65" xfId="31" applyNumberFormat="1" applyBorder="1" applyAlignment="1">
      <alignment horizontal="center"/>
      <protection/>
    </xf>
    <xf numFmtId="0" fontId="19" fillId="0" borderId="1" xfId="31" applyFont="1" applyFill="1" applyBorder="1">
      <alignment/>
      <protection/>
    </xf>
    <xf numFmtId="0" fontId="19" fillId="0" borderId="0" xfId="31" applyFont="1" applyAlignment="1">
      <alignment/>
      <protection/>
    </xf>
    <xf numFmtId="10" fontId="19" fillId="0" borderId="0" xfId="31" applyNumberFormat="1" applyFont="1" applyBorder="1" applyAlignment="1" applyProtection="1">
      <alignment horizontal="right"/>
      <protection/>
    </xf>
    <xf numFmtId="169" fontId="19" fillId="0" borderId="0" xfId="31" applyNumberFormat="1" applyFont="1" applyBorder="1" applyAlignment="1">
      <alignment horizontal="center"/>
      <protection/>
    </xf>
    <xf numFmtId="0" fontId="0" fillId="0" borderId="0" xfId="31" applyFont="1" applyBorder="1" applyAlignment="1" applyProtection="1">
      <alignment horizontal="center"/>
      <protection/>
    </xf>
    <xf numFmtId="169" fontId="0" fillId="0" borderId="0" xfId="31" applyNumberFormat="1" applyFont="1" applyBorder="1" applyAlignment="1">
      <alignment horizontal="centerContinuous"/>
      <protection/>
    </xf>
    <xf numFmtId="0" fontId="7" fillId="0" borderId="66" xfId="31" applyFont="1" applyBorder="1" applyAlignment="1">
      <alignment horizontal="centerContinuous"/>
      <protection/>
    </xf>
    <xf numFmtId="0" fontId="7" fillId="0" borderId="67" xfId="31" applyFont="1" applyBorder="1" applyAlignment="1">
      <alignment horizontal="centerContinuous"/>
      <protection/>
    </xf>
    <xf numFmtId="169" fontId="7" fillId="0" borderId="68" xfId="33" applyNumberFormat="1" applyFont="1" applyBorder="1" applyAlignment="1">
      <alignment horizontal="center"/>
      <protection/>
    </xf>
    <xf numFmtId="1" fontId="7" fillId="0" borderId="68" xfId="31" applyNumberFormat="1" applyFont="1" applyBorder="1" applyAlignment="1">
      <alignment horizontal="center"/>
      <protection/>
    </xf>
    <xf numFmtId="169" fontId="7" fillId="0" borderId="0" xfId="31" applyNumberFormat="1" applyFont="1" applyBorder="1" applyAlignment="1">
      <alignment horizontal="center"/>
      <protection/>
    </xf>
    <xf numFmtId="0" fontId="7" fillId="0" borderId="69" xfId="31" applyFont="1" applyBorder="1" applyAlignment="1">
      <alignment horizontal="centerContinuous"/>
      <protection/>
    </xf>
    <xf numFmtId="0" fontId="7" fillId="0" borderId="62" xfId="31" applyFont="1" applyBorder="1" applyAlignment="1">
      <alignment horizontal="centerContinuous"/>
      <protection/>
    </xf>
    <xf numFmtId="169" fontId="7" fillId="0" borderId="70" xfId="33" applyNumberFormat="1" applyFont="1" applyBorder="1" applyAlignment="1">
      <alignment horizontal="center"/>
      <protection/>
    </xf>
    <xf numFmtId="1" fontId="7" fillId="0" borderId="70" xfId="31" applyNumberFormat="1" applyFont="1" applyBorder="1" applyAlignment="1">
      <alignment horizontal="center"/>
      <protection/>
    </xf>
    <xf numFmtId="172" fontId="19" fillId="0" borderId="0" xfId="31" applyNumberFormat="1" applyFont="1" applyBorder="1">
      <alignment/>
      <protection/>
    </xf>
    <xf numFmtId="0" fontId="7" fillId="0" borderId="71" xfId="31" applyFont="1" applyBorder="1" applyAlignment="1">
      <alignment horizontal="centerContinuous"/>
      <protection/>
    </xf>
    <xf numFmtId="0" fontId="7" fillId="0" borderId="72" xfId="31" applyFont="1" applyBorder="1" applyAlignment="1">
      <alignment horizontal="centerContinuous"/>
      <protection/>
    </xf>
    <xf numFmtId="169" fontId="7" fillId="0" borderId="73" xfId="33" applyNumberFormat="1" applyFont="1" applyFill="1" applyBorder="1" applyAlignment="1">
      <alignment horizontal="center"/>
      <protection/>
    </xf>
    <xf numFmtId="1" fontId="7" fillId="0" borderId="73" xfId="31" applyNumberFormat="1" applyFont="1" applyFill="1" applyBorder="1" applyAlignment="1">
      <alignment horizontal="center"/>
      <protection/>
    </xf>
    <xf numFmtId="169" fontId="7" fillId="0" borderId="0" xfId="31" applyNumberFormat="1" applyFont="1" applyFill="1" applyBorder="1" applyAlignment="1">
      <alignment horizontal="center"/>
      <protection/>
    </xf>
    <xf numFmtId="0" fontId="19" fillId="0" borderId="0" xfId="31" applyFont="1" applyBorder="1" applyAlignment="1" applyProtection="1">
      <alignment horizontal="center"/>
      <protection/>
    </xf>
    <xf numFmtId="0" fontId="3" fillId="0" borderId="0" xfId="31" applyFont="1" applyBorder="1">
      <alignment/>
      <protection/>
    </xf>
    <xf numFmtId="0" fontId="19" fillId="0" borderId="0" xfId="31" applyFont="1" applyBorder="1" applyAlignment="1">
      <alignment horizontal="center"/>
      <protection/>
    </xf>
    <xf numFmtId="166" fontId="22" fillId="0" borderId="8" xfId="31" applyNumberFormat="1" applyFont="1" applyBorder="1" applyAlignment="1" applyProtection="1">
      <alignment horizontal="center"/>
      <protection/>
    </xf>
    <xf numFmtId="172" fontId="22" fillId="0" borderId="9" xfId="31" applyNumberFormat="1" applyFont="1" applyBorder="1" applyAlignment="1" applyProtection="1">
      <alignment horizontal="centerContinuous"/>
      <protection/>
    </xf>
    <xf numFmtId="0" fontId="4" fillId="0" borderId="0" xfId="31" applyFont="1" applyBorder="1" applyAlignment="1" applyProtection="1">
      <alignment horizontal="center"/>
      <protection/>
    </xf>
    <xf numFmtId="164" fontId="88" fillId="0" borderId="0" xfId="31" applyNumberFormat="1" applyFont="1" applyBorder="1" applyAlignment="1" applyProtection="1">
      <alignment horizontal="center"/>
      <protection/>
    </xf>
    <xf numFmtId="165" fontId="19" fillId="0" borderId="0" xfId="31" applyNumberFormat="1" applyFont="1" applyBorder="1" applyAlignment="1" applyProtection="1">
      <alignment horizontal="center"/>
      <protection/>
    </xf>
    <xf numFmtId="166" fontId="19" fillId="0" borderId="0" xfId="31" applyNumberFormat="1" applyFont="1" applyBorder="1" applyAlignment="1" applyProtection="1">
      <alignment horizontal="center"/>
      <protection/>
    </xf>
    <xf numFmtId="168" fontId="19" fillId="0" borderId="0" xfId="31" applyNumberFormat="1" applyFont="1" applyBorder="1" applyAlignment="1" applyProtection="1" quotePrefix="1">
      <alignment horizontal="center"/>
      <protection/>
    </xf>
    <xf numFmtId="2" fontId="86" fillId="0" borderId="52" xfId="31" applyNumberFormat="1" applyFont="1" applyFill="1" applyBorder="1" applyAlignment="1" applyProtection="1">
      <alignment horizontal="center"/>
      <protection/>
    </xf>
    <xf numFmtId="2" fontId="74" fillId="0" borderId="52" xfId="31" applyNumberFormat="1" applyFont="1" applyFill="1" applyBorder="1" applyAlignment="1" applyProtection="1">
      <alignment horizontal="center"/>
      <protection/>
    </xf>
    <xf numFmtId="2" fontId="89" fillId="0" borderId="52" xfId="31" applyNumberFormat="1" applyFont="1" applyFill="1" applyBorder="1" applyAlignment="1" applyProtection="1">
      <alignment horizontal="center"/>
      <protection/>
    </xf>
    <xf numFmtId="4" fontId="4" fillId="0" borderId="1" xfId="31" applyNumberFormat="1" applyFont="1" applyFill="1" applyBorder="1" applyAlignment="1">
      <alignment horizontal="center"/>
      <protection/>
    </xf>
    <xf numFmtId="0" fontId="24" fillId="0" borderId="8" xfId="31" applyFont="1" applyFill="1" applyBorder="1" applyAlignment="1" applyProtection="1">
      <alignment horizontal="centerContinuous" vertical="center"/>
      <protection/>
    </xf>
    <xf numFmtId="0" fontId="39" fillId="17" borderId="14" xfId="31" applyFont="1" applyFill="1" applyBorder="1" applyAlignment="1">
      <alignment horizontal="center" vertical="center" wrapText="1"/>
      <protection/>
    </xf>
    <xf numFmtId="0" fontId="39" fillId="18" borderId="8" xfId="31" applyFont="1" applyFill="1" applyBorder="1" applyAlignment="1" applyProtection="1">
      <alignment horizontal="centerContinuous" vertical="center" wrapText="1"/>
      <protection/>
    </xf>
    <xf numFmtId="0" fontId="39" fillId="18" borderId="9" xfId="31" applyFont="1" applyFill="1" applyBorder="1" applyAlignment="1">
      <alignment horizontal="centerContinuous" vertical="center"/>
      <protection/>
    </xf>
    <xf numFmtId="0" fontId="39" fillId="3" borderId="14" xfId="31" applyFont="1" applyFill="1" applyBorder="1" applyAlignment="1">
      <alignment horizontal="centerContinuous" vertical="center" wrapText="1"/>
      <protection/>
    </xf>
    <xf numFmtId="164" fontId="4" fillId="0" borderId="2" xfId="31" applyNumberFormat="1" applyFont="1" applyFill="1" applyBorder="1" applyAlignment="1" applyProtection="1">
      <alignment horizontal="center"/>
      <protection/>
    </xf>
    <xf numFmtId="0" fontId="90" fillId="2" borderId="2" xfId="31" applyFont="1" applyFill="1" applyBorder="1" applyAlignment="1">
      <alignment horizontal="center"/>
      <protection/>
    </xf>
    <xf numFmtId="0" fontId="4" fillId="0" borderId="4" xfId="31" applyFont="1" applyFill="1" applyBorder="1" applyAlignment="1">
      <alignment horizontal="center"/>
      <protection/>
    </xf>
    <xf numFmtId="0" fontId="4" fillId="0" borderId="17" xfId="31" applyFont="1" applyFill="1" applyBorder="1" applyAlignment="1">
      <alignment horizontal="centerContinuous"/>
      <protection/>
    </xf>
    <xf numFmtId="0" fontId="33" fillId="2" borderId="17" xfId="31" applyFont="1" applyFill="1" applyBorder="1" applyAlignment="1">
      <alignment horizontal="center"/>
      <protection/>
    </xf>
    <xf numFmtId="0" fontId="42" fillId="17" borderId="17" xfId="31" applyFont="1" applyFill="1" applyBorder="1" applyAlignment="1">
      <alignment horizontal="center"/>
      <protection/>
    </xf>
    <xf numFmtId="0" fontId="42" fillId="18" borderId="32" xfId="31" applyFont="1" applyFill="1" applyBorder="1" applyAlignment="1">
      <alignment horizontal="center"/>
      <protection/>
    </xf>
    <xf numFmtId="0" fontId="42" fillId="18" borderId="33" xfId="31" applyFont="1" applyFill="1" applyBorder="1" applyAlignment="1">
      <alignment horizontal="left"/>
      <protection/>
    </xf>
    <xf numFmtId="0" fontId="42" fillId="3" borderId="17" xfId="31" applyFont="1" applyFill="1" applyBorder="1" applyAlignment="1">
      <alignment horizontal="left"/>
      <protection/>
    </xf>
    <xf numFmtId="0" fontId="7" fillId="0" borderId="4" xfId="31" applyFont="1" applyFill="1" applyBorder="1" applyAlignment="1">
      <alignment horizontal="center"/>
      <protection/>
    </xf>
    <xf numFmtId="166" fontId="90" fillId="2" borderId="2" xfId="31" applyNumberFormat="1" applyFont="1" applyFill="1" applyBorder="1" applyAlignment="1" applyProtection="1">
      <alignment horizontal="center"/>
      <protection/>
    </xf>
    <xf numFmtId="22" fontId="4" fillId="0" borderId="2" xfId="30" applyNumberFormat="1" applyFont="1" applyFill="1" applyBorder="1" applyAlignment="1" applyProtection="1">
      <alignment horizontal="center"/>
      <protection locked="0"/>
    </xf>
    <xf numFmtId="4" fontId="4" fillId="0" borderId="2" xfId="31" applyNumberFormat="1" applyFont="1" applyFill="1" applyBorder="1" applyAlignment="1" applyProtection="1">
      <alignment horizontal="center"/>
      <protection/>
    </xf>
    <xf numFmtId="3" fontId="4" fillId="0" borderId="2" xfId="31" applyNumberFormat="1" applyFont="1" applyFill="1" applyBorder="1" applyAlignment="1" applyProtection="1">
      <alignment horizontal="center"/>
      <protection/>
    </xf>
    <xf numFmtId="166" fontId="4" fillId="0" borderId="2" xfId="43" applyNumberFormat="1" applyFont="1" applyFill="1" applyBorder="1" applyAlignment="1" applyProtection="1">
      <alignment horizontal="center"/>
      <protection/>
    </xf>
    <xf numFmtId="166" fontId="4" fillId="0" borderId="2" xfId="31" applyNumberFormat="1" applyFont="1" applyBorder="1" applyAlignment="1" applyProtection="1" quotePrefix="1">
      <alignment horizontal="center"/>
      <protection/>
    </xf>
    <xf numFmtId="166" fontId="4" fillId="0" borderId="2" xfId="31" applyNumberFormat="1" applyFont="1" applyBorder="1" applyAlignment="1" applyProtection="1">
      <alignment horizontal="centerContinuous"/>
      <protection/>
    </xf>
    <xf numFmtId="164" fontId="33" fillId="2" borderId="2" xfId="31" applyNumberFormat="1" applyFont="1" applyFill="1" applyBorder="1" applyAlignment="1" applyProtection="1">
      <alignment horizontal="center"/>
      <protection/>
    </xf>
    <xf numFmtId="2" fontId="41" fillId="17" borderId="2" xfId="31" applyNumberFormat="1" applyFont="1" applyFill="1" applyBorder="1" applyAlignment="1">
      <alignment horizontal="center"/>
      <protection/>
    </xf>
    <xf numFmtId="166" fontId="41" fillId="18" borderId="37" xfId="31" applyNumberFormat="1" applyFont="1" applyFill="1" applyBorder="1" applyAlignment="1" applyProtection="1" quotePrefix="1">
      <alignment horizontal="center"/>
      <protection/>
    </xf>
    <xf numFmtId="166" fontId="41" fillId="18" borderId="38" xfId="31" applyNumberFormat="1" applyFont="1" applyFill="1" applyBorder="1" applyAlignment="1" applyProtection="1" quotePrefix="1">
      <alignment horizontal="center"/>
      <protection/>
    </xf>
    <xf numFmtId="166" fontId="41" fillId="3" borderId="2" xfId="31" applyNumberFormat="1" applyFont="1" applyFill="1" applyBorder="1" applyAlignment="1" applyProtection="1" quotePrefix="1">
      <alignment horizontal="center"/>
      <protection/>
    </xf>
    <xf numFmtId="166" fontId="4" fillId="0" borderId="4" xfId="31" applyNumberFormat="1" applyFont="1" applyFill="1" applyBorder="1" applyAlignment="1">
      <alignment horizontal="center"/>
      <protection/>
    </xf>
    <xf numFmtId="4" fontId="26" fillId="0" borderId="4" xfId="31" applyNumberFormat="1" applyFont="1" applyFill="1" applyBorder="1" applyAlignment="1">
      <alignment horizontal="right"/>
      <protection/>
    </xf>
    <xf numFmtId="22" fontId="4" fillId="0" borderId="2" xfId="31" applyNumberFormat="1" applyFont="1" applyFill="1" applyBorder="1" applyAlignment="1" applyProtection="1">
      <alignment horizontal="center"/>
      <protection/>
    </xf>
    <xf numFmtId="0" fontId="4" fillId="0" borderId="3" xfId="31" applyFont="1" applyFill="1" applyBorder="1" applyAlignment="1">
      <alignment horizontal="center"/>
      <protection/>
    </xf>
    <xf numFmtId="0" fontId="4" fillId="0" borderId="39" xfId="31" applyFont="1" applyBorder="1" applyAlignment="1" applyProtection="1">
      <alignment horizontal="center"/>
      <protection/>
    </xf>
    <xf numFmtId="0" fontId="4" fillId="0" borderId="61" xfId="30" applyFont="1" applyBorder="1" applyAlignment="1" applyProtection="1">
      <alignment horizontal="center"/>
      <protection locked="0"/>
    </xf>
    <xf numFmtId="164" fontId="4" fillId="0" borderId="39" xfId="30" applyNumberFormat="1" applyFont="1" applyBorder="1" applyAlignment="1" applyProtection="1">
      <alignment horizontal="center"/>
      <protection locked="0"/>
    </xf>
    <xf numFmtId="166" fontId="90" fillId="2" borderId="3" xfId="31" applyNumberFormat="1" applyFont="1" applyFill="1" applyBorder="1" applyAlignment="1" applyProtection="1">
      <alignment horizontal="center"/>
      <protection/>
    </xf>
    <xf numFmtId="22" fontId="4" fillId="0" borderId="3" xfId="31" applyNumberFormat="1" applyFont="1" applyFill="1" applyBorder="1" applyAlignment="1">
      <alignment horizontal="center"/>
      <protection/>
    </xf>
    <xf numFmtId="22" fontId="4" fillId="0" borderId="3" xfId="31" applyNumberFormat="1" applyFont="1" applyFill="1" applyBorder="1" applyAlignment="1" applyProtection="1">
      <alignment horizontal="center"/>
      <protection/>
    </xf>
    <xf numFmtId="4" fontId="4" fillId="0" borderId="3" xfId="31" applyNumberFormat="1" applyFont="1" applyFill="1" applyBorder="1" applyAlignment="1" applyProtection="1">
      <alignment horizontal="center"/>
      <protection/>
    </xf>
    <xf numFmtId="3" fontId="4" fillId="0" borderId="3" xfId="31" applyNumberFormat="1" applyFont="1" applyFill="1" applyBorder="1" applyAlignment="1" applyProtection="1">
      <alignment horizontal="center"/>
      <protection/>
    </xf>
    <xf numFmtId="166" fontId="4" fillId="0" borderId="3" xfId="31" applyNumberFormat="1" applyFont="1" applyFill="1" applyBorder="1" applyAlignment="1" applyProtection="1">
      <alignment horizontal="center"/>
      <protection/>
    </xf>
    <xf numFmtId="166" fontId="4" fillId="0" borderId="3" xfId="31" applyNumberFormat="1" applyFont="1" applyBorder="1" applyAlignment="1" applyProtection="1">
      <alignment horizontal="center"/>
      <protection/>
    </xf>
    <xf numFmtId="166" fontId="4" fillId="0" borderId="3" xfId="31" applyNumberFormat="1" applyFont="1" applyBorder="1" applyAlignment="1" applyProtection="1">
      <alignment horizontal="centerContinuous"/>
      <protection/>
    </xf>
    <xf numFmtId="164" fontId="33" fillId="2" borderId="3" xfId="31" applyNumberFormat="1" applyFont="1" applyFill="1" applyBorder="1" applyAlignment="1" applyProtection="1">
      <alignment horizontal="center"/>
      <protection/>
    </xf>
    <xf numFmtId="2" fontId="42" fillId="17" borderId="3" xfId="31" applyNumberFormat="1" applyFont="1" applyFill="1" applyBorder="1" applyAlignment="1">
      <alignment horizontal="center"/>
      <protection/>
    </xf>
    <xf numFmtId="166" fontId="42" fillId="18" borderId="40" xfId="31" applyNumberFormat="1" applyFont="1" applyFill="1" applyBorder="1" applyAlignment="1" applyProtection="1" quotePrefix="1">
      <alignment horizontal="center"/>
      <protection/>
    </xf>
    <xf numFmtId="166" fontId="42" fillId="18" borderId="41" xfId="31" applyNumberFormat="1" applyFont="1" applyFill="1" applyBorder="1" applyAlignment="1" applyProtection="1" quotePrefix="1">
      <alignment horizontal="center"/>
      <protection/>
    </xf>
    <xf numFmtId="166" fontId="42" fillId="3" borderId="3" xfId="31" applyNumberFormat="1" applyFont="1" applyFill="1" applyBorder="1" applyAlignment="1" applyProtection="1" quotePrefix="1">
      <alignment horizontal="center"/>
      <protection/>
    </xf>
    <xf numFmtId="166" fontId="4" fillId="0" borderId="20" xfId="31" applyNumberFormat="1" applyFont="1" applyFill="1" applyBorder="1" applyAlignment="1">
      <alignment horizontal="center"/>
      <protection/>
    </xf>
    <xf numFmtId="4" fontId="26" fillId="0" borderId="20" xfId="31" applyNumberFormat="1" applyFont="1" applyFill="1" applyBorder="1" applyAlignment="1">
      <alignment horizontal="right"/>
      <protection/>
    </xf>
    <xf numFmtId="164" fontId="4" fillId="0" borderId="0" xfId="31" applyNumberFormat="1" applyFont="1" applyBorder="1" applyAlignment="1" applyProtection="1">
      <alignment horizontal="center"/>
      <protection/>
    </xf>
    <xf numFmtId="1" fontId="4" fillId="0" borderId="0" xfId="31" applyNumberFormat="1" applyFont="1" applyBorder="1" applyAlignment="1" applyProtection="1" quotePrefix="1">
      <alignment horizontal="center"/>
      <protection/>
    </xf>
    <xf numFmtId="166" fontId="4" fillId="0" borderId="0" xfId="31" applyNumberFormat="1" applyFont="1" applyFill="1" applyBorder="1" applyAlignment="1" applyProtection="1">
      <alignment horizontal="center"/>
      <protection/>
    </xf>
    <xf numFmtId="22" fontId="4" fillId="0" borderId="0" xfId="31" applyNumberFormat="1" applyFont="1" applyFill="1" applyBorder="1" applyAlignment="1">
      <alignment horizontal="center"/>
      <protection/>
    </xf>
    <xf numFmtId="22" fontId="4" fillId="0" borderId="0" xfId="31" applyNumberFormat="1" applyFont="1" applyFill="1" applyBorder="1" applyAlignment="1" applyProtection="1">
      <alignment horizontal="center"/>
      <protection/>
    </xf>
    <xf numFmtId="4" fontId="4" fillId="0" borderId="0" xfId="31" applyNumberFormat="1" applyFont="1" applyFill="1" applyBorder="1" applyAlignment="1" applyProtection="1">
      <alignment horizontal="center"/>
      <protection/>
    </xf>
    <xf numFmtId="3" fontId="4" fillId="0" borderId="0" xfId="31" applyNumberFormat="1" applyFont="1" applyFill="1" applyBorder="1" applyAlignment="1" applyProtection="1">
      <alignment horizontal="center"/>
      <protection/>
    </xf>
    <xf numFmtId="166" fontId="4" fillId="0" borderId="0" xfId="31" applyNumberFormat="1" applyFont="1" applyBorder="1" applyAlignment="1" applyProtection="1" quotePrefix="1">
      <alignment horizontal="center"/>
      <protection/>
    </xf>
    <xf numFmtId="166" fontId="4" fillId="0" borderId="0" xfId="31" applyNumberFormat="1" applyFont="1" applyBorder="1" applyAlignment="1" applyProtection="1">
      <alignment horizontal="center"/>
      <protection/>
    </xf>
    <xf numFmtId="164" fontId="4" fillId="0" borderId="0" xfId="31" applyNumberFormat="1" applyFont="1" applyFill="1" applyBorder="1" applyAlignment="1" applyProtection="1">
      <alignment horizontal="center"/>
      <protection/>
    </xf>
    <xf numFmtId="2" fontId="54" fillId="0" borderId="0" xfId="31" applyNumberFormat="1" applyFont="1" applyFill="1" applyBorder="1" applyAlignment="1">
      <alignment horizontal="center"/>
      <protection/>
    </xf>
    <xf numFmtId="166" fontId="6" fillId="0" borderId="0" xfId="31" applyNumberFormat="1" applyFont="1" applyFill="1" applyBorder="1" applyAlignment="1" applyProtection="1" quotePrefix="1">
      <alignment horizontal="center"/>
      <protection/>
    </xf>
    <xf numFmtId="166" fontId="4" fillId="0" borderId="0" xfId="31" applyNumberFormat="1" applyFont="1" applyFill="1" applyBorder="1" applyAlignment="1">
      <alignment horizontal="center"/>
      <protection/>
    </xf>
    <xf numFmtId="4" fontId="26" fillId="0" borderId="14" xfId="31" applyNumberFormat="1" applyFont="1" applyFill="1" applyBorder="1" applyAlignment="1">
      <alignment horizontal="right"/>
      <protection/>
    </xf>
    <xf numFmtId="166" fontId="4" fillId="0" borderId="0" xfId="31" applyNumberFormat="1" applyFont="1" applyBorder="1" applyAlignment="1" applyProtection="1" quotePrefix="1">
      <alignment horizontal="centerContinuous"/>
      <protection/>
    </xf>
    <xf numFmtId="166" fontId="4" fillId="0" borderId="0" xfId="31" applyNumberFormat="1" applyFont="1" applyBorder="1" applyAlignment="1" applyProtection="1">
      <alignment horizontal="centerContinuous"/>
      <protection/>
    </xf>
    <xf numFmtId="0" fontId="24" fillId="0" borderId="14" xfId="31" applyFont="1" applyBorder="1" applyAlignment="1" applyProtection="1">
      <alignment horizontal="center" vertical="center" wrapText="1"/>
      <protection/>
    </xf>
    <xf numFmtId="0" fontId="24" fillId="0" borderId="14" xfId="31" applyFont="1" applyBorder="1" applyAlignment="1" applyProtection="1">
      <alignment horizontal="center" vertical="center"/>
      <protection/>
    </xf>
    <xf numFmtId="0" fontId="24" fillId="0" borderId="9" xfId="31" applyFont="1" applyBorder="1" applyAlignment="1" applyProtection="1">
      <alignment horizontal="center" vertical="center"/>
      <protection/>
    </xf>
    <xf numFmtId="0" fontId="24" fillId="0" borderId="9" xfId="31" applyFont="1" applyBorder="1" applyAlignment="1" applyProtection="1">
      <alignment horizontal="center" vertical="center" wrapText="1"/>
      <protection/>
    </xf>
    <xf numFmtId="0" fontId="39" fillId="4" borderId="14" xfId="31" applyFont="1" applyFill="1" applyBorder="1" applyAlignment="1" applyProtection="1">
      <alignment horizontal="center" vertical="center"/>
      <protection/>
    </xf>
    <xf numFmtId="0" fontId="37" fillId="10" borderId="14" xfId="31" applyFont="1" applyFill="1" applyBorder="1" applyAlignment="1">
      <alignment horizontal="center" vertical="center" wrapText="1"/>
      <protection/>
    </xf>
    <xf numFmtId="0" fontId="57" fillId="6" borderId="8" xfId="31" applyFont="1" applyFill="1" applyBorder="1" applyAlignment="1" applyProtection="1">
      <alignment horizontal="centerContinuous" vertical="center" wrapText="1"/>
      <protection/>
    </xf>
    <xf numFmtId="0" fontId="57" fillId="6" borderId="9" xfId="31" applyFont="1" applyFill="1" applyBorder="1" applyAlignment="1">
      <alignment horizontal="centerContinuous" vertical="center"/>
      <protection/>
    </xf>
    <xf numFmtId="0" fontId="39" fillId="3" borderId="14" xfId="31" applyFont="1" applyFill="1" applyBorder="1" applyAlignment="1">
      <alignment horizontal="center" vertical="center" wrapText="1"/>
      <protection/>
    </xf>
    <xf numFmtId="0" fontId="4" fillId="0" borderId="1" xfId="31" applyFont="1" applyBorder="1">
      <alignment/>
      <protection/>
    </xf>
    <xf numFmtId="0" fontId="4" fillId="0" borderId="2" xfId="31" applyFont="1" applyBorder="1" applyAlignment="1">
      <alignment horizontal="center"/>
      <protection/>
    </xf>
    <xf numFmtId="0" fontId="9" fillId="0" borderId="21" xfId="31" applyFont="1" applyBorder="1" applyAlignment="1" applyProtection="1">
      <alignment horizontal="center"/>
      <protection/>
    </xf>
    <xf numFmtId="0" fontId="33" fillId="2" borderId="21" xfId="31" applyFont="1" applyFill="1" applyBorder="1" applyAlignment="1" applyProtection="1">
      <alignment horizontal="center"/>
      <protection/>
    </xf>
    <xf numFmtId="0" fontId="42" fillId="4" borderId="2" xfId="31" applyFont="1" applyFill="1" applyBorder="1" applyAlignment="1" applyProtection="1">
      <alignment horizontal="center"/>
      <protection/>
    </xf>
    <xf numFmtId="0" fontId="72" fillId="10" borderId="2" xfId="31" applyFont="1" applyFill="1" applyBorder="1" applyAlignment="1" applyProtection="1">
      <alignment horizontal="center"/>
      <protection/>
    </xf>
    <xf numFmtId="166" fontId="59" fillId="6" borderId="22" xfId="31" applyNumberFormat="1" applyFont="1" applyFill="1" applyBorder="1" applyAlignment="1" applyProtection="1" quotePrefix="1">
      <alignment horizontal="center"/>
      <protection/>
    </xf>
    <xf numFmtId="166" fontId="59" fillId="6" borderId="46" xfId="31" applyNumberFormat="1" applyFont="1" applyFill="1" applyBorder="1" applyAlignment="1" applyProtection="1" quotePrefix="1">
      <alignment horizontal="center"/>
      <protection/>
    </xf>
    <xf numFmtId="166" fontId="26" fillId="0" borderId="2" xfId="31" applyNumberFormat="1" applyFont="1" applyFill="1" applyBorder="1" applyAlignment="1">
      <alignment horizontal="center"/>
      <protection/>
    </xf>
    <xf numFmtId="166" fontId="33" fillId="2" borderId="2" xfId="31" applyNumberFormat="1" applyFont="1" applyFill="1" applyBorder="1" applyAlignment="1" applyProtection="1">
      <alignment horizontal="center"/>
      <protection/>
    </xf>
    <xf numFmtId="2" fontId="4" fillId="0" borderId="2" xfId="31" applyNumberFormat="1" applyFont="1" applyFill="1" applyBorder="1" applyAlignment="1" applyProtection="1" quotePrefix="1">
      <alignment horizontal="center"/>
      <protection/>
    </xf>
    <xf numFmtId="164" fontId="4" fillId="0" borderId="2" xfId="31" applyNumberFormat="1" applyFont="1" applyFill="1" applyBorder="1" applyAlignment="1" applyProtection="1" quotePrefix="1">
      <alignment horizontal="center"/>
      <protection/>
    </xf>
    <xf numFmtId="164" fontId="42" fillId="4" borderId="2" xfId="31" applyNumberFormat="1" applyFont="1" applyFill="1" applyBorder="1" applyAlignment="1" applyProtection="1">
      <alignment horizontal="center"/>
      <protection/>
    </xf>
    <xf numFmtId="2" fontId="72" fillId="10" borderId="2" xfId="31" applyNumberFormat="1" applyFont="1" applyFill="1" applyBorder="1" applyAlignment="1">
      <alignment horizontal="center"/>
      <protection/>
    </xf>
    <xf numFmtId="166" fontId="4" fillId="0" borderId="2" xfId="31" applyNumberFormat="1" applyFont="1" applyBorder="1" applyAlignment="1">
      <alignment horizontal="center"/>
      <protection/>
    </xf>
    <xf numFmtId="4" fontId="26" fillId="0" borderId="2" xfId="31" applyNumberFormat="1" applyFont="1" applyFill="1" applyBorder="1" applyAlignment="1">
      <alignment horizontal="right"/>
      <protection/>
    </xf>
    <xf numFmtId="0" fontId="9" fillId="0" borderId="61" xfId="31" applyFont="1" applyBorder="1" applyAlignment="1" applyProtection="1">
      <alignment horizontal="center"/>
      <protection/>
    </xf>
    <xf numFmtId="164" fontId="6" fillId="0" borderId="39" xfId="31" applyNumberFormat="1" applyFont="1" applyBorder="1" applyAlignment="1" applyProtection="1" quotePrefix="1">
      <alignment horizontal="center"/>
      <protection/>
    </xf>
    <xf numFmtId="166" fontId="33" fillId="2" borderId="39" xfId="31" applyNumberFormat="1" applyFont="1" applyFill="1" applyBorder="1" applyAlignment="1" applyProtection="1">
      <alignment horizontal="center"/>
      <protection/>
    </xf>
    <xf numFmtId="22" fontId="4" fillId="0" borderId="40" xfId="31" applyNumberFormat="1" applyFont="1" applyBorder="1" applyAlignment="1">
      <alignment horizontal="center"/>
      <protection/>
    </xf>
    <xf numFmtId="22" fontId="4" fillId="0" borderId="39" xfId="31" applyNumberFormat="1" applyFont="1" applyBorder="1" applyAlignment="1" applyProtection="1">
      <alignment horizontal="center"/>
      <protection/>
    </xf>
    <xf numFmtId="2" fontId="4" fillId="0" borderId="39" xfId="31" applyNumberFormat="1" applyFont="1" applyFill="1" applyBorder="1" applyAlignment="1" applyProtection="1" quotePrefix="1">
      <alignment horizontal="center"/>
      <protection/>
    </xf>
    <xf numFmtId="164" fontId="4" fillId="0" borderId="39" xfId="31" applyNumberFormat="1" applyFont="1" applyFill="1" applyBorder="1" applyAlignment="1" applyProtection="1" quotePrefix="1">
      <alignment horizontal="center"/>
      <protection/>
    </xf>
    <xf numFmtId="166" fontId="4" fillId="0" borderId="64" xfId="31" applyNumberFormat="1" applyFont="1" applyBorder="1" applyAlignment="1" applyProtection="1">
      <alignment horizontal="center"/>
      <protection/>
    </xf>
    <xf numFmtId="164" fontId="42" fillId="4" borderId="39" xfId="31" applyNumberFormat="1" applyFont="1" applyFill="1" applyBorder="1" applyAlignment="1" applyProtection="1">
      <alignment horizontal="center"/>
      <protection/>
    </xf>
    <xf numFmtId="2" fontId="72" fillId="10" borderId="39" xfId="31" applyNumberFormat="1" applyFont="1" applyFill="1" applyBorder="1" applyAlignment="1">
      <alignment horizontal="center"/>
      <protection/>
    </xf>
    <xf numFmtId="166" fontId="59" fillId="6" borderId="40" xfId="31" applyNumberFormat="1" applyFont="1" applyFill="1" applyBorder="1" applyAlignment="1" applyProtection="1" quotePrefix="1">
      <alignment horizontal="center"/>
      <protection/>
    </xf>
    <xf numFmtId="166" fontId="59" fillId="6" borderId="41" xfId="31" applyNumberFormat="1" applyFont="1" applyFill="1" applyBorder="1" applyAlignment="1" applyProtection="1" quotePrefix="1">
      <alignment horizontal="center"/>
      <protection/>
    </xf>
    <xf numFmtId="166" fontId="41" fillId="3" borderId="39" xfId="31" applyNumberFormat="1" applyFont="1" applyFill="1" applyBorder="1" applyAlignment="1" applyProtection="1" quotePrefix="1">
      <alignment horizontal="center"/>
      <protection/>
    </xf>
    <xf numFmtId="166" fontId="4" fillId="0" borderId="39" xfId="31" applyNumberFormat="1" applyFont="1" applyBorder="1" applyAlignment="1">
      <alignment horizontal="center"/>
      <protection/>
    </xf>
    <xf numFmtId="4" fontId="26" fillId="0" borderId="39" xfId="31" applyNumberFormat="1" applyFont="1" applyFill="1" applyBorder="1" applyAlignment="1">
      <alignment horizontal="right"/>
      <protection/>
    </xf>
    <xf numFmtId="2" fontId="50" fillId="0" borderId="0" xfId="31" applyNumberFormat="1" applyFont="1" applyBorder="1" applyAlignment="1" applyProtection="1">
      <alignment horizontal="left"/>
      <protection/>
    </xf>
    <xf numFmtId="166" fontId="50" fillId="0" borderId="0" xfId="31" applyNumberFormat="1" applyFont="1" applyBorder="1" applyAlignment="1" applyProtection="1">
      <alignment horizontal="center"/>
      <protection/>
    </xf>
    <xf numFmtId="0" fontId="50" fillId="0" borderId="0" xfId="31" applyFont="1" applyBorder="1" applyAlignment="1" applyProtection="1">
      <alignment horizontal="center"/>
      <protection/>
    </xf>
    <xf numFmtId="165" fontId="50" fillId="0" borderId="0" xfId="31" applyNumberFormat="1" applyFont="1" applyBorder="1" applyAlignment="1" applyProtection="1">
      <alignment horizontal="center"/>
      <protection/>
    </xf>
    <xf numFmtId="0" fontId="55" fillId="0" borderId="0" xfId="31" applyFont="1">
      <alignment/>
      <protection/>
    </xf>
    <xf numFmtId="168" fontId="50" fillId="0" borderId="0" xfId="31" applyNumberFormat="1" applyFont="1" applyBorder="1" applyAlignment="1" applyProtection="1" quotePrefix="1">
      <alignment horizontal="center"/>
      <protection/>
    </xf>
    <xf numFmtId="0" fontId="50" fillId="0" borderId="0" xfId="31" applyFont="1">
      <alignment/>
      <protection/>
    </xf>
    <xf numFmtId="2" fontId="50" fillId="0" borderId="0" xfId="31" applyNumberFormat="1" applyFont="1" applyBorder="1" applyAlignment="1" applyProtection="1">
      <alignment horizontal="center"/>
      <protection/>
    </xf>
    <xf numFmtId="166" fontId="50" fillId="0" borderId="0" xfId="31" applyNumberFormat="1" applyFont="1" applyBorder="1" applyAlignment="1" applyProtection="1" quotePrefix="1">
      <alignment horizontal="center"/>
      <protection/>
    </xf>
    <xf numFmtId="4" fontId="19" fillId="0" borderId="1" xfId="31" applyNumberFormat="1" applyFont="1" applyFill="1" applyBorder="1" applyAlignment="1">
      <alignment horizontal="center"/>
      <protection/>
    </xf>
    <xf numFmtId="0" fontId="10" fillId="0" borderId="0" xfId="31" applyFont="1" applyBorder="1" applyAlignment="1">
      <alignment horizontal="center"/>
      <protection/>
    </xf>
    <xf numFmtId="2" fontId="91" fillId="0" borderId="0" xfId="31" applyNumberFormat="1" applyFont="1" applyBorder="1" applyAlignment="1" applyProtection="1">
      <alignment horizontal="left"/>
      <protection/>
    </xf>
    <xf numFmtId="0" fontId="19" fillId="0" borderId="0" xfId="31" applyFont="1" applyAlignment="1">
      <alignment horizontal="center"/>
      <protection/>
    </xf>
    <xf numFmtId="168" fontId="10" fillId="0" borderId="0" xfId="31" applyNumberFormat="1" applyFont="1" applyBorder="1" applyAlignment="1" applyProtection="1">
      <alignment horizontal="left"/>
      <protection/>
    </xf>
    <xf numFmtId="0" fontId="7" fillId="0" borderId="0" xfId="31" applyFont="1" applyFill="1" applyBorder="1">
      <alignment/>
      <protection/>
    </xf>
    <xf numFmtId="0" fontId="19" fillId="0" borderId="0" xfId="31" applyFont="1" applyAlignment="1">
      <alignment horizontal="centerContinuous"/>
      <protection/>
    </xf>
    <xf numFmtId="4" fontId="88" fillId="0" borderId="0" xfId="31" applyNumberFormat="1" applyFont="1" applyBorder="1" applyAlignment="1" applyProtection="1">
      <alignment horizontal="center"/>
      <protection/>
    </xf>
    <xf numFmtId="0" fontId="7" fillId="0" borderId="0" xfId="31" applyFont="1" applyFill="1" applyBorder="1" applyAlignment="1">
      <alignment horizontal="center"/>
      <protection/>
    </xf>
    <xf numFmtId="164" fontId="7" fillId="0" borderId="0" xfId="31" applyNumberFormat="1" applyFont="1" applyBorder="1" applyAlignment="1" applyProtection="1" quotePrefix="1">
      <alignment horizontal="center"/>
      <protection/>
    </xf>
    <xf numFmtId="0" fontId="7" fillId="0" borderId="0" xfId="31" applyFont="1" applyFill="1" applyBorder="1" applyAlignment="1">
      <alignment horizontal="centerContinuous"/>
      <protection/>
    </xf>
    <xf numFmtId="0" fontId="7" fillId="0" borderId="0" xfId="31" applyFont="1" applyBorder="1" applyAlignment="1">
      <alignment horizontal="center"/>
      <protection/>
    </xf>
    <xf numFmtId="0" fontId="7" fillId="0" borderId="0" xfId="31" applyFont="1" applyBorder="1" applyAlignment="1" applyProtection="1">
      <alignment horizontal="center"/>
      <protection/>
    </xf>
    <xf numFmtId="4" fontId="50" fillId="0" borderId="0" xfId="31" applyNumberFormat="1" applyFont="1" applyBorder="1" applyAlignment="1" applyProtection="1">
      <alignment horizontal="center"/>
      <protection/>
    </xf>
    <xf numFmtId="7" fontId="7" fillId="0" borderId="0" xfId="31" applyNumberFormat="1" applyFont="1" applyFill="1" applyBorder="1" applyAlignment="1">
      <alignment horizontal="center"/>
      <protection/>
    </xf>
    <xf numFmtId="8" fontId="7" fillId="0" borderId="0" xfId="42" applyNumberFormat="1" applyFont="1" applyBorder="1" applyAlignment="1">
      <alignment horizontal="center"/>
    </xf>
    <xf numFmtId="166" fontId="19" fillId="0" borderId="0" xfId="31" applyNumberFormat="1" applyFont="1" applyBorder="1" applyAlignment="1" applyProtection="1">
      <alignment horizontal="centerContinuous"/>
      <protection/>
    </xf>
    <xf numFmtId="2" fontId="92" fillId="0" borderId="0" xfId="31" applyNumberFormat="1" applyFont="1" applyBorder="1" applyAlignment="1" applyProtection="1">
      <alignment horizontal="center"/>
      <protection/>
    </xf>
    <xf numFmtId="166" fontId="10" fillId="0" borderId="0" xfId="31" applyNumberFormat="1" applyFont="1" applyBorder="1" applyAlignment="1" applyProtection="1">
      <alignment horizontal="left"/>
      <protection/>
    </xf>
    <xf numFmtId="166" fontId="88" fillId="0" borderId="0" xfId="31" applyNumberFormat="1" applyFont="1" applyBorder="1" applyAlignment="1" applyProtection="1" quotePrefix="1">
      <alignment horizontal="center"/>
      <protection/>
    </xf>
    <xf numFmtId="1" fontId="19" fillId="0" borderId="0" xfId="31" applyNumberFormat="1" applyFont="1" applyBorder="1" applyAlignment="1" applyProtection="1">
      <alignment horizontal="centerContinuous"/>
      <protection/>
    </xf>
    <xf numFmtId="1" fontId="19" fillId="0" borderId="0" xfId="31" applyNumberFormat="1" applyFont="1" applyBorder="1" applyAlignment="1" applyProtection="1">
      <alignment horizontal="center"/>
      <protection/>
    </xf>
    <xf numFmtId="172" fontId="50" fillId="0" borderId="0" xfId="31" applyNumberFormat="1" applyFont="1" applyBorder="1" applyAlignment="1" applyProtection="1">
      <alignment horizontal="centerContinuous"/>
      <protection/>
    </xf>
    <xf numFmtId="166" fontId="19" fillId="0" borderId="0" xfId="31" applyNumberFormat="1" applyFont="1" applyBorder="1" applyAlignment="1" applyProtection="1">
      <alignment horizontal="left"/>
      <protection/>
    </xf>
    <xf numFmtId="7" fontId="19" fillId="0" borderId="0" xfId="31" applyNumberFormat="1" applyFont="1" applyBorder="1" applyAlignment="1">
      <alignment horizontal="right"/>
      <protection/>
    </xf>
    <xf numFmtId="166" fontId="3" fillId="0" borderId="0" xfId="31" applyNumberFormat="1" applyFont="1" applyBorder="1" applyAlignment="1" applyProtection="1">
      <alignment horizontal="left"/>
      <protection/>
    </xf>
    <xf numFmtId="10" fontId="19" fillId="0" borderId="0" xfId="31" applyNumberFormat="1" applyFont="1" applyBorder="1" applyAlignment="1" applyProtection="1">
      <alignment horizontal="center"/>
      <protection/>
    </xf>
    <xf numFmtId="7" fontId="19" fillId="0" borderId="0" xfId="31" applyNumberFormat="1" applyFont="1" applyAlignment="1">
      <alignment horizontal="right"/>
      <protection/>
    </xf>
    <xf numFmtId="0" fontId="19" fillId="0" borderId="0" xfId="31" applyFont="1" quotePrefix="1">
      <alignment/>
      <protection/>
    </xf>
    <xf numFmtId="7" fontId="19" fillId="0" borderId="0" xfId="31" applyNumberFormat="1" applyFont="1" applyBorder="1" applyAlignment="1" applyProtection="1">
      <alignment horizontal="center"/>
      <protection/>
    </xf>
    <xf numFmtId="2" fontId="19" fillId="0" borderId="0" xfId="31" applyNumberFormat="1" applyFont="1" applyBorder="1" applyAlignment="1" applyProtection="1">
      <alignment horizontal="center"/>
      <protection/>
    </xf>
    <xf numFmtId="166" fontId="19" fillId="0" borderId="0" xfId="31" applyNumberFormat="1" applyFont="1" applyBorder="1" applyAlignment="1" applyProtection="1" quotePrefix="1">
      <alignment horizontal="center"/>
      <protection/>
    </xf>
    <xf numFmtId="7" fontId="19" fillId="0" borderId="0" xfId="31" applyNumberFormat="1" applyFont="1" applyBorder="1" applyAlignment="1" applyProtection="1">
      <alignment horizontal="left"/>
      <protection/>
    </xf>
    <xf numFmtId="0" fontId="55" fillId="0" borderId="0" xfId="31" applyFont="1" quotePrefix="1">
      <alignment/>
      <protection/>
    </xf>
    <xf numFmtId="0" fontId="27" fillId="0" borderId="0" xfId="31" applyFont="1" applyAlignment="1">
      <alignment vertical="center"/>
      <protection/>
    </xf>
    <xf numFmtId="0" fontId="20" fillId="0" borderId="7" xfId="31" applyFont="1" applyBorder="1" applyAlignment="1">
      <alignment vertical="center"/>
      <protection/>
    </xf>
    <xf numFmtId="0" fontId="20" fillId="0" borderId="0" xfId="31" applyFont="1" applyBorder="1" applyAlignment="1">
      <alignment horizontal="center" vertical="center"/>
      <protection/>
    </xf>
    <xf numFmtId="166" fontId="20" fillId="0" borderId="0" xfId="31" applyNumberFormat="1" applyFont="1" applyBorder="1" applyAlignment="1" applyProtection="1">
      <alignment horizontal="left" vertical="center"/>
      <protection/>
    </xf>
    <xf numFmtId="0" fontId="27" fillId="0" borderId="0" xfId="31" applyFont="1" applyAlignment="1" quotePrefix="1">
      <alignment vertical="center"/>
      <protection/>
    </xf>
    <xf numFmtId="0" fontId="20" fillId="0" borderId="0" xfId="31" applyFont="1" applyBorder="1" applyAlignment="1" applyProtection="1">
      <alignment horizontal="center" vertical="center"/>
      <protection/>
    </xf>
    <xf numFmtId="165" fontId="20" fillId="0" borderId="0" xfId="31" applyNumberFormat="1" applyFont="1" applyBorder="1" applyAlignment="1" applyProtection="1">
      <alignment horizontal="center" vertical="center"/>
      <protection/>
    </xf>
    <xf numFmtId="4" fontId="22" fillId="0" borderId="8" xfId="31" applyNumberFormat="1" applyFont="1" applyBorder="1" applyAlignment="1" applyProtection="1">
      <alignment horizontal="center" vertical="center"/>
      <protection/>
    </xf>
    <xf numFmtId="7" fontId="93" fillId="0" borderId="9" xfId="31" applyNumberFormat="1" applyFont="1" applyFill="1" applyBorder="1" applyAlignment="1">
      <alignment horizontal="center" vertical="center"/>
      <protection/>
    </xf>
    <xf numFmtId="168" fontId="20" fillId="0" borderId="0" xfId="31" applyNumberFormat="1" applyFont="1" applyBorder="1" applyAlignment="1" applyProtection="1" quotePrefix="1">
      <alignment horizontal="center" vertical="center"/>
      <protection/>
    </xf>
    <xf numFmtId="166" fontId="20" fillId="0" borderId="0" xfId="31" applyNumberFormat="1" applyFont="1" applyBorder="1" applyAlignment="1" applyProtection="1">
      <alignment horizontal="center" vertical="center"/>
      <protection/>
    </xf>
    <xf numFmtId="2" fontId="94" fillId="0" borderId="0" xfId="31" applyNumberFormat="1" applyFont="1" applyBorder="1" applyAlignment="1" applyProtection="1">
      <alignment horizontal="center" vertical="center"/>
      <protection/>
    </xf>
    <xf numFmtId="166" fontId="95" fillId="0" borderId="0" xfId="31" applyNumberFormat="1" applyFont="1" applyBorder="1" applyAlignment="1" applyProtection="1" quotePrefix="1">
      <alignment horizontal="center" vertical="center"/>
      <protection/>
    </xf>
    <xf numFmtId="4" fontId="20" fillId="0" borderId="1" xfId="31" applyNumberFormat="1" applyFont="1" applyFill="1" applyBorder="1" applyAlignment="1">
      <alignment horizontal="center" vertical="center"/>
      <protection/>
    </xf>
    <xf numFmtId="0" fontId="19" fillId="0" borderId="10" xfId="31" applyFont="1" applyBorder="1">
      <alignment/>
      <protection/>
    </xf>
    <xf numFmtId="0" fontId="19" fillId="0" borderId="11" xfId="31" applyFont="1" applyBorder="1">
      <alignment/>
      <protection/>
    </xf>
    <xf numFmtId="0" fontId="0" fillId="0" borderId="11" xfId="31" applyBorder="1">
      <alignment/>
      <protection/>
    </xf>
    <xf numFmtId="0" fontId="19" fillId="0" borderId="12" xfId="31" applyFont="1" applyFill="1" applyBorder="1">
      <alignment/>
      <protection/>
    </xf>
    <xf numFmtId="0" fontId="4" fillId="0" borderId="0" xfId="31" applyFont="1" applyBorder="1" applyAlignment="1">
      <alignment horizontal="left"/>
      <protection/>
    </xf>
    <xf numFmtId="0" fontId="11" fillId="0" borderId="0" xfId="31" applyFont="1" applyFill="1" applyBorder="1" applyAlignment="1" applyProtection="1">
      <alignment horizontal="centerContinuous"/>
      <protection/>
    </xf>
    <xf numFmtId="0" fontId="0" fillId="0" borderId="5" xfId="31" applyBorder="1">
      <alignment/>
      <protection/>
    </xf>
    <xf numFmtId="0" fontId="20" fillId="0" borderId="0" xfId="31" applyFont="1" applyAlignment="1">
      <alignment/>
      <protection/>
    </xf>
    <xf numFmtId="7" fontId="19" fillId="0" borderId="0" xfId="31" applyNumberFormat="1" applyFont="1" applyBorder="1" applyAlignment="1">
      <alignment horizontal="center"/>
      <protection/>
    </xf>
    <xf numFmtId="0" fontId="19" fillId="0" borderId="0" xfId="31" applyFont="1" applyBorder="1" applyAlignment="1" applyProtection="1">
      <alignment horizontal="left"/>
      <protection/>
    </xf>
    <xf numFmtId="7" fontId="19" fillId="0" borderId="0" xfId="31" applyNumberFormat="1" applyFont="1" applyBorder="1" applyAlignment="1">
      <alignment horizontal="centerContinuous"/>
      <protection/>
    </xf>
    <xf numFmtId="0" fontId="19" fillId="0" borderId="0" xfId="31" applyFont="1" applyBorder="1" applyAlignment="1">
      <alignment horizontal="left"/>
      <protection/>
    </xf>
    <xf numFmtId="169" fontId="19" fillId="0" borderId="0" xfId="31" applyNumberFormat="1" applyFont="1" applyBorder="1" applyAlignment="1" applyProtection="1">
      <alignment horizontal="center"/>
      <protection/>
    </xf>
    <xf numFmtId="1" fontId="7" fillId="0" borderId="0" xfId="31" applyNumberFormat="1" applyFont="1" applyBorder="1" applyAlignment="1" applyProtection="1">
      <alignment horizontal="center"/>
      <protection/>
    </xf>
    <xf numFmtId="0" fontId="24" fillId="0" borderId="14" xfId="45" applyFont="1" applyBorder="1" applyAlignment="1">
      <alignment horizontal="center" vertical="center"/>
      <protection/>
    </xf>
    <xf numFmtId="164" fontId="24" fillId="0" borderId="9" xfId="31" applyNumberFormat="1" applyFont="1" applyBorder="1" applyAlignment="1" applyProtection="1">
      <alignment horizontal="center" vertical="center" wrapText="1"/>
      <protection/>
    </xf>
    <xf numFmtId="0" fontId="24" fillId="0" borderId="15" xfId="31" applyFont="1" applyBorder="1" applyAlignment="1" applyProtection="1">
      <alignment horizontal="center" vertical="center" wrapText="1"/>
      <protection/>
    </xf>
    <xf numFmtId="166" fontId="24" fillId="0" borderId="14" xfId="31" applyNumberFormat="1" applyFont="1" applyBorder="1" applyAlignment="1" applyProtection="1">
      <alignment horizontal="center" vertical="center"/>
      <protection/>
    </xf>
    <xf numFmtId="166" fontId="32" fillId="2" borderId="14" xfId="31" applyNumberFormat="1" applyFont="1" applyFill="1" applyBorder="1" applyAlignment="1" applyProtection="1">
      <alignment horizontal="center" vertical="center"/>
      <protection/>
    </xf>
    <xf numFmtId="0" fontId="24" fillId="0" borderId="8" xfId="31" applyFont="1" applyBorder="1" applyAlignment="1" applyProtection="1">
      <alignment horizontal="center" vertical="center"/>
      <protection/>
    </xf>
    <xf numFmtId="0" fontId="39" fillId="5" borderId="14" xfId="31" applyFont="1" applyFill="1" applyBorder="1" applyAlignment="1">
      <alignment horizontal="center" vertical="center" wrapText="1"/>
      <protection/>
    </xf>
    <xf numFmtId="0" fontId="45" fillId="13" borderId="14" xfId="31" applyFont="1" applyFill="1" applyBorder="1" applyAlignment="1">
      <alignment horizontal="center" vertical="center" wrapText="1"/>
      <protection/>
    </xf>
    <xf numFmtId="0" fontId="83" fillId="3" borderId="8" xfId="31" applyFont="1" applyFill="1" applyBorder="1" applyAlignment="1" applyProtection="1">
      <alignment horizontal="centerContinuous" vertical="center" wrapText="1"/>
      <protection/>
    </xf>
    <xf numFmtId="0" fontId="84" fillId="3" borderId="15" xfId="31" applyFont="1" applyFill="1" applyBorder="1" applyAlignment="1">
      <alignment horizontal="centerContinuous"/>
      <protection/>
    </xf>
    <xf numFmtId="0" fontId="83" fillId="3" borderId="9" xfId="31" applyFont="1" applyFill="1" applyBorder="1" applyAlignment="1">
      <alignment horizontal="centerContinuous" vertical="center"/>
      <protection/>
    </xf>
    <xf numFmtId="0" fontId="39" fillId="14" borderId="8" xfId="31" applyFont="1" applyFill="1" applyBorder="1" applyAlignment="1">
      <alignment horizontal="centerContinuous" vertical="center" wrapText="1"/>
      <protection/>
    </xf>
    <xf numFmtId="0" fontId="40" fillId="14" borderId="15" xfId="31" applyFont="1" applyFill="1" applyBorder="1" applyAlignment="1">
      <alignment horizontal="centerContinuous"/>
      <protection/>
    </xf>
    <xf numFmtId="0" fontId="39" fillId="14" borderId="9" xfId="31" applyFont="1" applyFill="1" applyBorder="1" applyAlignment="1">
      <alignment horizontal="centerContinuous" vertical="center"/>
      <protection/>
    </xf>
    <xf numFmtId="0" fontId="39" fillId="8" borderId="14" xfId="31" applyFont="1" applyFill="1" applyBorder="1" applyAlignment="1">
      <alignment horizontal="centerContinuous" vertical="center" wrapText="1"/>
      <protection/>
    </xf>
    <xf numFmtId="0" fontId="39" fillId="15" borderId="14" xfId="31" applyFont="1" applyFill="1" applyBorder="1" applyAlignment="1">
      <alignment horizontal="centerContinuous" vertical="center" wrapText="1"/>
      <protection/>
    </xf>
    <xf numFmtId="0" fontId="24" fillId="0" borderId="9" xfId="31" applyFont="1" applyBorder="1" applyAlignment="1">
      <alignment horizontal="center" vertical="center" wrapText="1"/>
      <protection/>
    </xf>
    <xf numFmtId="0" fontId="4" fillId="0" borderId="1" xfId="31" applyFont="1" applyFill="1" applyBorder="1" applyAlignment="1">
      <alignment horizontal="center"/>
      <protection/>
    </xf>
    <xf numFmtId="0" fontId="19" fillId="0" borderId="2" xfId="31" applyFont="1" applyBorder="1">
      <alignment/>
      <protection/>
    </xf>
    <xf numFmtId="164" fontId="19" fillId="0" borderId="4" xfId="31" applyNumberFormat="1" applyFont="1" applyBorder="1" applyProtection="1">
      <alignment/>
      <protection/>
    </xf>
    <xf numFmtId="164" fontId="19" fillId="0" borderId="2" xfId="31" applyNumberFormat="1" applyFont="1" applyBorder="1" applyAlignment="1" applyProtection="1">
      <alignment horizontal="center"/>
      <protection/>
    </xf>
    <xf numFmtId="164" fontId="19" fillId="0" borderId="17" xfId="31" applyNumberFormat="1" applyFont="1" applyBorder="1" applyAlignment="1" applyProtection="1">
      <alignment horizontal="center"/>
      <protection/>
    </xf>
    <xf numFmtId="164" fontId="85" fillId="2" borderId="17" xfId="31" applyNumberFormat="1" applyFont="1" applyFill="1" applyBorder="1" applyAlignment="1" applyProtection="1">
      <alignment horizontal="center"/>
      <protection/>
    </xf>
    <xf numFmtId="0" fontId="86" fillId="4" borderId="17" xfId="31" applyFont="1" applyFill="1" applyBorder="1" applyAlignment="1">
      <alignment horizontal="center"/>
      <protection/>
    </xf>
    <xf numFmtId="0" fontId="19" fillId="0" borderId="17" xfId="31" applyFont="1" applyBorder="1" applyAlignment="1">
      <alignment horizontal="center"/>
      <protection/>
    </xf>
    <xf numFmtId="0" fontId="19" fillId="0" borderId="54" xfId="31" applyFont="1" applyBorder="1" applyAlignment="1">
      <alignment horizontal="center"/>
      <protection/>
    </xf>
    <xf numFmtId="0" fontId="4" fillId="0" borderId="4" xfId="31" applyFont="1" applyBorder="1" applyAlignment="1">
      <alignment horizontal="center"/>
      <protection/>
    </xf>
    <xf numFmtId="0" fontId="4" fillId="0" borderId="17" xfId="31" applyFont="1" applyBorder="1" applyAlignment="1">
      <alignment horizontal="center"/>
      <protection/>
    </xf>
    <xf numFmtId="0" fontId="41" fillId="5" borderId="17" xfId="31" applyFont="1" applyFill="1" applyBorder="1" applyAlignment="1">
      <alignment horizontal="center"/>
      <protection/>
    </xf>
    <xf numFmtId="0" fontId="76" fillId="13" borderId="17" xfId="31" applyFont="1" applyFill="1" applyBorder="1" applyAlignment="1">
      <alignment horizontal="center"/>
      <protection/>
    </xf>
    <xf numFmtId="166" fontId="87" fillId="3" borderId="32" xfId="31" applyNumberFormat="1" applyFont="1" applyFill="1" applyBorder="1" applyAlignment="1" applyProtection="1" quotePrefix="1">
      <alignment horizontal="center"/>
      <protection/>
    </xf>
    <xf numFmtId="166" fontId="87" fillId="3" borderId="55" xfId="31" applyNumberFormat="1" applyFont="1" applyFill="1" applyBorder="1" applyAlignment="1" applyProtection="1" quotePrefix="1">
      <alignment horizontal="center"/>
      <protection/>
    </xf>
    <xf numFmtId="4" fontId="87" fillId="3" borderId="56" xfId="31" applyNumberFormat="1" applyFont="1" applyFill="1" applyBorder="1" applyAlignment="1" applyProtection="1">
      <alignment horizontal="center"/>
      <protection/>
    </xf>
    <xf numFmtId="166" fontId="41" fillId="14" borderId="32" xfId="31" applyNumberFormat="1" applyFont="1" applyFill="1" applyBorder="1" applyAlignment="1" applyProtection="1" quotePrefix="1">
      <alignment horizontal="center"/>
      <protection/>
    </xf>
    <xf numFmtId="166" fontId="41" fillId="14" borderId="55" xfId="31" applyNumberFormat="1" applyFont="1" applyFill="1" applyBorder="1" applyAlignment="1" applyProtection="1" quotePrefix="1">
      <alignment horizontal="center"/>
      <protection/>
    </xf>
    <xf numFmtId="4" fontId="41" fillId="14" borderId="56" xfId="31" applyNumberFormat="1" applyFont="1" applyFill="1" applyBorder="1" applyAlignment="1" applyProtection="1">
      <alignment horizontal="center"/>
      <protection/>
    </xf>
    <xf numFmtId="4" fontId="41" fillId="8" borderId="17" xfId="31" applyNumberFormat="1" applyFont="1" applyFill="1" applyBorder="1" applyAlignment="1" applyProtection="1">
      <alignment horizontal="center"/>
      <protection/>
    </xf>
    <xf numFmtId="4" fontId="41" fillId="15" borderId="17" xfId="31" applyNumberFormat="1" applyFont="1" applyFill="1" applyBorder="1" applyAlignment="1" applyProtection="1">
      <alignment horizontal="center"/>
      <protection/>
    </xf>
    <xf numFmtId="0" fontId="4" fillId="0" borderId="56" xfId="31" applyFont="1" applyBorder="1" applyAlignment="1">
      <alignment horizontal="left"/>
      <protection/>
    </xf>
    <xf numFmtId="0" fontId="7" fillId="0" borderId="56" xfId="31" applyFont="1" applyBorder="1" applyAlignment="1">
      <alignment horizontal="center"/>
      <protection/>
    </xf>
    <xf numFmtId="0" fontId="85" fillId="2" borderId="2" xfId="31" applyFont="1" applyFill="1" applyBorder="1" applyAlignment="1" applyProtection="1">
      <alignment horizontal="center"/>
      <protection/>
    </xf>
    <xf numFmtId="166" fontId="86" fillId="4" borderId="2" xfId="31" applyNumberFormat="1" applyFont="1" applyFill="1" applyBorder="1" applyAlignment="1" applyProtection="1">
      <alignment horizontal="center"/>
      <protection/>
    </xf>
    <xf numFmtId="4" fontId="4" fillId="0" borderId="2" xfId="31" applyNumberFormat="1" applyFont="1" applyFill="1" applyBorder="1" applyAlignment="1" applyProtection="1" quotePrefix="1">
      <alignment horizontal="center"/>
      <protection/>
    </xf>
    <xf numFmtId="166" fontId="4" fillId="0" borderId="2" xfId="31" applyNumberFormat="1" applyFont="1" applyBorder="1" applyAlignment="1" applyProtection="1">
      <alignment horizontal="center"/>
      <protection/>
    </xf>
    <xf numFmtId="2" fontId="41" fillId="5" borderId="2" xfId="31" applyNumberFormat="1" applyFont="1" applyFill="1" applyBorder="1" applyAlignment="1" applyProtection="1">
      <alignment horizontal="center"/>
      <protection/>
    </xf>
    <xf numFmtId="2" fontId="76" fillId="13" borderId="2" xfId="31" applyNumberFormat="1" applyFont="1" applyFill="1" applyBorder="1" applyAlignment="1" applyProtection="1">
      <alignment horizontal="center"/>
      <protection/>
    </xf>
    <xf numFmtId="166" fontId="87" fillId="3" borderId="22" xfId="31" applyNumberFormat="1" applyFont="1" applyFill="1" applyBorder="1" applyAlignment="1" applyProtection="1" quotePrefix="1">
      <alignment horizontal="center"/>
      <protection/>
    </xf>
    <xf numFmtId="166" fontId="87" fillId="3" borderId="23" xfId="31" applyNumberFormat="1" applyFont="1" applyFill="1" applyBorder="1" applyAlignment="1" applyProtection="1" quotePrefix="1">
      <alignment horizontal="center"/>
      <protection/>
    </xf>
    <xf numFmtId="4" fontId="87" fillId="3" borderId="4" xfId="31" applyNumberFormat="1" applyFont="1" applyFill="1" applyBorder="1" applyAlignment="1" applyProtection="1">
      <alignment horizontal="center"/>
      <protection/>
    </xf>
    <xf numFmtId="166" fontId="41" fillId="14" borderId="22" xfId="31" applyNumberFormat="1" applyFont="1" applyFill="1" applyBorder="1" applyAlignment="1" applyProtection="1" quotePrefix="1">
      <alignment horizontal="center"/>
      <protection/>
    </xf>
    <xf numFmtId="166" fontId="41" fillId="14" borderId="23" xfId="31" applyNumberFormat="1" applyFont="1" applyFill="1" applyBorder="1" applyAlignment="1" applyProtection="1" quotePrefix="1">
      <alignment horizontal="center"/>
      <protection/>
    </xf>
    <xf numFmtId="4" fontId="41" fillId="14" borderId="4" xfId="31" applyNumberFormat="1" applyFont="1" applyFill="1" applyBorder="1" applyAlignment="1" applyProtection="1">
      <alignment horizontal="center"/>
      <protection/>
    </xf>
    <xf numFmtId="4" fontId="41" fillId="8" borderId="2" xfId="31" applyNumberFormat="1" applyFont="1" applyFill="1" applyBorder="1" applyAlignment="1" applyProtection="1">
      <alignment horizontal="center"/>
      <protection/>
    </xf>
    <xf numFmtId="4" fontId="41" fillId="15" borderId="2" xfId="31" applyNumberFormat="1" applyFont="1" applyFill="1" applyBorder="1" applyAlignment="1" applyProtection="1">
      <alignment horizontal="center"/>
      <protection/>
    </xf>
    <xf numFmtId="4" fontId="4" fillId="0" borderId="4" xfId="31" applyNumberFormat="1" applyFont="1" applyBorder="1" applyAlignment="1" applyProtection="1">
      <alignment horizontal="center"/>
      <protection/>
    </xf>
    <xf numFmtId="4" fontId="7" fillId="0" borderId="4" xfId="31" applyNumberFormat="1" applyFont="1" applyFill="1" applyBorder="1" applyAlignment="1">
      <alignment horizontal="right"/>
      <protection/>
    </xf>
    <xf numFmtId="0" fontId="4" fillId="0" borderId="2" xfId="30" applyFont="1" applyBorder="1" applyAlignment="1">
      <alignment horizontal="center"/>
      <protection/>
    </xf>
    <xf numFmtId="164" fontId="4" fillId="0" borderId="4" xfId="30" applyNumberFormat="1" applyFont="1" applyBorder="1" applyAlignment="1" applyProtection="1">
      <alignment horizontal="center"/>
      <protection/>
    </xf>
    <xf numFmtId="165" fontId="4" fillId="0" borderId="2" xfId="30" applyNumberFormat="1" applyFont="1" applyBorder="1" applyAlignment="1" applyProtection="1">
      <alignment horizontal="center"/>
      <protection/>
    </xf>
    <xf numFmtId="164" fontId="4" fillId="0" borderId="2" xfId="30" applyNumberFormat="1" applyFont="1" applyBorder="1" applyAlignment="1" applyProtection="1">
      <alignment horizontal="center"/>
      <protection/>
    </xf>
    <xf numFmtId="22" fontId="4" fillId="0" borderId="2" xfId="30" applyNumberFormat="1" applyFont="1" applyBorder="1" applyAlignment="1">
      <alignment horizontal="center"/>
      <protection/>
    </xf>
    <xf numFmtId="22" fontId="4" fillId="0" borderId="24" xfId="30" applyNumberFormat="1" applyFont="1" applyBorder="1" applyAlignment="1">
      <alignment horizontal="center"/>
      <protection/>
    </xf>
    <xf numFmtId="166" fontId="4" fillId="0" borderId="4" xfId="30" applyNumberFormat="1" applyFont="1" applyBorder="1" applyAlignment="1" applyProtection="1">
      <alignment horizontal="center"/>
      <protection/>
    </xf>
    <xf numFmtId="0" fontId="4" fillId="0" borderId="19" xfId="31" applyFont="1" applyBorder="1" applyAlignment="1">
      <alignment horizontal="center"/>
      <protection/>
    </xf>
    <xf numFmtId="166" fontId="4" fillId="0" borderId="36" xfId="30" applyNumberFormat="1" applyFont="1" applyBorder="1" applyAlignment="1" applyProtection="1">
      <alignment horizontal="center"/>
      <protection/>
    </xf>
    <xf numFmtId="0" fontId="4" fillId="0" borderId="3" xfId="31" applyFont="1" applyBorder="1" applyAlignment="1">
      <alignment horizontal="center"/>
      <protection/>
    </xf>
    <xf numFmtId="0" fontId="4" fillId="0" borderId="3" xfId="30" applyFont="1" applyBorder="1" applyAlignment="1">
      <alignment horizontal="center"/>
      <protection/>
    </xf>
    <xf numFmtId="164" fontId="4" fillId="0" borderId="3" xfId="30" applyNumberFormat="1" applyFont="1" applyBorder="1" applyAlignment="1" applyProtection="1">
      <alignment horizontal="center"/>
      <protection/>
    </xf>
    <xf numFmtId="165" fontId="4" fillId="0" borderId="3" xfId="30" applyNumberFormat="1" applyFont="1" applyBorder="1" applyAlignment="1" applyProtection="1">
      <alignment horizontal="center"/>
      <protection/>
    </xf>
    <xf numFmtId="0" fontId="85" fillId="2" borderId="39" xfId="31" applyFont="1" applyFill="1" applyBorder="1" applyAlignment="1" applyProtection="1">
      <alignment horizontal="center"/>
      <protection/>
    </xf>
    <xf numFmtId="22" fontId="4" fillId="0" borderId="39" xfId="30" applyNumberFormat="1" applyFont="1" applyBorder="1" applyAlignment="1">
      <alignment horizontal="center"/>
      <protection/>
    </xf>
    <xf numFmtId="4" fontId="4" fillId="0" borderId="39" xfId="31" applyNumberFormat="1" applyFont="1" applyFill="1" applyBorder="1" applyAlignment="1" applyProtection="1" quotePrefix="1">
      <alignment horizontal="center"/>
      <protection/>
    </xf>
    <xf numFmtId="168" fontId="4" fillId="0" borderId="39" xfId="31" applyNumberFormat="1" applyFont="1" applyBorder="1" applyAlignment="1" applyProtection="1" quotePrefix="1">
      <alignment horizontal="center"/>
      <protection/>
    </xf>
    <xf numFmtId="166" fontId="4" fillId="0" borderId="39" xfId="31" applyNumberFormat="1" applyFont="1" applyBorder="1" applyAlignment="1" applyProtection="1">
      <alignment horizontal="center"/>
      <protection/>
    </xf>
    <xf numFmtId="2" fontId="41" fillId="5" borderId="39" xfId="31" applyNumberFormat="1" applyFont="1" applyFill="1" applyBorder="1" applyAlignment="1" applyProtection="1">
      <alignment horizontal="center"/>
      <protection/>
    </xf>
    <xf numFmtId="2" fontId="76" fillId="13" borderId="39" xfId="31" applyNumberFormat="1" applyFont="1" applyFill="1" applyBorder="1" applyAlignment="1" applyProtection="1">
      <alignment horizontal="center"/>
      <protection/>
    </xf>
    <xf numFmtId="166" fontId="87" fillId="3" borderId="40" xfId="31" applyNumberFormat="1" applyFont="1" applyFill="1" applyBorder="1" applyAlignment="1" applyProtection="1" quotePrefix="1">
      <alignment horizontal="center"/>
      <protection/>
    </xf>
    <xf numFmtId="166" fontId="87" fillId="3" borderId="74" xfId="31" applyNumberFormat="1" applyFont="1" applyFill="1" applyBorder="1" applyAlignment="1" applyProtection="1" quotePrefix="1">
      <alignment horizontal="center"/>
      <protection/>
    </xf>
    <xf numFmtId="4" fontId="87" fillId="3" borderId="64" xfId="31" applyNumberFormat="1" applyFont="1" applyFill="1" applyBorder="1" applyAlignment="1" applyProtection="1">
      <alignment horizontal="center"/>
      <protection/>
    </xf>
    <xf numFmtId="166" fontId="41" fillId="14" borderId="40" xfId="31" applyNumberFormat="1" applyFont="1" applyFill="1" applyBorder="1" applyAlignment="1" applyProtection="1" quotePrefix="1">
      <alignment horizontal="center"/>
      <protection/>
    </xf>
    <xf numFmtId="166" fontId="41" fillId="14" borderId="74" xfId="31" applyNumberFormat="1" applyFont="1" applyFill="1" applyBorder="1" applyAlignment="1" applyProtection="1" quotePrefix="1">
      <alignment horizontal="center"/>
      <protection/>
    </xf>
    <xf numFmtId="4" fontId="41" fillId="14" borderId="64" xfId="31" applyNumberFormat="1" applyFont="1" applyFill="1" applyBorder="1" applyAlignment="1" applyProtection="1">
      <alignment horizontal="center"/>
      <protection/>
    </xf>
    <xf numFmtId="4" fontId="41" fillId="8" borderId="39" xfId="31" applyNumberFormat="1" applyFont="1" applyFill="1" applyBorder="1" applyAlignment="1" applyProtection="1">
      <alignment horizontal="center"/>
      <protection/>
    </xf>
    <xf numFmtId="4" fontId="41" fillId="15" borderId="39" xfId="31" applyNumberFormat="1" applyFont="1" applyFill="1" applyBorder="1" applyAlignment="1" applyProtection="1">
      <alignment horizontal="center"/>
      <protection/>
    </xf>
    <xf numFmtId="4" fontId="4" fillId="0" borderId="64" xfId="31" applyNumberFormat="1" applyFont="1" applyBorder="1" applyAlignment="1" applyProtection="1">
      <alignment horizontal="center"/>
      <protection/>
    </xf>
    <xf numFmtId="4" fontId="7" fillId="0" borderId="64" xfId="31" applyNumberFormat="1" applyFont="1" applyFill="1" applyBorder="1" applyAlignment="1">
      <alignment horizontal="right"/>
      <protection/>
    </xf>
    <xf numFmtId="164" fontId="4" fillId="0" borderId="0" xfId="30" applyNumberFormat="1" applyFont="1" applyBorder="1" applyAlignment="1" applyProtection="1">
      <alignment horizontal="center"/>
      <protection/>
    </xf>
    <xf numFmtId="0" fontId="32" fillId="2" borderId="3" xfId="31" applyFont="1" applyFill="1" applyBorder="1" applyAlignment="1" applyProtection="1">
      <alignment horizontal="center" vertical="center"/>
      <protection/>
    </xf>
    <xf numFmtId="0" fontId="32" fillId="16" borderId="3" xfId="31" applyFont="1" applyFill="1" applyBorder="1" applyAlignment="1" applyProtection="1">
      <alignment horizontal="center" vertical="center"/>
      <protection/>
    </xf>
    <xf numFmtId="2" fontId="86" fillId="5" borderId="3" xfId="31" applyNumberFormat="1" applyFont="1" applyFill="1" applyBorder="1" applyAlignment="1" applyProtection="1">
      <alignment horizontal="center"/>
      <protection/>
    </xf>
    <xf numFmtId="2" fontId="74" fillId="13" borderId="3" xfId="31" applyNumberFormat="1" applyFont="1" applyFill="1" applyBorder="1" applyAlignment="1" applyProtection="1">
      <alignment horizontal="center"/>
      <protection/>
    </xf>
    <xf numFmtId="2" fontId="89" fillId="3" borderId="3" xfId="31" applyNumberFormat="1" applyFont="1" applyFill="1" applyBorder="1" applyAlignment="1" applyProtection="1">
      <alignment horizontal="center"/>
      <protection/>
    </xf>
    <xf numFmtId="2" fontId="86" fillId="14" borderId="3" xfId="31" applyNumberFormat="1" applyFont="1" applyFill="1" applyBorder="1" applyAlignment="1" applyProtection="1">
      <alignment horizontal="center"/>
      <protection/>
    </xf>
    <xf numFmtId="2" fontId="86" fillId="8" borderId="3" xfId="31" applyNumberFormat="1" applyFont="1" applyFill="1" applyBorder="1" applyAlignment="1" applyProtection="1">
      <alignment horizontal="center"/>
      <protection/>
    </xf>
    <xf numFmtId="2" fontId="86" fillId="15" borderId="3" xfId="31" applyNumberFormat="1" applyFont="1" applyFill="1" applyBorder="1" applyAlignment="1" applyProtection="1">
      <alignment horizontal="center"/>
      <protection/>
    </xf>
    <xf numFmtId="2" fontId="19" fillId="0" borderId="47" xfId="31" applyNumberFormat="1" applyFont="1" applyBorder="1" applyAlignment="1" applyProtection="1">
      <alignment horizontal="center"/>
      <protection/>
    </xf>
    <xf numFmtId="7" fontId="7" fillId="0" borderId="3" xfId="31" applyNumberFormat="1" applyFont="1" applyBorder="1" applyAlignment="1" applyProtection="1">
      <alignment horizontal="right"/>
      <protection/>
    </xf>
    <xf numFmtId="0" fontId="7" fillId="0" borderId="0" xfId="31" applyFont="1" applyBorder="1" applyAlignment="1">
      <alignment horizontal="left"/>
      <protection/>
    </xf>
    <xf numFmtId="165" fontId="7" fillId="0" borderId="0" xfId="31" applyNumberFormat="1" applyFont="1" applyBorder="1" applyAlignment="1" applyProtection="1">
      <alignment horizontal="center"/>
      <protection/>
    </xf>
    <xf numFmtId="0" fontId="90" fillId="16" borderId="2" xfId="31" applyFont="1" applyFill="1" applyBorder="1" applyAlignment="1">
      <alignment horizontal="center"/>
      <protection/>
    </xf>
    <xf numFmtId="166" fontId="7" fillId="0" borderId="0" xfId="31" applyNumberFormat="1" applyFont="1" applyBorder="1" applyAlignment="1" applyProtection="1">
      <alignment horizontal="center"/>
      <protection/>
    </xf>
    <xf numFmtId="2" fontId="86" fillId="0" borderId="15" xfId="31" applyNumberFormat="1" applyFont="1" applyFill="1" applyBorder="1" applyAlignment="1" applyProtection="1">
      <alignment horizontal="center"/>
      <protection/>
    </xf>
    <xf numFmtId="2" fontId="74" fillId="0" borderId="15" xfId="31" applyNumberFormat="1" applyFont="1" applyFill="1" applyBorder="1" applyAlignment="1" applyProtection="1">
      <alignment horizontal="center"/>
      <protection/>
    </xf>
    <xf numFmtId="2" fontId="89" fillId="0" borderId="15" xfId="31" applyNumberFormat="1" applyFont="1" applyFill="1" applyBorder="1" applyAlignment="1" applyProtection="1">
      <alignment horizontal="center"/>
      <protection/>
    </xf>
    <xf numFmtId="166" fontId="90" fillId="16" borderId="2" xfId="31" applyNumberFormat="1" applyFont="1" applyFill="1" applyBorder="1" applyAlignment="1" applyProtection="1">
      <alignment horizontal="center"/>
      <protection/>
    </xf>
    <xf numFmtId="0" fontId="39" fillId="23" borderId="14" xfId="31" applyFont="1" applyFill="1" applyBorder="1" applyAlignment="1">
      <alignment vertical="center" wrapText="1"/>
      <protection/>
    </xf>
    <xf numFmtId="0" fontId="39" fillId="16" borderId="16" xfId="31" applyFont="1" applyFill="1" applyBorder="1" applyAlignment="1">
      <alignment vertical="center" wrapText="1"/>
      <protection/>
    </xf>
    <xf numFmtId="0" fontId="39" fillId="16" borderId="31" xfId="31" applyFont="1" applyFill="1" applyBorder="1" applyAlignment="1">
      <alignment vertical="center" wrapText="1"/>
      <protection/>
    </xf>
    <xf numFmtId="0" fontId="4" fillId="0" borderId="54" xfId="31" applyFont="1" applyFill="1" applyBorder="1" applyAlignment="1">
      <alignment horizontal="center"/>
      <protection/>
    </xf>
    <xf numFmtId="0" fontId="4" fillId="0" borderId="56" xfId="31" applyFont="1" applyFill="1" applyBorder="1" applyAlignment="1">
      <alignment horizontal="center"/>
      <protection/>
    </xf>
    <xf numFmtId="0" fontId="42" fillId="16" borderId="0" xfId="31" applyFont="1" applyFill="1" applyBorder="1" applyAlignment="1">
      <alignment horizontal="left"/>
      <protection/>
    </xf>
    <xf numFmtId="0" fontId="42" fillId="16" borderId="47" xfId="31" applyFont="1" applyFill="1" applyBorder="1" applyAlignment="1">
      <alignment horizontal="left"/>
      <protection/>
    </xf>
    <xf numFmtId="0" fontId="4" fillId="0" borderId="19" xfId="31" applyFont="1" applyBorder="1" applyAlignment="1" applyProtection="1">
      <alignment horizontal="center"/>
      <protection/>
    </xf>
    <xf numFmtId="0" fontId="4" fillId="0" borderId="24" xfId="31" applyFont="1" applyBorder="1" applyAlignment="1" applyProtection="1">
      <alignment horizontal="center"/>
      <protection/>
    </xf>
    <xf numFmtId="164" fontId="4" fillId="0" borderId="49" xfId="31" applyNumberFormat="1" applyFont="1" applyBorder="1" applyAlignment="1" applyProtection="1">
      <alignment horizontal="center"/>
      <protection/>
    </xf>
    <xf numFmtId="164" fontId="4" fillId="0" borderId="36" xfId="31" applyNumberFormat="1" applyFont="1" applyBorder="1" applyAlignment="1" applyProtection="1">
      <alignment horizontal="center"/>
      <protection/>
    </xf>
    <xf numFmtId="22" fontId="4" fillId="0" borderId="22" xfId="31" applyNumberFormat="1" applyFont="1" applyBorder="1" applyAlignment="1" applyProtection="1">
      <alignment horizontal="center"/>
      <protection locked="0"/>
    </xf>
    <xf numFmtId="22" fontId="4" fillId="0" borderId="21" xfId="31" applyNumberFormat="1" applyFont="1" applyBorder="1" applyAlignment="1" applyProtection="1">
      <alignment horizontal="center"/>
      <protection locked="0"/>
    </xf>
    <xf numFmtId="166" fontId="4" fillId="0" borderId="2" xfId="31" applyNumberFormat="1" applyFont="1" applyFill="1" applyBorder="1" applyAlignment="1" applyProtection="1">
      <alignment horizontal="center"/>
      <protection/>
    </xf>
    <xf numFmtId="164" fontId="33" fillId="2" borderId="50" xfId="31" applyNumberFormat="1" applyFont="1" applyFill="1" applyBorder="1" applyAlignment="1" applyProtection="1">
      <alignment horizontal="center"/>
      <protection locked="0"/>
    </xf>
    <xf numFmtId="2" fontId="41" fillId="23" borderId="2" xfId="31" applyNumberFormat="1" applyFont="1" applyFill="1" applyBorder="1" applyAlignment="1">
      <alignment horizontal="center"/>
      <protection/>
    </xf>
    <xf numFmtId="166" fontId="41" fillId="16" borderId="0" xfId="31" applyNumberFormat="1" applyFont="1" applyFill="1" applyBorder="1" applyAlignment="1" applyProtection="1" quotePrefix="1">
      <alignment horizontal="center"/>
      <protection/>
    </xf>
    <xf numFmtId="166" fontId="41" fillId="16" borderId="47" xfId="31" applyNumberFormat="1" applyFont="1" applyFill="1" applyBorder="1" applyAlignment="1" applyProtection="1" quotePrefix="1">
      <alignment horizontal="center"/>
      <protection/>
    </xf>
    <xf numFmtId="22" fontId="4" fillId="0" borderId="2" xfId="31" applyNumberFormat="1" applyFont="1" applyFill="1" applyBorder="1" applyAlignment="1">
      <alignment horizontal="center"/>
      <protection/>
    </xf>
    <xf numFmtId="166" fontId="90" fillId="16" borderId="3" xfId="31" applyNumberFormat="1" applyFont="1" applyFill="1" applyBorder="1" applyAlignment="1" applyProtection="1">
      <alignment horizontal="center"/>
      <protection/>
    </xf>
    <xf numFmtId="0" fontId="4" fillId="0" borderId="59" xfId="31" applyFont="1" applyBorder="1" applyAlignment="1" applyProtection="1">
      <alignment horizontal="center"/>
      <protection/>
    </xf>
    <xf numFmtId="164" fontId="4" fillId="0" borderId="61" xfId="31" applyNumberFormat="1" applyFont="1" applyBorder="1" applyAlignment="1" applyProtection="1">
      <alignment horizontal="center"/>
      <protection/>
    </xf>
    <xf numFmtId="164" fontId="4" fillId="0" borderId="64" xfId="31" applyNumberFormat="1" applyFont="1" applyBorder="1" applyAlignment="1" applyProtection="1">
      <alignment horizontal="center"/>
      <protection/>
    </xf>
    <xf numFmtId="166" fontId="42" fillId="16" borderId="52" xfId="31" applyNumberFormat="1" applyFont="1" applyFill="1" applyBorder="1" applyAlignment="1" applyProtection="1" quotePrefix="1">
      <alignment horizontal="center"/>
      <protection/>
    </xf>
    <xf numFmtId="166" fontId="42" fillId="16" borderId="20" xfId="31" applyNumberFormat="1" applyFont="1" applyFill="1" applyBorder="1" applyAlignment="1" applyProtection="1" quotePrefix="1">
      <alignment horizontal="center"/>
      <protection/>
    </xf>
    <xf numFmtId="166" fontId="42" fillId="16" borderId="0" xfId="31" applyNumberFormat="1" applyFont="1" applyFill="1" applyBorder="1" applyAlignment="1" applyProtection="1" quotePrefix="1">
      <alignment horizontal="center"/>
      <protection/>
    </xf>
    <xf numFmtId="2" fontId="54" fillId="0" borderId="16" xfId="31" applyNumberFormat="1" applyFont="1" applyFill="1" applyBorder="1" applyAlignment="1">
      <alignment horizontal="center"/>
      <protection/>
    </xf>
    <xf numFmtId="166" fontId="6" fillId="0" borderId="16" xfId="31" applyNumberFormat="1" applyFont="1" applyFill="1" applyBorder="1" applyAlignment="1" applyProtection="1" quotePrefix="1">
      <alignment horizontal="center"/>
      <protection/>
    </xf>
    <xf numFmtId="166" fontId="4" fillId="0" borderId="16" xfId="31" applyNumberFormat="1" applyFont="1" applyFill="1" applyBorder="1" applyAlignment="1">
      <alignment horizontal="center"/>
      <protection/>
    </xf>
    <xf numFmtId="169" fontId="33" fillId="2" borderId="2" xfId="31" applyNumberFormat="1" applyFont="1" applyFill="1" applyBorder="1" applyAlignment="1" applyProtection="1">
      <alignment horizontal="center"/>
      <protection/>
    </xf>
    <xf numFmtId="0" fontId="32" fillId="2" borderId="9" xfId="31" applyFont="1" applyFill="1" applyBorder="1" applyAlignment="1" applyProtection="1">
      <alignment horizontal="center" vertical="center"/>
      <protection/>
    </xf>
    <xf numFmtId="0" fontId="45" fillId="8" borderId="14" xfId="31" applyFont="1" applyFill="1" applyBorder="1" applyAlignment="1">
      <alignment horizontal="center" vertical="center" wrapText="1"/>
      <protection/>
    </xf>
    <xf numFmtId="0" fontId="43" fillId="12" borderId="8" xfId="31" applyFont="1" applyFill="1" applyBorder="1" applyAlignment="1" applyProtection="1">
      <alignment horizontal="centerContinuous" vertical="center" wrapText="1"/>
      <protection/>
    </xf>
    <xf numFmtId="0" fontId="43" fillId="12" borderId="9" xfId="31" applyFont="1" applyFill="1" applyBorder="1" applyAlignment="1">
      <alignment horizontal="centerContinuous" vertical="center"/>
      <protection/>
    </xf>
    <xf numFmtId="0" fontId="46" fillId="6" borderId="14" xfId="31" applyFont="1" applyFill="1" applyBorder="1" applyAlignment="1">
      <alignment horizontal="center" vertical="center" wrapText="1"/>
      <protection/>
    </xf>
    <xf numFmtId="0" fontId="45" fillId="0" borderId="14" xfId="31" applyFont="1" applyFill="1" applyBorder="1" applyAlignment="1">
      <alignment horizontal="center" vertical="center" wrapText="1"/>
      <protection/>
    </xf>
    <xf numFmtId="0" fontId="4" fillId="0" borderId="17" xfId="31" applyFont="1" applyFill="1" applyBorder="1" applyAlignment="1">
      <alignment/>
      <protection/>
    </xf>
    <xf numFmtId="0" fontId="4" fillId="0" borderId="75" xfId="31" applyFont="1" applyFill="1" applyBorder="1" applyAlignment="1">
      <alignment/>
      <protection/>
    </xf>
    <xf numFmtId="0" fontId="4" fillId="0" borderId="56" xfId="31" applyFont="1" applyFill="1" applyBorder="1" applyAlignment="1">
      <alignment/>
      <protection/>
    </xf>
    <xf numFmtId="164" fontId="33" fillId="2" borderId="50" xfId="31" applyNumberFormat="1" applyFont="1" applyFill="1" applyBorder="1" applyAlignment="1" applyProtection="1">
      <alignment horizontal="center"/>
      <protection/>
    </xf>
    <xf numFmtId="2" fontId="76" fillId="8" borderId="2" xfId="31" applyNumberFormat="1" applyFont="1" applyFill="1" applyBorder="1" applyAlignment="1" applyProtection="1">
      <alignment horizontal="center"/>
      <protection/>
    </xf>
    <xf numFmtId="166" fontId="44" fillId="12" borderId="37" xfId="31" applyNumberFormat="1" applyFont="1" applyFill="1" applyBorder="1" applyAlignment="1" applyProtection="1" quotePrefix="1">
      <alignment horizontal="center"/>
      <protection/>
    </xf>
    <xf numFmtId="166" fontId="44" fillId="12" borderId="38" xfId="31" applyNumberFormat="1" applyFont="1" applyFill="1" applyBorder="1" applyAlignment="1" applyProtection="1" quotePrefix="1">
      <alignment horizontal="center"/>
      <protection/>
    </xf>
    <xf numFmtId="166" fontId="47" fillId="6" borderId="19" xfId="31" applyNumberFormat="1" applyFont="1" applyFill="1" applyBorder="1" applyAlignment="1" applyProtection="1" quotePrefix="1">
      <alignment horizontal="center"/>
      <protection/>
    </xf>
    <xf numFmtId="0" fontId="4" fillId="0" borderId="50" xfId="31" applyFont="1" applyBorder="1" applyAlignment="1" applyProtection="1">
      <alignment horizontal="center"/>
      <protection locked="0"/>
    </xf>
    <xf numFmtId="0" fontId="4" fillId="0" borderId="21" xfId="31" applyFont="1" applyBorder="1" applyAlignment="1" applyProtection="1">
      <alignment horizontal="center"/>
      <protection locked="0"/>
    </xf>
    <xf numFmtId="166" fontId="4" fillId="0" borderId="39" xfId="31" applyNumberFormat="1" applyFont="1" applyFill="1" applyBorder="1" applyAlignment="1" applyProtection="1">
      <alignment/>
      <protection/>
    </xf>
    <xf numFmtId="166" fontId="4" fillId="0" borderId="59" xfId="31" applyNumberFormat="1" applyFont="1" applyFill="1" applyBorder="1" applyAlignment="1" applyProtection="1">
      <alignment/>
      <protection/>
    </xf>
    <xf numFmtId="166" fontId="4" fillId="0" borderId="64" xfId="31" applyNumberFormat="1" applyFont="1" applyFill="1" applyBorder="1" applyAlignment="1" applyProtection="1">
      <alignment/>
      <protection/>
    </xf>
    <xf numFmtId="4" fontId="26" fillId="0" borderId="0" xfId="31" applyNumberFormat="1" applyFont="1" applyFill="1" applyBorder="1" applyAlignment="1">
      <alignment horizontal="right"/>
      <protection/>
    </xf>
    <xf numFmtId="7" fontId="10" fillId="0" borderId="0" xfId="31" applyNumberFormat="1" applyFont="1" applyBorder="1" applyAlignment="1">
      <alignment horizontal="centerContinuous"/>
      <protection/>
    </xf>
    <xf numFmtId="167" fontId="19" fillId="0" borderId="0" xfId="31" applyNumberFormat="1" applyFont="1" applyBorder="1" applyAlignment="1" applyProtection="1">
      <alignment horizontal="center"/>
      <protection/>
    </xf>
    <xf numFmtId="166" fontId="19" fillId="0" borderId="0" xfId="31" applyNumberFormat="1" applyFont="1" applyBorder="1">
      <alignment/>
      <protection/>
    </xf>
    <xf numFmtId="166" fontId="50" fillId="0" borderId="0" xfId="31" applyNumberFormat="1" applyFont="1" applyBorder="1" applyAlignment="1" applyProtection="1" quotePrefix="1">
      <alignment horizontal="right"/>
      <protection/>
    </xf>
    <xf numFmtId="0" fontId="19" fillId="0" borderId="50" xfId="31" applyFont="1" applyBorder="1">
      <alignment/>
      <protection/>
    </xf>
    <xf numFmtId="7" fontId="19" fillId="0" borderId="50" xfId="31" applyNumberFormat="1" applyFont="1" applyBorder="1" applyAlignment="1">
      <alignment horizontal="centerContinuous"/>
      <protection/>
    </xf>
    <xf numFmtId="0" fontId="22" fillId="0" borderId="8" xfId="31" applyFont="1" applyBorder="1" applyAlignment="1">
      <alignment horizontal="center"/>
      <protection/>
    </xf>
    <xf numFmtId="7" fontId="22" fillId="0" borderId="9" xfId="31" applyNumberFormat="1" applyFont="1" applyBorder="1" applyAlignment="1">
      <alignment horizontal="center"/>
      <protection/>
    </xf>
    <xf numFmtId="0" fontId="109" fillId="0" borderId="16" xfId="0" applyFont="1" applyBorder="1" applyAlignment="1">
      <alignment horizontal="left"/>
    </xf>
    <xf numFmtId="0" fontId="90" fillId="16" borderId="45" xfId="38" applyFont="1" applyFill="1" applyBorder="1" applyAlignment="1">
      <alignment horizontal="center"/>
      <protection/>
    </xf>
    <xf numFmtId="166" fontId="90" fillId="2" borderId="0" xfId="0" applyNumberFormat="1" applyFont="1" applyFill="1" applyBorder="1" applyAlignment="1" applyProtection="1">
      <alignment horizontal="center"/>
      <protection/>
    </xf>
    <xf numFmtId="166" fontId="90" fillId="16" borderId="0" xfId="0" applyNumberFormat="1" applyFont="1" applyFill="1" applyBorder="1" applyAlignment="1" applyProtection="1">
      <alignment horizontal="center"/>
      <protection/>
    </xf>
    <xf numFmtId="164" fontId="33" fillId="2" borderId="0" xfId="0" applyNumberFormat="1" applyFont="1" applyFill="1" applyBorder="1" applyAlignment="1" applyProtection="1">
      <alignment horizontal="center"/>
      <protection/>
    </xf>
    <xf numFmtId="2" fontId="42" fillId="17" borderId="0" xfId="0" applyNumberFormat="1" applyFont="1" applyFill="1" applyBorder="1" applyAlignment="1">
      <alignment horizontal="center"/>
    </xf>
    <xf numFmtId="166" fontId="42" fillId="18" borderId="0" xfId="0" applyNumberFormat="1" applyFont="1" applyFill="1" applyBorder="1" applyAlignment="1" applyProtection="1" quotePrefix="1">
      <alignment horizontal="center"/>
      <protection/>
    </xf>
    <xf numFmtId="166" fontId="42" fillId="3" borderId="0" xfId="0" applyNumberFormat="1" applyFont="1" applyFill="1" applyBorder="1" applyAlignment="1" applyProtection="1" quotePrefix="1">
      <alignment horizontal="center"/>
      <protection/>
    </xf>
    <xf numFmtId="22" fontId="4" fillId="0" borderId="15" xfId="0" applyNumberFormat="1" applyFont="1" applyFill="1" applyBorder="1" applyAlignment="1">
      <alignment horizontal="center"/>
    </xf>
    <xf numFmtId="22" fontId="4" fillId="0" borderId="15" xfId="0" applyNumberFormat="1" applyFont="1" applyFill="1" applyBorder="1" applyAlignment="1" applyProtection="1">
      <alignment horizontal="center"/>
      <protection/>
    </xf>
    <xf numFmtId="0" fontId="4" fillId="0" borderId="38" xfId="0" applyNumberFormat="1" applyFont="1" applyBorder="1" applyAlignment="1" applyProtection="1" quotePrefix="1">
      <alignment horizontal="center"/>
      <protection locked="0"/>
    </xf>
    <xf numFmtId="0" fontId="56" fillId="0" borderId="0" xfId="43" applyNumberFormat="1" applyFont="1" applyBorder="1" applyAlignment="1">
      <alignment horizontal="left"/>
      <protection/>
    </xf>
    <xf numFmtId="0" fontId="4" fillId="0" borderId="6" xfId="30" applyFont="1" applyBorder="1">
      <alignment/>
      <protection/>
    </xf>
    <xf numFmtId="0" fontId="8" fillId="0" borderId="0" xfId="30" applyFont="1" applyFill="1" applyBorder="1">
      <alignment/>
      <protection/>
    </xf>
    <xf numFmtId="0" fontId="17" fillId="0" borderId="0" xfId="30" applyFont="1" applyFill="1">
      <alignment/>
      <protection/>
    </xf>
    <xf numFmtId="0" fontId="17" fillId="0" borderId="0" xfId="30" applyFont="1" applyFill="1" applyBorder="1">
      <alignment/>
      <protection/>
    </xf>
    <xf numFmtId="0" fontId="17" fillId="0" borderId="1" xfId="30" applyFont="1" applyBorder="1">
      <alignment/>
      <protection/>
    </xf>
    <xf numFmtId="0" fontId="4" fillId="0" borderId="0" xfId="30" applyFont="1" applyFill="1" applyBorder="1">
      <alignment/>
      <protection/>
    </xf>
    <xf numFmtId="0" fontId="4" fillId="0" borderId="1" xfId="30" applyFont="1" applyBorder="1">
      <alignment/>
      <protection/>
    </xf>
    <xf numFmtId="0" fontId="8" fillId="0" borderId="0" xfId="30" applyFont="1" applyFill="1">
      <alignment/>
      <protection/>
    </xf>
    <xf numFmtId="0" fontId="48" fillId="0" borderId="0" xfId="30" applyFont="1" applyFill="1">
      <alignment/>
      <protection/>
    </xf>
    <xf numFmtId="0" fontId="17" fillId="0" borderId="0" xfId="30" applyFont="1" applyFill="1" applyBorder="1" applyProtection="1">
      <alignment/>
      <protection/>
    </xf>
    <xf numFmtId="0" fontId="2" fillId="0" borderId="0" xfId="30" applyFont="1" applyFill="1">
      <alignment/>
      <protection/>
    </xf>
    <xf numFmtId="0" fontId="4" fillId="0" borderId="0" xfId="30" applyFont="1" applyFill="1" applyBorder="1" applyProtection="1">
      <alignment/>
      <protection/>
    </xf>
    <xf numFmtId="0" fontId="23" fillId="0" borderId="0" xfId="30" applyFont="1" applyBorder="1">
      <alignment/>
      <protection/>
    </xf>
    <xf numFmtId="0" fontId="21" fillId="0" borderId="0" xfId="30" applyFont="1" applyBorder="1" applyAlignment="1" applyProtection="1">
      <alignment horizontal="centerContinuous"/>
      <protection/>
    </xf>
    <xf numFmtId="0" fontId="21" fillId="0" borderId="1" xfId="30" applyFont="1" applyBorder="1" applyAlignment="1">
      <alignment horizontal="centerContinuous"/>
      <protection/>
    </xf>
    <xf numFmtId="0" fontId="23" fillId="0" borderId="7" xfId="30" applyFont="1" applyBorder="1" applyAlignment="1">
      <alignment horizontal="centerContinuous"/>
      <protection/>
    </xf>
    <xf numFmtId="0" fontId="23" fillId="0" borderId="0" xfId="30" applyFont="1" applyBorder="1" applyAlignment="1">
      <alignment horizontal="centerContinuous"/>
      <protection/>
    </xf>
    <xf numFmtId="0" fontId="23" fillId="0" borderId="0" xfId="30" applyFont="1" applyBorder="1" applyAlignment="1" applyProtection="1">
      <alignment horizontal="centerContinuous"/>
      <protection/>
    </xf>
    <xf numFmtId="0" fontId="23" fillId="0" borderId="1" xfId="30" applyFont="1" applyBorder="1" applyAlignment="1">
      <alignment horizontal="centerContinuous"/>
      <protection/>
    </xf>
    <xf numFmtId="0" fontId="0" fillId="0" borderId="0" xfId="30" applyFont="1" applyBorder="1">
      <alignment/>
      <protection/>
    </xf>
    <xf numFmtId="0" fontId="0" fillId="0" borderId="14" xfId="30" applyFont="1" applyBorder="1" applyAlignment="1">
      <alignment horizontal="center"/>
      <protection/>
    </xf>
    <xf numFmtId="0" fontId="0" fillId="0" borderId="8" xfId="30" applyFont="1" applyBorder="1" applyAlignment="1" applyProtection="1">
      <alignment horizontal="left" vertical="center"/>
      <protection/>
    </xf>
    <xf numFmtId="169" fontId="0" fillId="0" borderId="9" xfId="30" applyNumberFormat="1" applyFont="1" applyBorder="1" applyAlignment="1" applyProtection="1">
      <alignment horizontal="center" vertical="center"/>
      <protection/>
    </xf>
    <xf numFmtId="0" fontId="0" fillId="0" borderId="14" xfId="30" applyFont="1" applyBorder="1" applyAlignment="1">
      <alignment horizontal="center" vertical="center"/>
      <protection/>
    </xf>
    <xf numFmtId="0" fontId="0" fillId="0" borderId="8" xfId="30" applyFont="1" applyBorder="1" applyAlignment="1">
      <alignment vertical="center"/>
      <protection/>
    </xf>
    <xf numFmtId="173" fontId="0" fillId="0" borderId="9" xfId="30" applyNumberFormat="1" applyFont="1" applyBorder="1" applyAlignment="1">
      <alignment horizontal="center" vertical="center"/>
      <protection/>
    </xf>
    <xf numFmtId="0" fontId="0" fillId="0" borderId="8" xfId="30" applyFont="1" applyBorder="1" applyAlignment="1">
      <alignment horizontal="left" vertical="center"/>
      <protection/>
    </xf>
    <xf numFmtId="0" fontId="24" fillId="0" borderId="14" xfId="30" applyFont="1" applyFill="1" applyBorder="1" applyAlignment="1">
      <alignment horizontal="center" vertical="center"/>
      <protection/>
    </xf>
    <xf numFmtId="0" fontId="24" fillId="0" borderId="9" xfId="30" applyFont="1" applyBorder="1" applyAlignment="1" applyProtection="1">
      <alignment horizontal="center" vertical="center"/>
      <protection/>
    </xf>
    <xf numFmtId="0" fontId="24" fillId="0" borderId="15" xfId="30" applyFont="1" applyBorder="1" applyAlignment="1">
      <alignment horizontal="center" vertical="center" wrapText="1"/>
      <protection/>
    </xf>
    <xf numFmtId="0" fontId="32" fillId="2" borderId="14" xfId="30" applyFont="1" applyFill="1" applyBorder="1" applyAlignment="1" applyProtection="1">
      <alignment horizontal="center" vertical="center"/>
      <protection/>
    </xf>
    <xf numFmtId="0" fontId="24" fillId="0" borderId="9" xfId="30" applyFont="1" applyBorder="1" applyAlignment="1" applyProtection="1">
      <alignment horizontal="center" vertical="center" wrapText="1"/>
      <protection/>
    </xf>
    <xf numFmtId="0" fontId="39" fillId="4" borderId="14" xfId="30" applyFont="1" applyFill="1" applyBorder="1" applyAlignment="1" applyProtection="1">
      <alignment horizontal="center" vertical="center"/>
      <protection/>
    </xf>
    <xf numFmtId="0" fontId="37" fillId="10" borderId="14" xfId="30" applyFont="1" applyFill="1" applyBorder="1" applyAlignment="1">
      <alignment horizontal="center" vertical="center" wrapText="1"/>
      <protection/>
    </xf>
    <xf numFmtId="0" fontId="57" fillId="6" borderId="8" xfId="30" applyFont="1" applyFill="1" applyBorder="1" applyAlignment="1" applyProtection="1">
      <alignment horizontal="centerContinuous" vertical="center" wrapText="1"/>
      <protection/>
    </xf>
    <xf numFmtId="0" fontId="57" fillId="6" borderId="9" xfId="30" applyFont="1" applyFill="1" applyBorder="1" applyAlignment="1">
      <alignment horizontal="centerContinuous" vertical="center"/>
      <protection/>
    </xf>
    <xf numFmtId="0" fontId="39" fillId="3" borderId="14" xfId="30" applyFont="1" applyFill="1" applyBorder="1" applyAlignment="1">
      <alignment horizontal="center" vertical="center" wrapText="1"/>
      <protection/>
    </xf>
    <xf numFmtId="0" fontId="24" fillId="0" borderId="14" xfId="30" applyFont="1" applyFill="1" applyBorder="1" applyAlignment="1">
      <alignment horizontal="center" vertical="center" wrapText="1"/>
      <protection/>
    </xf>
    <xf numFmtId="0" fontId="4" fillId="0" borderId="30" xfId="30" applyFont="1" applyFill="1" applyBorder="1" applyAlignment="1">
      <alignment horizontal="center"/>
      <protection/>
    </xf>
    <xf numFmtId="0" fontId="9" fillId="0" borderId="2" xfId="30" applyFont="1" applyBorder="1" applyAlignment="1" applyProtection="1">
      <alignment horizontal="center"/>
      <protection/>
    </xf>
    <xf numFmtId="0" fontId="33" fillId="2" borderId="2" xfId="30" applyFont="1" applyFill="1" applyBorder="1" applyAlignment="1" applyProtection="1">
      <alignment horizontal="center"/>
      <protection/>
    </xf>
    <xf numFmtId="0" fontId="42" fillId="4" borderId="17" xfId="30" applyFont="1" applyFill="1" applyBorder="1" applyAlignment="1" applyProtection="1">
      <alignment horizontal="center"/>
      <protection/>
    </xf>
    <xf numFmtId="0" fontId="72" fillId="10" borderId="17" xfId="30" applyFont="1" applyFill="1" applyBorder="1" applyAlignment="1" applyProtection="1">
      <alignment horizontal="center"/>
      <protection/>
    </xf>
    <xf numFmtId="166" fontId="59" fillId="6" borderId="32" xfId="30" applyNumberFormat="1" applyFont="1" applyFill="1" applyBorder="1" applyAlignment="1" applyProtection="1" quotePrefix="1">
      <alignment horizontal="center"/>
      <protection/>
    </xf>
    <xf numFmtId="166" fontId="59" fillId="6" borderId="33" xfId="30" applyNumberFormat="1" applyFont="1" applyFill="1" applyBorder="1" applyAlignment="1" applyProtection="1" quotePrefix="1">
      <alignment horizontal="center"/>
      <protection/>
    </xf>
    <xf numFmtId="166" fontId="41" fillId="3" borderId="17" xfId="30" applyNumberFormat="1" applyFont="1" applyFill="1" applyBorder="1" applyAlignment="1" applyProtection="1" quotePrefix="1">
      <alignment horizontal="center"/>
      <protection/>
    </xf>
    <xf numFmtId="7" fontId="75" fillId="0" borderId="2" xfId="30" applyNumberFormat="1" applyFont="1" applyBorder="1" applyAlignment="1" applyProtection="1">
      <alignment/>
      <protection/>
    </xf>
    <xf numFmtId="0" fontId="9" fillId="0" borderId="21" xfId="30" applyFont="1" applyBorder="1" applyAlignment="1" applyProtection="1">
      <alignment horizontal="center"/>
      <protection/>
    </xf>
    <xf numFmtId="0" fontId="33" fillId="2" borderId="21" xfId="30" applyFont="1" applyFill="1" applyBorder="1" applyAlignment="1" applyProtection="1">
      <alignment horizontal="center"/>
      <protection/>
    </xf>
    <xf numFmtId="0" fontId="42" fillId="4" borderId="2" xfId="30" applyFont="1" applyFill="1" applyBorder="1" applyAlignment="1" applyProtection="1">
      <alignment horizontal="center"/>
      <protection/>
    </xf>
    <xf numFmtId="0" fontId="72" fillId="10" borderId="2" xfId="30" applyFont="1" applyFill="1" applyBorder="1" applyAlignment="1" applyProtection="1">
      <alignment horizontal="center"/>
      <protection/>
    </xf>
    <xf numFmtId="166" fontId="59" fillId="6" borderId="22" xfId="30" applyNumberFormat="1" applyFont="1" applyFill="1" applyBorder="1" applyAlignment="1" applyProtection="1" quotePrefix="1">
      <alignment horizontal="center"/>
      <protection/>
    </xf>
    <xf numFmtId="166" fontId="59" fillId="6" borderId="46" xfId="30" applyNumberFormat="1" applyFont="1" applyFill="1" applyBorder="1" applyAlignment="1" applyProtection="1" quotePrefix="1">
      <alignment horizontal="center"/>
      <protection/>
    </xf>
    <xf numFmtId="166" fontId="41" fillId="3" borderId="2" xfId="30" applyNumberFormat="1" applyFont="1" applyFill="1" applyBorder="1" applyAlignment="1" applyProtection="1" quotePrefix="1">
      <alignment horizontal="center"/>
      <protection/>
    </xf>
    <xf numFmtId="166" fontId="26" fillId="0" borderId="2" xfId="30" applyNumberFormat="1" applyFont="1" applyFill="1" applyBorder="1" applyAlignment="1">
      <alignment horizontal="center"/>
      <protection/>
    </xf>
    <xf numFmtId="166" fontId="33" fillId="2" borderId="2" xfId="30" applyNumberFormat="1" applyFont="1" applyFill="1" applyBorder="1" applyAlignment="1" applyProtection="1">
      <alignment horizontal="center"/>
      <protection/>
    </xf>
    <xf numFmtId="2" fontId="4" fillId="0" borderId="2" xfId="30" applyNumberFormat="1" applyFont="1" applyFill="1" applyBorder="1" applyAlignment="1" applyProtection="1" quotePrefix="1">
      <alignment horizontal="center"/>
      <protection/>
    </xf>
    <xf numFmtId="164" fontId="4" fillId="0" borderId="2" xfId="30" applyNumberFormat="1" applyFont="1" applyFill="1" applyBorder="1" applyAlignment="1" applyProtection="1" quotePrefix="1">
      <alignment horizontal="center"/>
      <protection/>
    </xf>
    <xf numFmtId="164" fontId="42" fillId="4" borderId="2" xfId="30" applyNumberFormat="1" applyFont="1" applyFill="1" applyBorder="1" applyAlignment="1" applyProtection="1">
      <alignment horizontal="center"/>
      <protection/>
    </xf>
    <xf numFmtId="2" fontId="72" fillId="10" borderId="2" xfId="30" applyNumberFormat="1" applyFont="1" applyFill="1" applyBorder="1" applyAlignment="1" applyProtection="1">
      <alignment horizontal="center"/>
      <protection/>
    </xf>
    <xf numFmtId="4" fontId="26" fillId="0" borderId="2" xfId="30" applyNumberFormat="1" applyFont="1" applyFill="1" applyBorder="1" applyAlignment="1">
      <alignment horizontal="right"/>
      <protection/>
    </xf>
    <xf numFmtId="164" fontId="6" fillId="0" borderId="2" xfId="30" applyNumberFormat="1" applyFont="1" applyBorder="1" applyAlignment="1" applyProtection="1" quotePrefix="1">
      <alignment horizontal="center"/>
      <protection locked="0"/>
    </xf>
    <xf numFmtId="166" fontId="33" fillId="2" borderId="3" xfId="30" applyNumberFormat="1" applyFont="1" applyFill="1" applyBorder="1" applyAlignment="1" applyProtection="1">
      <alignment horizontal="center"/>
      <protection/>
    </xf>
    <xf numFmtId="166" fontId="4" fillId="0" borderId="20" xfId="30" applyNumberFormat="1" applyFont="1" applyBorder="1" applyAlignment="1" applyProtection="1">
      <alignment horizontal="center"/>
      <protection locked="0"/>
    </xf>
    <xf numFmtId="166" fontId="4" fillId="0" borderId="20" xfId="30" applyNumberFormat="1" applyFont="1" applyBorder="1" applyAlignment="1" applyProtection="1">
      <alignment horizontal="center"/>
      <protection/>
    </xf>
    <xf numFmtId="164" fontId="42" fillId="4" borderId="3" xfId="30" applyNumberFormat="1" applyFont="1" applyFill="1" applyBorder="1" applyAlignment="1" applyProtection="1">
      <alignment horizontal="center"/>
      <protection locked="0"/>
    </xf>
    <xf numFmtId="2" fontId="72" fillId="10" borderId="3" xfId="30" applyNumberFormat="1" applyFont="1" applyFill="1" applyBorder="1" applyAlignment="1" applyProtection="1">
      <alignment horizontal="center"/>
      <protection locked="0"/>
    </xf>
    <xf numFmtId="166" fontId="59" fillId="6" borderId="25" xfId="30" applyNumberFormat="1" applyFont="1" applyFill="1" applyBorder="1" applyAlignment="1" applyProtection="1" quotePrefix="1">
      <alignment horizontal="center"/>
      <protection locked="0"/>
    </xf>
    <xf numFmtId="166" fontId="59" fillId="6" borderId="27" xfId="30" applyNumberFormat="1" applyFont="1" applyFill="1" applyBorder="1" applyAlignment="1" applyProtection="1" quotePrefix="1">
      <alignment horizontal="center"/>
      <protection locked="0"/>
    </xf>
    <xf numFmtId="166" fontId="41" fillId="3" borderId="3" xfId="30" applyNumberFormat="1" applyFont="1" applyFill="1" applyBorder="1" applyAlignment="1" applyProtection="1" quotePrefix="1">
      <alignment horizontal="center"/>
      <protection locked="0"/>
    </xf>
    <xf numFmtId="7" fontId="25" fillId="0" borderId="28" xfId="30" applyNumberFormat="1" applyFont="1" applyFill="1" applyBorder="1" applyAlignment="1">
      <alignment horizontal="right"/>
      <protection/>
    </xf>
    <xf numFmtId="0" fontId="109" fillId="0" borderId="16" xfId="30" applyFont="1" applyBorder="1" applyAlignment="1">
      <alignment horizontal="left"/>
      <protection/>
    </xf>
    <xf numFmtId="4" fontId="72" fillId="10" borderId="14" xfId="30" applyNumberFormat="1" applyFont="1" applyFill="1" applyBorder="1" applyAlignment="1">
      <alignment horizontal="center"/>
      <protection/>
    </xf>
    <xf numFmtId="4" fontId="59" fillId="6" borderId="43" xfId="30" applyNumberFormat="1" applyFont="1" applyFill="1" applyBorder="1" applyAlignment="1">
      <alignment horizontal="center"/>
      <protection/>
    </xf>
    <xf numFmtId="4" fontId="59" fillId="6" borderId="44" xfId="30" applyNumberFormat="1" applyFont="1" applyFill="1" applyBorder="1" applyAlignment="1">
      <alignment horizontal="center"/>
      <protection/>
    </xf>
    <xf numFmtId="4" fontId="41" fillId="3" borderId="14" xfId="30" applyNumberFormat="1" applyFont="1" applyFill="1" applyBorder="1" applyAlignment="1">
      <alignment horizontal="center"/>
      <protection/>
    </xf>
    <xf numFmtId="4" fontId="18" fillId="0" borderId="0" xfId="30" applyNumberFormat="1" applyFont="1" applyFill="1" applyBorder="1" applyAlignment="1">
      <alignment horizontal="center"/>
      <protection/>
    </xf>
    <xf numFmtId="7" fontId="10" fillId="0" borderId="14" xfId="30" applyNumberFormat="1" applyFont="1" applyFill="1" applyBorder="1" applyAlignment="1">
      <alignment horizontal="right"/>
      <protection/>
    </xf>
    <xf numFmtId="0" fontId="1" fillId="0" borderId="0" xfId="30" applyFont="1">
      <alignment/>
      <protection/>
    </xf>
    <xf numFmtId="166" fontId="44" fillId="12" borderId="25" xfId="0" applyNumberFormat="1" applyFont="1" applyFill="1" applyBorder="1" applyAlignment="1" applyProtection="1" quotePrefix="1">
      <alignment horizontal="center"/>
      <protection locked="0"/>
    </xf>
    <xf numFmtId="166" fontId="44" fillId="12" borderId="27" xfId="0" applyNumberFormat="1" applyFont="1" applyFill="1" applyBorder="1" applyAlignment="1" applyProtection="1" quotePrefix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169" fontId="33" fillId="2" borderId="19" xfId="0" applyNumberFormat="1" applyFont="1" applyFill="1" applyBorder="1" applyAlignment="1" applyProtection="1">
      <alignment horizontal="center"/>
      <protection/>
    </xf>
    <xf numFmtId="22" fontId="4" fillId="0" borderId="19" xfId="0" applyNumberFormat="1" applyFont="1" applyBorder="1" applyAlignment="1" applyProtection="1">
      <alignment horizontal="center"/>
      <protection locked="0"/>
    </xf>
    <xf numFmtId="166" fontId="4" fillId="0" borderId="19" xfId="0" applyNumberFormat="1" applyFont="1" applyBorder="1" applyAlignment="1" applyProtection="1">
      <alignment horizontal="center"/>
      <protection locked="0"/>
    </xf>
    <xf numFmtId="168" fontId="4" fillId="0" borderId="19" xfId="0" applyNumberFormat="1" applyFont="1" applyBorder="1" applyAlignment="1" applyProtection="1" quotePrefix="1">
      <alignment horizontal="center"/>
      <protection/>
    </xf>
    <xf numFmtId="164" fontId="33" fillId="2" borderId="19" xfId="0" applyNumberFormat="1" applyFont="1" applyFill="1" applyBorder="1" applyAlignment="1" applyProtection="1">
      <alignment horizontal="center"/>
      <protection/>
    </xf>
    <xf numFmtId="2" fontId="76" fillId="8" borderId="19" xfId="0" applyNumberFormat="1" applyFont="1" applyFill="1" applyBorder="1" applyAlignment="1" applyProtection="1">
      <alignment horizontal="center"/>
      <protection/>
    </xf>
    <xf numFmtId="166" fontId="44" fillId="12" borderId="19" xfId="0" applyNumberFormat="1" applyFont="1" applyFill="1" applyBorder="1" applyAlignment="1" applyProtection="1" quotePrefix="1">
      <alignment horizontal="center"/>
      <protection/>
    </xf>
    <xf numFmtId="2" fontId="71" fillId="6" borderId="19" xfId="0" applyNumberFormat="1" applyFont="1" applyFill="1" applyBorder="1" applyAlignment="1" applyProtection="1">
      <alignment horizontal="center"/>
      <protection/>
    </xf>
    <xf numFmtId="4" fontId="26" fillId="0" borderId="19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0" fontId="51" fillId="0" borderId="0" xfId="30" applyFont="1" applyFill="1" applyAlignment="1">
      <alignment horizontal="right" vertical="top"/>
      <protection/>
    </xf>
    <xf numFmtId="0" fontId="13" fillId="0" borderId="0" xfId="30" applyFont="1" applyFill="1" applyAlignment="1">
      <alignment horizontal="centerContinuous"/>
      <protection/>
    </xf>
    <xf numFmtId="0" fontId="11" fillId="0" borderId="0" xfId="30" applyFont="1" applyFill="1" applyAlignment="1">
      <alignment horizontal="centerContinuous"/>
      <protection/>
    </xf>
    <xf numFmtId="0" fontId="15" fillId="0" borderId="0" xfId="30" applyFont="1" applyFill="1" applyAlignment="1">
      <alignment horizontal="centerContinuous"/>
      <protection/>
    </xf>
    <xf numFmtId="0" fontId="15" fillId="0" borderId="0" xfId="30" applyFont="1" applyFill="1">
      <alignment/>
      <protection/>
    </xf>
    <xf numFmtId="0" fontId="4" fillId="0" borderId="13" xfId="30" applyFont="1" applyFill="1" applyBorder="1">
      <alignment/>
      <protection/>
    </xf>
    <xf numFmtId="0" fontId="4" fillId="0" borderId="5" xfId="30" applyFont="1" applyFill="1" applyBorder="1">
      <alignment/>
      <protection/>
    </xf>
    <xf numFmtId="0" fontId="17" fillId="0" borderId="7" xfId="30" applyFont="1" applyFill="1" applyBorder="1">
      <alignment/>
      <protection/>
    </xf>
    <xf numFmtId="0" fontId="8" fillId="0" borderId="0" xfId="30" applyFont="1" applyFill="1" applyBorder="1" applyAlignment="1">
      <alignment horizontal="left"/>
      <protection/>
    </xf>
    <xf numFmtId="0" fontId="17" fillId="0" borderId="0" xfId="30" applyFont="1" applyFill="1" applyBorder="1" applyAlignment="1" applyProtection="1">
      <alignment horizontal="left"/>
      <protection/>
    </xf>
    <xf numFmtId="0" fontId="4" fillId="0" borderId="7" xfId="30" applyFont="1" applyFill="1" applyBorder="1">
      <alignment/>
      <protection/>
    </xf>
    <xf numFmtId="0" fontId="2" fillId="0" borderId="0" xfId="30" applyFont="1" applyFill="1" applyBorder="1" applyAlignment="1">
      <alignment horizontal="left"/>
      <protection/>
    </xf>
    <xf numFmtId="0" fontId="17" fillId="0" borderId="0" xfId="30" applyFont="1" applyFill="1" applyAlignment="1">
      <alignment vertical="top"/>
      <protection/>
    </xf>
    <xf numFmtId="0" fontId="17" fillId="0" borderId="7" xfId="30" applyFont="1" applyFill="1" applyBorder="1" applyAlignment="1">
      <alignment vertical="top"/>
      <protection/>
    </xf>
    <xf numFmtId="0" fontId="17" fillId="0" borderId="0" xfId="30" applyFont="1" applyFill="1" applyBorder="1" applyAlignment="1">
      <alignment vertical="top"/>
      <protection/>
    </xf>
    <xf numFmtId="0" fontId="8" fillId="0" borderId="0" xfId="30" applyFont="1" applyFill="1" applyBorder="1" applyAlignment="1">
      <alignment horizontal="left" vertical="top"/>
      <protection/>
    </xf>
    <xf numFmtId="0" fontId="8" fillId="0" borderId="0" xfId="30" applyFont="1" applyFill="1" applyBorder="1" applyAlignment="1">
      <alignment vertical="top"/>
      <protection/>
    </xf>
    <xf numFmtId="0" fontId="4" fillId="0" borderId="0" xfId="30" applyFont="1" applyFill="1" applyAlignment="1">
      <alignment vertical="top"/>
      <protection/>
    </xf>
    <xf numFmtId="0" fontId="4" fillId="0" borderId="7" xfId="30" applyFont="1" applyFill="1" applyBorder="1" applyAlignment="1">
      <alignment vertical="top"/>
      <protection/>
    </xf>
    <xf numFmtId="0" fontId="4" fillId="0" borderId="0" xfId="30" applyFont="1" applyFill="1" applyBorder="1" applyAlignment="1">
      <alignment vertical="top"/>
      <protection/>
    </xf>
    <xf numFmtId="0" fontId="4" fillId="0" borderId="0" xfId="30" applyFont="1" applyFill="1" applyBorder="1" applyAlignment="1">
      <alignment horizontal="center" vertical="top"/>
      <protection/>
    </xf>
    <xf numFmtId="0" fontId="20" fillId="0" borderId="0" xfId="30" applyFont="1" applyFill="1">
      <alignment/>
      <protection/>
    </xf>
    <xf numFmtId="0" fontId="21" fillId="0" borderId="0" xfId="30" applyFont="1" applyFill="1" applyAlignment="1">
      <alignment horizontal="centerContinuous"/>
      <protection/>
    </xf>
    <xf numFmtId="0" fontId="21" fillId="0" borderId="0" xfId="30" applyFont="1" applyFill="1" applyBorder="1" applyAlignment="1">
      <alignment horizontal="centerContinuous"/>
      <protection/>
    </xf>
    <xf numFmtId="0" fontId="67" fillId="0" borderId="1" xfId="30" applyFont="1" applyFill="1" applyBorder="1" applyAlignment="1">
      <alignment horizontal="centerContinuous"/>
      <protection/>
    </xf>
    <xf numFmtId="0" fontId="4" fillId="0" borderId="0" xfId="30" applyFont="1" applyFill="1" applyBorder="1" applyAlignment="1">
      <alignment horizontal="center"/>
      <protection/>
    </xf>
    <xf numFmtId="0" fontId="4" fillId="0" borderId="8" xfId="30" applyFont="1" applyFill="1" applyBorder="1" applyAlignment="1" applyProtection="1">
      <alignment horizontal="left"/>
      <protection/>
    </xf>
    <xf numFmtId="0" fontId="4" fillId="0" borderId="16" xfId="30" applyFont="1" applyFill="1" applyBorder="1" applyAlignment="1" applyProtection="1">
      <alignment horizontal="center"/>
      <protection/>
    </xf>
    <xf numFmtId="0" fontId="4" fillId="0" borderId="14" xfId="30" applyFont="1" applyFill="1" applyBorder="1" applyAlignment="1">
      <alignment horizontal="center"/>
      <protection/>
    </xf>
    <xf numFmtId="0" fontId="0" fillId="0" borderId="8" xfId="30" applyFont="1" applyFill="1" applyBorder="1" applyAlignment="1" applyProtection="1" quotePrefix="1">
      <alignment horizontal="left"/>
      <protection/>
    </xf>
    <xf numFmtId="0" fontId="0" fillId="0" borderId="15" xfId="30" applyFont="1" applyFill="1" applyBorder="1" applyAlignment="1" applyProtection="1">
      <alignment horizontal="center"/>
      <protection/>
    </xf>
    <xf numFmtId="164" fontId="0" fillId="0" borderId="14" xfId="30" applyNumberFormat="1" applyFont="1" applyFill="1" applyBorder="1" applyAlignment="1" applyProtection="1">
      <alignment horizontal="center"/>
      <protection/>
    </xf>
    <xf numFmtId="22" fontId="4" fillId="0" borderId="0" xfId="30" applyNumberFormat="1" applyFont="1" applyFill="1" applyBorder="1">
      <alignment/>
      <protection/>
    </xf>
    <xf numFmtId="0" fontId="42" fillId="0" borderId="0" xfId="30" applyFont="1" applyFill="1" applyBorder="1">
      <alignment/>
      <protection/>
    </xf>
    <xf numFmtId="0" fontId="24" fillId="0" borderId="14" xfId="30" applyFont="1" applyFill="1" applyBorder="1" applyAlignment="1" applyProtection="1">
      <alignment horizontal="center" vertical="center" wrapText="1"/>
      <protection/>
    </xf>
    <xf numFmtId="0" fontId="24" fillId="0" borderId="14" xfId="30" applyFont="1" applyFill="1" applyBorder="1" applyAlignment="1" applyProtection="1">
      <alignment horizontal="center" vertical="center"/>
      <protection/>
    </xf>
    <xf numFmtId="0" fontId="24" fillId="0" borderId="14" xfId="30" applyFont="1" applyFill="1" applyBorder="1" applyAlignment="1" applyProtection="1" quotePrefix="1">
      <alignment horizontal="center" vertical="center" wrapText="1"/>
      <protection/>
    </xf>
    <xf numFmtId="0" fontId="24" fillId="0" borderId="8" xfId="30" applyFont="1" applyFill="1" applyBorder="1" applyAlignment="1" applyProtection="1">
      <alignment horizontal="center" vertical="center"/>
      <protection/>
    </xf>
    <xf numFmtId="0" fontId="39" fillId="5" borderId="14" xfId="30" applyFont="1" applyFill="1" applyBorder="1" applyAlignment="1" applyProtection="1">
      <alignment horizontal="center" vertical="center"/>
      <protection/>
    </xf>
    <xf numFmtId="0" fontId="68" fillId="8" borderId="14" xfId="30" applyFont="1" applyFill="1" applyBorder="1" applyAlignment="1">
      <alignment horizontal="center" vertical="center" wrapText="1"/>
      <protection/>
    </xf>
    <xf numFmtId="0" fontId="69" fillId="6" borderId="14" xfId="30" applyFont="1" applyFill="1" applyBorder="1" applyAlignment="1">
      <alignment horizontal="center" vertical="center" wrapText="1"/>
      <protection/>
    </xf>
    <xf numFmtId="0" fontId="37" fillId="10" borderId="8" xfId="30" applyFont="1" applyFill="1" applyBorder="1" applyAlignment="1" applyProtection="1">
      <alignment horizontal="centerContinuous" vertical="center" wrapText="1"/>
      <protection/>
    </xf>
    <xf numFmtId="0" fontId="37" fillId="10" borderId="9" xfId="30" applyFont="1" applyFill="1" applyBorder="1" applyAlignment="1">
      <alignment horizontal="centerContinuous" vertical="center"/>
      <protection/>
    </xf>
    <xf numFmtId="0" fontId="43" fillId="11" borderId="14" xfId="30" applyFont="1" applyFill="1" applyBorder="1" applyAlignment="1">
      <alignment horizontal="center" vertical="center" wrapText="1"/>
      <protection/>
    </xf>
    <xf numFmtId="0" fontId="38" fillId="8" borderId="14" xfId="30" applyFont="1" applyFill="1" applyBorder="1" applyAlignment="1">
      <alignment horizontal="center" vertical="center" wrapText="1"/>
      <protection/>
    </xf>
    <xf numFmtId="164" fontId="4" fillId="0" borderId="30" xfId="30" applyNumberFormat="1" applyFont="1" applyFill="1" applyBorder="1" applyAlignment="1" applyProtection="1">
      <alignment horizontal="center"/>
      <protection/>
    </xf>
    <xf numFmtId="0" fontId="33" fillId="2" borderId="30" xfId="30" applyFont="1" applyFill="1" applyBorder="1" applyAlignment="1">
      <alignment horizontal="center"/>
      <protection/>
    </xf>
    <xf numFmtId="0" fontId="4" fillId="0" borderId="56" xfId="30" applyFont="1" applyFill="1" applyBorder="1" applyAlignment="1">
      <alignment horizontal="center"/>
      <protection/>
    </xf>
    <xf numFmtId="0" fontId="42" fillId="5" borderId="17" xfId="30" applyFont="1" applyFill="1" applyBorder="1" applyAlignment="1">
      <alignment horizontal="center"/>
      <protection/>
    </xf>
    <xf numFmtId="0" fontId="70" fillId="8" borderId="17" xfId="30" applyFont="1" applyFill="1" applyBorder="1" applyAlignment="1">
      <alignment horizontal="center"/>
      <protection/>
    </xf>
    <xf numFmtId="0" fontId="71" fillId="6" borderId="17" xfId="30" applyFont="1" applyFill="1" applyBorder="1" applyAlignment="1">
      <alignment horizontal="center"/>
      <protection/>
    </xf>
    <xf numFmtId="0" fontId="34" fillId="2" borderId="32" xfId="30" applyFont="1" applyFill="1" applyBorder="1" applyAlignment="1">
      <alignment horizontal="center"/>
      <protection/>
    </xf>
    <xf numFmtId="0" fontId="34" fillId="2" borderId="33" xfId="30" applyFont="1" applyFill="1" applyBorder="1" applyAlignment="1">
      <alignment horizontal="center"/>
      <protection/>
    </xf>
    <xf numFmtId="0" fontId="72" fillId="10" borderId="32" xfId="30" applyFont="1" applyFill="1" applyBorder="1" applyAlignment="1">
      <alignment horizontal="center"/>
      <protection/>
    </xf>
    <xf numFmtId="0" fontId="72" fillId="10" borderId="33" xfId="30" applyFont="1" applyFill="1" applyBorder="1" applyAlignment="1">
      <alignment horizontal="center"/>
      <protection/>
    </xf>
    <xf numFmtId="0" fontId="44" fillId="11" borderId="17" xfId="30" applyFont="1" applyFill="1" applyBorder="1" applyAlignment="1">
      <alignment horizontal="center"/>
      <protection/>
    </xf>
    <xf numFmtId="0" fontId="73" fillId="8" borderId="17" xfId="30" applyFont="1" applyFill="1" applyBorder="1" applyAlignment="1">
      <alignment horizontal="center"/>
      <protection/>
    </xf>
    <xf numFmtId="7" fontId="7" fillId="0" borderId="56" xfId="30" applyNumberFormat="1" applyFont="1" applyFill="1" applyBorder="1" applyAlignment="1">
      <alignment/>
      <protection/>
    </xf>
    <xf numFmtId="164" fontId="4" fillId="0" borderId="19" xfId="30" applyNumberFormat="1" applyFont="1" applyFill="1" applyBorder="1" applyAlignment="1" applyProtection="1">
      <alignment horizontal="center"/>
      <protection/>
    </xf>
    <xf numFmtId="0" fontId="33" fillId="2" borderId="19" xfId="30" applyFont="1" applyFill="1" applyBorder="1" applyAlignment="1">
      <alignment horizontal="center"/>
      <protection/>
    </xf>
    <xf numFmtId="168" fontId="4" fillId="0" borderId="19" xfId="30" applyNumberFormat="1" applyFont="1" applyBorder="1" applyAlignment="1" applyProtection="1" quotePrefix="1">
      <alignment horizontal="center"/>
      <protection/>
    </xf>
    <xf numFmtId="166" fontId="4" fillId="0" borderId="19" xfId="30" applyNumberFormat="1" applyFont="1" applyBorder="1" applyAlignment="1" applyProtection="1" quotePrefix="1">
      <alignment horizontal="center"/>
      <protection/>
    </xf>
    <xf numFmtId="166" fontId="4" fillId="0" borderId="19" xfId="30" applyNumberFormat="1" applyFont="1" applyBorder="1" applyAlignment="1" applyProtection="1">
      <alignment horizontal="center"/>
      <protection/>
    </xf>
    <xf numFmtId="164" fontId="42" fillId="5" borderId="19" xfId="30" applyNumberFormat="1" applyFont="1" applyFill="1" applyBorder="1" applyAlignment="1" applyProtection="1">
      <alignment horizontal="center"/>
      <protection/>
    </xf>
    <xf numFmtId="2" fontId="70" fillId="8" borderId="19" xfId="30" applyNumberFormat="1" applyFont="1" applyFill="1" applyBorder="1" applyAlignment="1" applyProtection="1">
      <alignment horizontal="center"/>
      <protection/>
    </xf>
    <xf numFmtId="2" fontId="71" fillId="6" borderId="19" xfId="30" applyNumberFormat="1" applyFont="1" applyFill="1" applyBorder="1" applyAlignment="1" applyProtection="1">
      <alignment horizontal="center"/>
      <protection/>
    </xf>
    <xf numFmtId="166" fontId="34" fillId="2" borderId="37" xfId="30" applyNumberFormat="1" applyFont="1" applyFill="1" applyBorder="1" applyAlignment="1" applyProtection="1" quotePrefix="1">
      <alignment horizontal="center"/>
      <protection/>
    </xf>
    <xf numFmtId="166" fontId="34" fillId="2" borderId="38" xfId="30" applyNumberFormat="1" applyFont="1" applyFill="1" applyBorder="1" applyAlignment="1" applyProtection="1" quotePrefix="1">
      <alignment horizontal="center"/>
      <protection/>
    </xf>
    <xf numFmtId="166" fontId="72" fillId="10" borderId="37" xfId="30" applyNumberFormat="1" applyFont="1" applyFill="1" applyBorder="1" applyAlignment="1" applyProtection="1" quotePrefix="1">
      <alignment horizontal="center"/>
      <protection/>
    </xf>
    <xf numFmtId="166" fontId="72" fillId="10" borderId="38" xfId="30" applyNumberFormat="1" applyFont="1" applyFill="1" applyBorder="1" applyAlignment="1" applyProtection="1" quotePrefix="1">
      <alignment horizontal="center"/>
      <protection/>
    </xf>
    <xf numFmtId="166" fontId="44" fillId="11" borderId="19" xfId="30" applyNumberFormat="1" applyFont="1" applyFill="1" applyBorder="1" applyAlignment="1" applyProtection="1" quotePrefix="1">
      <alignment horizontal="center"/>
      <protection/>
    </xf>
    <xf numFmtId="166" fontId="73" fillId="8" borderId="19" xfId="30" applyNumberFormat="1" applyFont="1" applyFill="1" applyBorder="1" applyAlignment="1" applyProtection="1" quotePrefix="1">
      <alignment horizontal="center"/>
      <protection/>
    </xf>
    <xf numFmtId="166" fontId="4" fillId="0" borderId="36" xfId="30" applyNumberFormat="1" applyFont="1" applyFill="1" applyBorder="1" applyAlignment="1" applyProtection="1">
      <alignment horizontal="center"/>
      <protection/>
    </xf>
    <xf numFmtId="0" fontId="7" fillId="0" borderId="36" xfId="30" applyFont="1" applyFill="1" applyBorder="1" applyAlignment="1">
      <alignment horizontal="center"/>
      <protection/>
    </xf>
    <xf numFmtId="169" fontId="33" fillId="2" borderId="2" xfId="30" applyNumberFormat="1" applyFont="1" applyFill="1" applyBorder="1" applyAlignment="1" applyProtection="1">
      <alignment horizontal="center"/>
      <protection/>
    </xf>
    <xf numFmtId="4" fontId="4" fillId="0" borderId="2" xfId="30" applyNumberFormat="1" applyFont="1" applyFill="1" applyBorder="1" applyAlignment="1" applyProtection="1">
      <alignment horizontal="center"/>
      <protection/>
    </xf>
    <xf numFmtId="3" fontId="4" fillId="0" borderId="2" xfId="30" applyNumberFormat="1" applyFont="1" applyFill="1" applyBorder="1" applyAlignment="1" applyProtection="1">
      <alignment horizontal="center"/>
      <protection/>
    </xf>
    <xf numFmtId="166" fontId="4" fillId="0" borderId="2" xfId="30" applyNumberFormat="1" applyFont="1" applyFill="1" applyBorder="1" applyAlignment="1" applyProtection="1">
      <alignment horizontal="center"/>
      <protection locked="0"/>
    </xf>
    <xf numFmtId="168" fontId="4" fillId="0" borderId="4" xfId="30" applyNumberFormat="1" applyFont="1" applyBorder="1" applyAlignment="1" applyProtection="1" quotePrefix="1">
      <alignment horizontal="center"/>
      <protection/>
    </xf>
    <xf numFmtId="166" fontId="4" fillId="0" borderId="2" xfId="30" applyNumberFormat="1" applyFont="1" applyBorder="1" applyAlignment="1" applyProtection="1" quotePrefix="1">
      <alignment horizontal="center"/>
      <protection/>
    </xf>
    <xf numFmtId="164" fontId="42" fillId="5" borderId="2" xfId="30" applyNumberFormat="1" applyFont="1" applyFill="1" applyBorder="1" applyAlignment="1" applyProtection="1">
      <alignment horizontal="center"/>
      <protection/>
    </xf>
    <xf numFmtId="2" fontId="70" fillId="8" borderId="2" xfId="30" applyNumberFormat="1" applyFont="1" applyFill="1" applyBorder="1" applyAlignment="1" applyProtection="1">
      <alignment horizontal="center"/>
      <protection/>
    </xf>
    <xf numFmtId="2" fontId="71" fillId="6" borderId="2" xfId="30" applyNumberFormat="1" applyFont="1" applyFill="1" applyBorder="1" applyAlignment="1" applyProtection="1">
      <alignment horizontal="center"/>
      <protection/>
    </xf>
    <xf numFmtId="166" fontId="44" fillId="11" borderId="2" xfId="30" applyNumberFormat="1" applyFont="1" applyFill="1" applyBorder="1" applyAlignment="1" applyProtection="1" quotePrefix="1">
      <alignment horizontal="center"/>
      <protection/>
    </xf>
    <xf numFmtId="166" fontId="4" fillId="0" borderId="4" xfId="30" applyNumberFormat="1" applyFont="1" applyFill="1" applyBorder="1" applyAlignment="1" applyProtection="1">
      <alignment horizontal="center"/>
      <protection/>
    </xf>
    <xf numFmtId="4" fontId="26" fillId="0" borderId="4" xfId="30" applyNumberFormat="1" applyFont="1" applyFill="1" applyBorder="1" applyAlignment="1">
      <alignment horizontal="right"/>
      <protection/>
    </xf>
    <xf numFmtId="1" fontId="4" fillId="0" borderId="38" xfId="30" applyNumberFormat="1" applyFont="1" applyBorder="1" applyAlignment="1" applyProtection="1" quotePrefix="1">
      <alignment horizontal="center"/>
      <protection locked="0"/>
    </xf>
    <xf numFmtId="0" fontId="4" fillId="0" borderId="36" xfId="30" applyFont="1" applyBorder="1" applyAlignment="1" applyProtection="1">
      <alignment horizontal="center"/>
      <protection locked="0"/>
    </xf>
    <xf numFmtId="0" fontId="9" fillId="0" borderId="3" xfId="30" applyFont="1" applyFill="1" applyBorder="1" applyAlignment="1" applyProtection="1">
      <alignment horizontal="center"/>
      <protection locked="0"/>
    </xf>
    <xf numFmtId="164" fontId="6" fillId="0" borderId="39" xfId="30" applyNumberFormat="1" applyFont="1" applyFill="1" applyBorder="1" applyAlignment="1" applyProtection="1">
      <alignment horizontal="center"/>
      <protection locked="0"/>
    </xf>
    <xf numFmtId="0" fontId="4" fillId="0" borderId="3" xfId="30" applyFont="1" applyFill="1" applyBorder="1" applyAlignment="1" applyProtection="1">
      <alignment horizontal="center"/>
      <protection locked="0"/>
    </xf>
    <xf numFmtId="38" fontId="4" fillId="0" borderId="3" xfId="30" applyNumberFormat="1" applyFont="1" applyFill="1" applyBorder="1" applyAlignment="1" applyProtection="1">
      <alignment horizontal="center"/>
      <protection locked="0"/>
    </xf>
    <xf numFmtId="38" fontId="4" fillId="0" borderId="3" xfId="30" applyNumberFormat="1" applyFont="1" applyFill="1" applyBorder="1" applyAlignment="1" applyProtection="1">
      <alignment horizontal="center"/>
      <protection/>
    </xf>
    <xf numFmtId="164" fontId="4" fillId="0" borderId="3" xfId="30" applyNumberFormat="1" applyFont="1" applyFill="1" applyBorder="1" applyAlignment="1" applyProtection="1" quotePrefix="1">
      <alignment horizontal="center"/>
      <protection/>
    </xf>
    <xf numFmtId="166" fontId="4" fillId="0" borderId="3" xfId="30" applyNumberFormat="1" applyFont="1" applyFill="1" applyBorder="1" applyAlignment="1" applyProtection="1">
      <alignment horizontal="center"/>
      <protection locked="0"/>
    </xf>
    <xf numFmtId="166" fontId="4" fillId="0" borderId="20" xfId="30" applyNumberFormat="1" applyFont="1" applyFill="1" applyBorder="1" applyAlignment="1" applyProtection="1">
      <alignment horizontal="center"/>
      <protection locked="0"/>
    </xf>
    <xf numFmtId="164" fontId="42" fillId="5" borderId="3" xfId="30" applyNumberFormat="1" applyFont="1" applyFill="1" applyBorder="1" applyAlignment="1" applyProtection="1">
      <alignment horizontal="center"/>
      <protection locked="0"/>
    </xf>
    <xf numFmtId="2" fontId="70" fillId="8" borderId="3" xfId="30" applyNumberFormat="1" applyFont="1" applyFill="1" applyBorder="1" applyAlignment="1" applyProtection="1">
      <alignment horizontal="center"/>
      <protection locked="0"/>
    </xf>
    <xf numFmtId="2" fontId="71" fillId="6" borderId="3" xfId="30" applyNumberFormat="1" applyFont="1" applyFill="1" applyBorder="1" applyAlignment="1" applyProtection="1">
      <alignment horizontal="center"/>
      <protection locked="0"/>
    </xf>
    <xf numFmtId="166" fontId="34" fillId="2" borderId="40" xfId="30" applyNumberFormat="1" applyFont="1" applyFill="1" applyBorder="1" applyAlignment="1" applyProtection="1" quotePrefix="1">
      <alignment horizontal="center"/>
      <protection locked="0"/>
    </xf>
    <xf numFmtId="166" fontId="34" fillId="2" borderId="41" xfId="30" applyNumberFormat="1" applyFont="1" applyFill="1" applyBorder="1" applyAlignment="1" applyProtection="1" quotePrefix="1">
      <alignment horizontal="center"/>
      <protection locked="0"/>
    </xf>
    <xf numFmtId="166" fontId="72" fillId="10" borderId="25" xfId="30" applyNumberFormat="1" applyFont="1" applyFill="1" applyBorder="1" applyAlignment="1" applyProtection="1" quotePrefix="1">
      <alignment horizontal="center"/>
      <protection locked="0"/>
    </xf>
    <xf numFmtId="166" fontId="72" fillId="10" borderId="27" xfId="30" applyNumberFormat="1" applyFont="1" applyFill="1" applyBorder="1" applyAlignment="1" applyProtection="1" quotePrefix="1">
      <alignment horizontal="center"/>
      <protection locked="0"/>
    </xf>
    <xf numFmtId="166" fontId="44" fillId="11" borderId="3" xfId="30" applyNumberFormat="1" applyFont="1" applyFill="1" applyBorder="1" applyAlignment="1" applyProtection="1" quotePrefix="1">
      <alignment horizontal="center"/>
      <protection locked="0"/>
    </xf>
    <xf numFmtId="166" fontId="73" fillId="8" borderId="3" xfId="30" applyNumberFormat="1" applyFont="1" applyFill="1" applyBorder="1" applyAlignment="1" applyProtection="1" quotePrefix="1">
      <alignment horizontal="center"/>
      <protection locked="0"/>
    </xf>
    <xf numFmtId="166" fontId="60" fillId="0" borderId="20" xfId="30" applyNumberFormat="1" applyFont="1" applyFill="1" applyBorder="1" applyAlignment="1" applyProtection="1">
      <alignment horizontal="center"/>
      <protection locked="0"/>
    </xf>
    <xf numFmtId="166" fontId="25" fillId="0" borderId="42" xfId="30" applyNumberFormat="1" applyFont="1" applyFill="1" applyBorder="1" applyAlignment="1">
      <alignment horizontal="center"/>
      <protection/>
    </xf>
    <xf numFmtId="4" fontId="70" fillId="8" borderId="14" xfId="30" applyNumberFormat="1" applyFont="1" applyFill="1" applyBorder="1" applyAlignment="1">
      <alignment horizontal="center"/>
      <protection/>
    </xf>
    <xf numFmtId="4" fontId="71" fillId="6" borderId="14" xfId="30" applyNumberFormat="1" applyFont="1" applyFill="1" applyBorder="1" applyAlignment="1">
      <alignment horizontal="center"/>
      <protection/>
    </xf>
    <xf numFmtId="4" fontId="34" fillId="2" borderId="43" xfId="30" applyNumberFormat="1" applyFont="1" applyFill="1" applyBorder="1" applyAlignment="1">
      <alignment horizontal="center"/>
      <protection/>
    </xf>
    <xf numFmtId="4" fontId="34" fillId="2" borderId="9" xfId="30" applyNumberFormat="1" applyFont="1" applyFill="1" applyBorder="1" applyAlignment="1">
      <alignment horizontal="center"/>
      <protection/>
    </xf>
    <xf numFmtId="4" fontId="72" fillId="10" borderId="43" xfId="30" applyNumberFormat="1" applyFont="1" applyFill="1" applyBorder="1" applyAlignment="1">
      <alignment horizontal="center"/>
      <protection/>
    </xf>
    <xf numFmtId="4" fontId="72" fillId="10" borderId="44" xfId="30" applyNumberFormat="1" applyFont="1" applyFill="1" applyBorder="1" applyAlignment="1">
      <alignment horizontal="center"/>
      <protection/>
    </xf>
    <xf numFmtId="4" fontId="44" fillId="11" borderId="14" xfId="30" applyNumberFormat="1" applyFont="1" applyFill="1" applyBorder="1" applyAlignment="1">
      <alignment horizontal="center"/>
      <protection/>
    </xf>
    <xf numFmtId="4" fontId="73" fillId="8" borderId="14" xfId="30" applyNumberFormat="1" applyFont="1" applyFill="1" applyBorder="1" applyAlignment="1">
      <alignment horizontal="center"/>
      <protection/>
    </xf>
    <xf numFmtId="7" fontId="74" fillId="0" borderId="14" xfId="30" applyNumberFormat="1" applyFont="1" applyFill="1" applyBorder="1" applyAlignment="1">
      <alignment horizontal="right"/>
      <protection/>
    </xf>
    <xf numFmtId="0" fontId="4" fillId="0" borderId="10" xfId="30" applyFont="1" applyFill="1" applyBorder="1">
      <alignment/>
      <protection/>
    </xf>
    <xf numFmtId="0" fontId="4" fillId="0" borderId="11" xfId="30" applyFont="1" applyFill="1" applyBorder="1">
      <alignment/>
      <protection/>
    </xf>
    <xf numFmtId="0" fontId="4" fillId="0" borderId="12" xfId="30" applyFont="1" applyFill="1" applyBorder="1">
      <alignment/>
      <protection/>
    </xf>
    <xf numFmtId="0" fontId="0" fillId="0" borderId="0" xfId="30" applyFill="1">
      <alignment/>
      <protection/>
    </xf>
    <xf numFmtId="0" fontId="4" fillId="0" borderId="0" xfId="46" applyFont="1" applyFill="1">
      <alignment/>
      <protection/>
    </xf>
    <xf numFmtId="0" fontId="4" fillId="0" borderId="0" xfId="46" applyFont="1">
      <alignment/>
      <protection/>
    </xf>
    <xf numFmtId="0" fontId="0" fillId="0" borderId="0" xfId="46">
      <alignment/>
      <protection/>
    </xf>
    <xf numFmtId="0" fontId="51" fillId="0" borderId="0" xfId="46" applyFont="1" applyAlignment="1">
      <alignment horizontal="right" vertical="top"/>
      <protection/>
    </xf>
    <xf numFmtId="0" fontId="11" fillId="0" borderId="0" xfId="46" applyFont="1" applyFill="1" applyBorder="1" applyAlignment="1" applyProtection="1">
      <alignment horizontal="center"/>
      <protection/>
    </xf>
    <xf numFmtId="0" fontId="79" fillId="0" borderId="0" xfId="46" applyFont="1" applyFill="1">
      <alignment/>
      <protection/>
    </xf>
    <xf numFmtId="0" fontId="80" fillId="0" borderId="0" xfId="46" applyFont="1" applyAlignment="1">
      <alignment horizontal="centerContinuous"/>
      <protection/>
    </xf>
    <xf numFmtId="0" fontId="79" fillId="0" borderId="0" xfId="46" applyFont="1" applyAlignment="1">
      <alignment horizontal="centerContinuous"/>
      <protection/>
    </xf>
    <xf numFmtId="0" fontId="79" fillId="0" borderId="0" xfId="46" applyFont="1">
      <alignment/>
      <protection/>
    </xf>
    <xf numFmtId="0" fontId="15" fillId="0" borderId="0" xfId="46" applyFont="1">
      <alignment/>
      <protection/>
    </xf>
    <xf numFmtId="0" fontId="11" fillId="0" borderId="0" xfId="46" applyFont="1" applyFill="1" applyBorder="1" applyAlignment="1" applyProtection="1">
      <alignment horizontal="left"/>
      <protection/>
    </xf>
    <xf numFmtId="0" fontId="4" fillId="0" borderId="13" xfId="46" applyFont="1" applyBorder="1">
      <alignment/>
      <protection/>
    </xf>
    <xf numFmtId="0" fontId="4" fillId="0" borderId="5" xfId="46" applyFont="1" applyBorder="1">
      <alignment/>
      <protection/>
    </xf>
    <xf numFmtId="0" fontId="4" fillId="0" borderId="5" xfId="46" applyFont="1" applyBorder="1" applyAlignment="1" applyProtection="1">
      <alignment horizontal="left"/>
      <protection/>
    </xf>
    <xf numFmtId="0" fontId="0" fillId="0" borderId="5" xfId="46" applyBorder="1">
      <alignment/>
      <protection/>
    </xf>
    <xf numFmtId="0" fontId="4" fillId="0" borderId="6" xfId="46" applyFont="1" applyFill="1" applyBorder="1">
      <alignment/>
      <protection/>
    </xf>
    <xf numFmtId="0" fontId="4" fillId="0" borderId="7" xfId="46" applyFont="1" applyBorder="1">
      <alignment/>
      <protection/>
    </xf>
    <xf numFmtId="0" fontId="4" fillId="0" borderId="0" xfId="46" applyFont="1" applyBorder="1">
      <alignment/>
      <protection/>
    </xf>
    <xf numFmtId="0" fontId="8" fillId="0" borderId="0" xfId="46" applyFont="1" applyBorder="1" applyAlignment="1">
      <alignment horizontal="left"/>
      <protection/>
    </xf>
    <xf numFmtId="0" fontId="18" fillId="0" borderId="0" xfId="46" applyFont="1" applyBorder="1">
      <alignment/>
      <protection/>
    </xf>
    <xf numFmtId="0" fontId="4" fillId="0" borderId="1" xfId="46" applyFont="1" applyFill="1" applyBorder="1">
      <alignment/>
      <protection/>
    </xf>
    <xf numFmtId="0" fontId="20" fillId="0" borderId="0" xfId="46" applyFont="1">
      <alignment/>
      <protection/>
    </xf>
    <xf numFmtId="0" fontId="20" fillId="0" borderId="7" xfId="46" applyFont="1" applyBorder="1">
      <alignment/>
      <protection/>
    </xf>
    <xf numFmtId="0" fontId="20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0" fontId="20" fillId="0" borderId="1" xfId="46" applyFont="1" applyFill="1" applyBorder="1">
      <alignment/>
      <protection/>
    </xf>
    <xf numFmtId="0" fontId="4" fillId="0" borderId="0" xfId="46" applyFont="1" applyBorder="1" applyProtection="1">
      <alignment/>
      <protection/>
    </xf>
    <xf numFmtId="0" fontId="21" fillId="0" borderId="7" xfId="46" applyFont="1" applyBorder="1" applyAlignment="1">
      <alignment horizontal="centerContinuous"/>
      <protection/>
    </xf>
    <xf numFmtId="0" fontId="0" fillId="0" borderId="0" xfId="46" applyNumberFormat="1" applyAlignment="1">
      <alignment horizontal="centerContinuous"/>
      <protection/>
    </xf>
    <xf numFmtId="0" fontId="21" fillId="0" borderId="0" xfId="46" applyFont="1" applyBorder="1" applyAlignment="1">
      <alignment horizontal="centerContinuous"/>
      <protection/>
    </xf>
    <xf numFmtId="0" fontId="20" fillId="0" borderId="0" xfId="46" applyFont="1" applyBorder="1" applyAlignment="1">
      <alignment horizontal="centerContinuous"/>
      <protection/>
    </xf>
    <xf numFmtId="0" fontId="0" fillId="0" borderId="0" xfId="46" applyAlignment="1">
      <alignment horizontal="centerContinuous"/>
      <protection/>
    </xf>
    <xf numFmtId="0" fontId="20" fillId="0" borderId="0" xfId="46" applyFont="1" applyAlignment="1">
      <alignment horizontal="centerContinuous"/>
      <protection/>
    </xf>
    <xf numFmtId="0" fontId="20" fillId="0" borderId="0" xfId="46" applyFont="1" applyAlignment="1">
      <alignment/>
      <protection/>
    </xf>
    <xf numFmtId="0" fontId="20" fillId="0" borderId="1" xfId="46" applyFont="1" applyBorder="1" applyAlignment="1">
      <alignment horizontal="centerContinuous"/>
      <protection/>
    </xf>
    <xf numFmtId="0" fontId="4" fillId="0" borderId="0" xfId="46" applyFont="1" applyBorder="1" applyAlignment="1">
      <alignment horizontal="center"/>
      <protection/>
    </xf>
    <xf numFmtId="0" fontId="81" fillId="0" borderId="0" xfId="46" applyFont="1" applyBorder="1" applyAlignment="1" quotePrefix="1">
      <alignment horizontal="left"/>
      <protection/>
    </xf>
    <xf numFmtId="166" fontId="7" fillId="0" borderId="0" xfId="46" applyNumberFormat="1" applyFont="1" applyBorder="1" applyAlignment="1" applyProtection="1">
      <alignment horizontal="left"/>
      <protection/>
    </xf>
    <xf numFmtId="0" fontId="0" fillId="0" borderId="0" xfId="46" applyBorder="1">
      <alignment/>
      <protection/>
    </xf>
    <xf numFmtId="0" fontId="22" fillId="0" borderId="0" xfId="46" applyFont="1" applyBorder="1" applyAlignment="1">
      <alignment horizontal="center"/>
      <protection/>
    </xf>
    <xf numFmtId="0" fontId="22" fillId="0" borderId="0" xfId="46" applyFont="1" applyBorder="1">
      <alignment/>
      <protection/>
    </xf>
    <xf numFmtId="0" fontId="19" fillId="0" borderId="0" xfId="46" applyFont="1">
      <alignment/>
      <protection/>
    </xf>
    <xf numFmtId="0" fontId="19" fillId="0" borderId="7" xfId="46" applyFont="1" applyBorder="1">
      <alignment/>
      <protection/>
    </xf>
    <xf numFmtId="0" fontId="19" fillId="0" borderId="0" xfId="46" applyFont="1" applyBorder="1">
      <alignment/>
      <protection/>
    </xf>
    <xf numFmtId="0" fontId="19" fillId="0" borderId="0" xfId="46" applyFont="1" applyBorder="1" applyAlignment="1">
      <alignment horizontal="right"/>
      <protection/>
    </xf>
    <xf numFmtId="7" fontId="19" fillId="0" borderId="0" xfId="46" applyNumberFormat="1" applyFont="1" applyBorder="1" applyAlignment="1">
      <alignment horizontal="center"/>
      <protection/>
    </xf>
    <xf numFmtId="0" fontId="19" fillId="0" borderId="0" xfId="46" applyFont="1" applyBorder="1" applyAlignment="1">
      <alignment horizontal="center"/>
      <protection/>
    </xf>
    <xf numFmtId="0" fontId="82" fillId="0" borderId="0" xfId="46" applyFont="1" applyBorder="1" applyAlignment="1" quotePrefix="1">
      <alignment horizontal="left"/>
      <protection/>
    </xf>
    <xf numFmtId="0" fontId="19" fillId="0" borderId="1" xfId="46" applyFont="1" applyFill="1" applyBorder="1">
      <alignment/>
      <protection/>
    </xf>
    <xf numFmtId="0" fontId="19" fillId="0" borderId="0" xfId="46" applyFont="1" applyBorder="1" applyAlignment="1" applyProtection="1">
      <alignment horizontal="left"/>
      <protection/>
    </xf>
    <xf numFmtId="169" fontId="19" fillId="0" borderId="0" xfId="46" applyNumberFormat="1" applyFont="1" applyBorder="1" applyAlignment="1">
      <alignment horizontal="center"/>
      <protection/>
    </xf>
    <xf numFmtId="166" fontId="19" fillId="0" borderId="0" xfId="46" applyNumberFormat="1" applyFont="1" applyBorder="1" applyAlignment="1" applyProtection="1">
      <alignment horizontal="left"/>
      <protection/>
    </xf>
    <xf numFmtId="0" fontId="19" fillId="0" borderId="0" xfId="46" applyFont="1" applyAlignment="1">
      <alignment horizontal="right"/>
      <protection/>
    </xf>
    <xf numFmtId="10" fontId="19" fillId="0" borderId="0" xfId="46" applyNumberFormat="1" applyFont="1" applyBorder="1" applyAlignment="1" applyProtection="1">
      <alignment horizontal="right"/>
      <protection/>
    </xf>
    <xf numFmtId="173" fontId="19" fillId="0" borderId="0" xfId="46" applyNumberFormat="1" applyFont="1" applyBorder="1" applyAlignment="1">
      <alignment horizontal="center"/>
      <protection/>
    </xf>
    <xf numFmtId="172" fontId="19" fillId="0" borderId="0" xfId="46" applyNumberFormat="1" applyFont="1" applyBorder="1">
      <alignment/>
      <protection/>
    </xf>
    <xf numFmtId="0" fontId="19" fillId="0" borderId="0" xfId="46" applyFont="1" applyAlignment="1">
      <alignment horizontal="center"/>
      <protection/>
    </xf>
    <xf numFmtId="1" fontId="19" fillId="0" borderId="0" xfId="46" applyNumberFormat="1" applyFont="1" applyBorder="1" applyAlignment="1">
      <alignment horizontal="center"/>
      <protection/>
    </xf>
    <xf numFmtId="0" fontId="19" fillId="0" borderId="0" xfId="46" applyFont="1" applyBorder="1" applyAlignment="1" applyProtection="1">
      <alignment horizontal="center"/>
      <protection/>
    </xf>
    <xf numFmtId="0" fontId="3" fillId="0" borderId="0" xfId="46" applyFont="1" applyBorder="1">
      <alignment/>
      <protection/>
    </xf>
    <xf numFmtId="166" fontId="10" fillId="0" borderId="8" xfId="46" applyNumberFormat="1" applyFont="1" applyBorder="1" applyAlignment="1" applyProtection="1">
      <alignment horizontal="center"/>
      <protection/>
    </xf>
    <xf numFmtId="172" fontId="19" fillId="0" borderId="9" xfId="46" applyNumberFormat="1" applyFont="1" applyBorder="1" applyAlignment="1" applyProtection="1">
      <alignment horizontal="centerContinuous"/>
      <protection/>
    </xf>
    <xf numFmtId="0" fontId="4" fillId="0" borderId="0" xfId="46" applyFont="1" applyBorder="1" applyAlignment="1" applyProtection="1">
      <alignment horizontal="center"/>
      <protection/>
    </xf>
    <xf numFmtId="164" fontId="88" fillId="0" borderId="0" xfId="46" applyNumberFormat="1" applyFont="1" applyBorder="1" applyAlignment="1" applyProtection="1">
      <alignment horizontal="center"/>
      <protection/>
    </xf>
    <xf numFmtId="165" fontId="19" fillId="0" borderId="0" xfId="46" applyNumberFormat="1" applyFont="1" applyBorder="1" applyAlignment="1" applyProtection="1">
      <alignment horizontal="center"/>
      <protection/>
    </xf>
    <xf numFmtId="166" fontId="19" fillId="0" borderId="0" xfId="46" applyNumberFormat="1" applyFont="1" applyBorder="1" applyAlignment="1" applyProtection="1">
      <alignment horizontal="center"/>
      <protection/>
    </xf>
    <xf numFmtId="168" fontId="19" fillId="0" borderId="0" xfId="46" applyNumberFormat="1" applyFont="1" applyBorder="1" applyAlignment="1" applyProtection="1" quotePrefix="1">
      <alignment horizontal="center"/>
      <protection/>
    </xf>
    <xf numFmtId="2" fontId="19" fillId="0" borderId="0" xfId="46" applyNumberFormat="1" applyFont="1" applyBorder="1" applyAlignment="1" applyProtection="1">
      <alignment horizontal="center"/>
      <protection/>
    </xf>
    <xf numFmtId="7" fontId="19" fillId="0" borderId="0" xfId="46" applyNumberFormat="1" applyFont="1" applyBorder="1" applyAlignment="1" applyProtection="1">
      <alignment horizontal="center"/>
      <protection/>
    </xf>
    <xf numFmtId="4" fontId="4" fillId="0" borderId="1" xfId="46" applyNumberFormat="1" applyFont="1" applyFill="1" applyBorder="1" applyAlignment="1">
      <alignment horizontal="center"/>
      <protection/>
    </xf>
    <xf numFmtId="0" fontId="4" fillId="0" borderId="7" xfId="46" applyFont="1" applyFill="1" applyBorder="1">
      <alignment/>
      <protection/>
    </xf>
    <xf numFmtId="0" fontId="24" fillId="0" borderId="14" xfId="46" applyFont="1" applyFill="1" applyBorder="1" applyAlignment="1">
      <alignment horizontal="center" vertical="center"/>
      <protection/>
    </xf>
    <xf numFmtId="0" fontId="24" fillId="0" borderId="14" xfId="46" applyFont="1" applyFill="1" applyBorder="1" applyAlignment="1" applyProtection="1">
      <alignment horizontal="center" vertical="center" wrapText="1"/>
      <protection/>
    </xf>
    <xf numFmtId="0" fontId="24" fillId="0" borderId="14" xfId="46" applyFont="1" applyFill="1" applyBorder="1" applyAlignment="1" applyProtection="1">
      <alignment horizontal="center" vertical="center"/>
      <protection/>
    </xf>
    <xf numFmtId="0" fontId="24" fillId="0" borderId="14" xfId="46" applyFont="1" applyFill="1" applyBorder="1" applyAlignment="1" applyProtection="1" quotePrefix="1">
      <alignment horizontal="center" vertical="center" wrapText="1"/>
      <protection/>
    </xf>
    <xf numFmtId="0" fontId="24" fillId="0" borderId="14" xfId="46" applyFont="1" applyFill="1" applyBorder="1" applyAlignment="1">
      <alignment horizontal="center" vertical="center" wrapText="1"/>
      <protection/>
    </xf>
    <xf numFmtId="0" fontId="32" fillId="2" borderId="14" xfId="46" applyFont="1" applyFill="1" applyBorder="1" applyAlignment="1" applyProtection="1">
      <alignment horizontal="center" vertical="center"/>
      <protection/>
    </xf>
    <xf numFmtId="0" fontId="32" fillId="16" borderId="14" xfId="46" applyFont="1" applyFill="1" applyBorder="1" applyAlignment="1" applyProtection="1">
      <alignment horizontal="center" vertical="center"/>
      <protection/>
    </xf>
    <xf numFmtId="0" fontId="24" fillId="0" borderId="8" xfId="46" applyFont="1" applyBorder="1" applyAlignment="1" applyProtection="1">
      <alignment horizontal="center" vertical="center" wrapText="1"/>
      <protection/>
    </xf>
    <xf numFmtId="0" fontId="24" fillId="0" borderId="8" xfId="46" applyFont="1" applyFill="1" applyBorder="1" applyAlignment="1" applyProtection="1">
      <alignment horizontal="centerContinuous" vertical="center"/>
      <protection/>
    </xf>
    <xf numFmtId="0" fontId="24" fillId="0" borderId="15" xfId="46" applyFont="1" applyFill="1" applyBorder="1" applyAlignment="1" applyProtection="1">
      <alignment horizontal="centerContinuous" vertical="center"/>
      <protection/>
    </xf>
    <xf numFmtId="0" fontId="39" fillId="17" borderId="14" xfId="46" applyFont="1" applyFill="1" applyBorder="1" applyAlignment="1">
      <alignment horizontal="center" vertical="center" wrapText="1"/>
      <protection/>
    </xf>
    <xf numFmtId="0" fontId="39" fillId="18" borderId="8" xfId="46" applyFont="1" applyFill="1" applyBorder="1" applyAlignment="1" applyProtection="1">
      <alignment horizontal="centerContinuous" vertical="center" wrapText="1"/>
      <protection/>
    </xf>
    <xf numFmtId="0" fontId="39" fillId="18" borderId="9" xfId="46" applyFont="1" applyFill="1" applyBorder="1" applyAlignment="1">
      <alignment horizontal="centerContinuous" vertical="center"/>
      <protection/>
    </xf>
    <xf numFmtId="0" fontId="39" fillId="3" borderId="14" xfId="46" applyFont="1" applyFill="1" applyBorder="1" applyAlignment="1">
      <alignment horizontal="centerContinuous" vertical="center" wrapText="1"/>
      <protection/>
    </xf>
    <xf numFmtId="0" fontId="39" fillId="16" borderId="58" xfId="46" applyFont="1" applyFill="1" applyBorder="1" applyAlignment="1">
      <alignment vertical="center" wrapText="1"/>
      <protection/>
    </xf>
    <xf numFmtId="0" fontId="39" fillId="16" borderId="16" xfId="46" applyFont="1" applyFill="1" applyBorder="1" applyAlignment="1">
      <alignment vertical="center" wrapText="1"/>
      <protection/>
    </xf>
    <xf numFmtId="0" fontId="39" fillId="16" borderId="31" xfId="46" applyFont="1" applyFill="1" applyBorder="1" applyAlignment="1">
      <alignment vertical="center" wrapText="1"/>
      <protection/>
    </xf>
    <xf numFmtId="0" fontId="24" fillId="0" borderId="14" xfId="46" applyFont="1" applyBorder="1" applyAlignment="1">
      <alignment horizontal="center" vertical="center" wrapText="1"/>
      <protection/>
    </xf>
    <xf numFmtId="0" fontId="4" fillId="0" borderId="2" xfId="46" applyFont="1" applyBorder="1" applyAlignment="1">
      <alignment horizontal="center"/>
      <protection/>
    </xf>
    <xf numFmtId="0" fontId="4" fillId="0" borderId="2" xfId="46" applyFont="1" applyFill="1" applyBorder="1" applyAlignment="1">
      <alignment horizontal="center"/>
      <protection/>
    </xf>
    <xf numFmtId="164" fontId="4" fillId="0" borderId="2" xfId="46" applyNumberFormat="1" applyFont="1" applyFill="1" applyBorder="1" applyAlignment="1" applyProtection="1">
      <alignment horizontal="center"/>
      <protection/>
    </xf>
    <xf numFmtId="0" fontId="90" fillId="2" borderId="2" xfId="46" applyFont="1" applyFill="1" applyBorder="1" applyAlignment="1">
      <alignment horizontal="center"/>
      <protection/>
    </xf>
    <xf numFmtId="0" fontId="90" fillId="16" borderId="2" xfId="46" applyFont="1" applyFill="1" applyBorder="1" applyAlignment="1">
      <alignment horizontal="center"/>
      <protection/>
    </xf>
    <xf numFmtId="0" fontId="4" fillId="0" borderId="4" xfId="46" applyFont="1" applyFill="1" applyBorder="1" applyAlignment="1">
      <alignment horizontal="center"/>
      <protection/>
    </xf>
    <xf numFmtId="0" fontId="4" fillId="0" borderId="21" xfId="46" applyFont="1" applyFill="1" applyBorder="1" applyAlignment="1">
      <alignment horizontal="centerContinuous"/>
      <protection/>
    </xf>
    <xf numFmtId="0" fontId="4" fillId="0" borderId="4" xfId="46" applyFont="1" applyFill="1" applyBorder="1" applyAlignment="1">
      <alignment horizontal="centerContinuous"/>
      <protection/>
    </xf>
    <xf numFmtId="0" fontId="33" fillId="2" borderId="17" xfId="46" applyFont="1" applyFill="1" applyBorder="1" applyAlignment="1">
      <alignment horizontal="center"/>
      <protection/>
    </xf>
    <xf numFmtId="0" fontId="42" fillId="17" borderId="17" xfId="46" applyFont="1" applyFill="1" applyBorder="1" applyAlignment="1">
      <alignment horizontal="center"/>
      <protection/>
    </xf>
    <xf numFmtId="0" fontId="42" fillId="18" borderId="32" xfId="46" applyFont="1" applyFill="1" applyBorder="1" applyAlignment="1">
      <alignment horizontal="center"/>
      <protection/>
    </xf>
    <xf numFmtId="0" fontId="42" fillId="18" borderId="33" xfId="46" applyFont="1" applyFill="1" applyBorder="1" applyAlignment="1">
      <alignment horizontal="left"/>
      <protection/>
    </xf>
    <xf numFmtId="0" fontId="42" fillId="3" borderId="17" xfId="46" applyFont="1" applyFill="1" applyBorder="1" applyAlignment="1">
      <alignment horizontal="left"/>
      <protection/>
    </xf>
    <xf numFmtId="0" fontId="42" fillId="16" borderId="48" xfId="46" applyFont="1" applyFill="1" applyBorder="1" applyAlignment="1">
      <alignment horizontal="left"/>
      <protection/>
    </xf>
    <xf numFmtId="0" fontId="42" fillId="16" borderId="0" xfId="46" applyFont="1" applyFill="1" applyBorder="1" applyAlignment="1">
      <alignment horizontal="left"/>
      <protection/>
    </xf>
    <xf numFmtId="0" fontId="42" fillId="16" borderId="47" xfId="46" applyFont="1" applyFill="1" applyBorder="1" applyAlignment="1">
      <alignment horizontal="left"/>
      <protection/>
    </xf>
    <xf numFmtId="0" fontId="7" fillId="0" borderId="4" xfId="46" applyFont="1" applyFill="1" applyBorder="1" applyAlignment="1">
      <alignment horizontal="center"/>
      <protection/>
    </xf>
    <xf numFmtId="0" fontId="4" fillId="0" borderId="21" xfId="46" applyFont="1" applyBorder="1" applyAlignment="1" applyProtection="1">
      <alignment horizontal="center"/>
      <protection locked="0"/>
    </xf>
    <xf numFmtId="0" fontId="4" fillId="0" borderId="2" xfId="46" applyFont="1" applyBorder="1" applyAlignment="1" applyProtection="1">
      <alignment horizontal="center"/>
      <protection locked="0"/>
    </xf>
    <xf numFmtId="164" fontId="4" fillId="0" borderId="19" xfId="46" applyNumberFormat="1" applyFont="1" applyFill="1" applyBorder="1" applyAlignment="1" applyProtection="1">
      <alignment horizontal="center"/>
      <protection/>
    </xf>
    <xf numFmtId="166" fontId="90" fillId="2" borderId="2" xfId="46" applyNumberFormat="1" applyFont="1" applyFill="1" applyBorder="1" applyAlignment="1" applyProtection="1">
      <alignment horizontal="center"/>
      <protection/>
    </xf>
    <xf numFmtId="166" fontId="90" fillId="16" borderId="2" xfId="46" applyNumberFormat="1" applyFont="1" applyFill="1" applyBorder="1" applyAlignment="1" applyProtection="1">
      <alignment horizontal="center"/>
      <protection/>
    </xf>
    <xf numFmtId="22" fontId="4" fillId="0" borderId="22" xfId="46" applyNumberFormat="1" applyFont="1" applyBorder="1" applyAlignment="1" applyProtection="1">
      <alignment horizontal="center"/>
      <protection locked="0"/>
    </xf>
    <xf numFmtId="22" fontId="4" fillId="0" borderId="21" xfId="46" applyNumberFormat="1" applyFont="1" applyBorder="1" applyAlignment="1" applyProtection="1">
      <alignment horizontal="center"/>
      <protection locked="0"/>
    </xf>
    <xf numFmtId="4" fontId="4" fillId="0" borderId="2" xfId="46" applyNumberFormat="1" applyFont="1" applyFill="1" applyBorder="1" applyAlignment="1" applyProtection="1">
      <alignment horizontal="center"/>
      <protection/>
    </xf>
    <xf numFmtId="3" fontId="4" fillId="0" borderId="2" xfId="46" applyNumberFormat="1" applyFont="1" applyFill="1" applyBorder="1" applyAlignment="1" applyProtection="1">
      <alignment horizontal="center"/>
      <protection/>
    </xf>
    <xf numFmtId="166" fontId="4" fillId="0" borderId="2" xfId="46" applyNumberFormat="1" applyFont="1" applyFill="1" applyBorder="1" applyAlignment="1" applyProtection="1">
      <alignment horizontal="center"/>
      <protection/>
    </xf>
    <xf numFmtId="166" fontId="4" fillId="0" borderId="2" xfId="46" applyNumberFormat="1" applyFont="1" applyBorder="1" applyAlignment="1" applyProtection="1" quotePrefix="1">
      <alignment horizontal="center"/>
      <protection/>
    </xf>
    <xf numFmtId="166" fontId="4" fillId="0" borderId="21" xfId="46" applyNumberFormat="1" applyFont="1" applyBorder="1" applyAlignment="1" applyProtection="1">
      <alignment horizontal="centerContinuous"/>
      <protection/>
    </xf>
    <xf numFmtId="166" fontId="4" fillId="0" borderId="4" xfId="46" applyNumberFormat="1" applyFont="1" applyBorder="1" applyAlignment="1" applyProtection="1">
      <alignment horizontal="centerContinuous"/>
      <protection/>
    </xf>
    <xf numFmtId="164" fontId="42" fillId="5" borderId="2" xfId="46" applyNumberFormat="1" applyFont="1" applyFill="1" applyBorder="1" applyAlignment="1" applyProtection="1">
      <alignment horizontal="center"/>
      <protection/>
    </xf>
    <xf numFmtId="2" fontId="41" fillId="17" borderId="2" xfId="46" applyNumberFormat="1" applyFont="1" applyFill="1" applyBorder="1" applyAlignment="1">
      <alignment horizontal="center"/>
      <protection/>
    </xf>
    <xf numFmtId="166" fontId="41" fillId="18" borderId="37" xfId="46" applyNumberFormat="1" applyFont="1" applyFill="1" applyBorder="1" applyAlignment="1" applyProtection="1" quotePrefix="1">
      <alignment horizontal="center"/>
      <protection/>
    </xf>
    <xf numFmtId="166" fontId="41" fillId="18" borderId="38" xfId="46" applyNumberFormat="1" applyFont="1" applyFill="1" applyBorder="1" applyAlignment="1" applyProtection="1" quotePrefix="1">
      <alignment horizontal="center"/>
      <protection/>
    </xf>
    <xf numFmtId="166" fontId="41" fillId="3" borderId="2" xfId="46" applyNumberFormat="1" applyFont="1" applyFill="1" applyBorder="1" applyAlignment="1" applyProtection="1" quotePrefix="1">
      <alignment horizontal="center"/>
      <protection/>
    </xf>
    <xf numFmtId="166" fontId="41" fillId="16" borderId="48" xfId="46" applyNumberFormat="1" applyFont="1" applyFill="1" applyBorder="1" applyAlignment="1" applyProtection="1" quotePrefix="1">
      <alignment horizontal="center"/>
      <protection/>
    </xf>
    <xf numFmtId="166" fontId="41" fillId="16" borderId="0" xfId="46" applyNumberFormat="1" applyFont="1" applyFill="1" applyBorder="1" applyAlignment="1" applyProtection="1" quotePrefix="1">
      <alignment horizontal="center"/>
      <protection/>
    </xf>
    <xf numFmtId="166" fontId="41" fillId="16" borderId="47" xfId="46" applyNumberFormat="1" applyFont="1" applyFill="1" applyBorder="1" applyAlignment="1" applyProtection="1" quotePrefix="1">
      <alignment horizontal="center"/>
      <protection/>
    </xf>
    <xf numFmtId="166" fontId="4" fillId="0" borderId="4" xfId="46" applyNumberFormat="1" applyFont="1" applyFill="1" applyBorder="1" applyAlignment="1">
      <alignment horizontal="center"/>
      <protection/>
    </xf>
    <xf numFmtId="4" fontId="26" fillId="0" borderId="4" xfId="46" applyNumberFormat="1" applyFont="1" applyFill="1" applyBorder="1" applyAlignment="1">
      <alignment horizontal="right"/>
      <protection/>
    </xf>
    <xf numFmtId="0" fontId="4" fillId="0" borderId="3" xfId="46" applyFont="1" applyFill="1" applyBorder="1" applyAlignment="1">
      <alignment horizontal="center"/>
      <protection/>
    </xf>
    <xf numFmtId="0" fontId="4" fillId="0" borderId="39" xfId="46" applyFont="1" applyBorder="1" applyAlignment="1" applyProtection="1">
      <alignment horizontal="center"/>
      <protection/>
    </xf>
    <xf numFmtId="0" fontId="4" fillId="0" borderId="59" xfId="46" applyFont="1" applyBorder="1" applyAlignment="1" applyProtection="1">
      <alignment horizontal="center"/>
      <protection/>
    </xf>
    <xf numFmtId="164" fontId="4" fillId="0" borderId="39" xfId="46" applyNumberFormat="1" applyFont="1" applyBorder="1" applyAlignment="1" applyProtection="1">
      <alignment horizontal="center"/>
      <protection/>
    </xf>
    <xf numFmtId="1" fontId="4" fillId="0" borderId="41" xfId="46" applyNumberFormat="1" applyFont="1" applyBorder="1" applyAlignment="1" applyProtection="1" quotePrefix="1">
      <alignment horizontal="center"/>
      <protection/>
    </xf>
    <xf numFmtId="166" fontId="90" fillId="2" borderId="3" xfId="46" applyNumberFormat="1" applyFont="1" applyFill="1" applyBorder="1" applyAlignment="1" applyProtection="1">
      <alignment horizontal="center"/>
      <protection/>
    </xf>
    <xf numFmtId="166" fontId="90" fillId="16" borderId="3" xfId="46" applyNumberFormat="1" applyFont="1" applyFill="1" applyBorder="1" applyAlignment="1" applyProtection="1">
      <alignment horizontal="center"/>
      <protection/>
    </xf>
    <xf numFmtId="22" fontId="4" fillId="0" borderId="3" xfId="46" applyNumberFormat="1" applyFont="1" applyFill="1" applyBorder="1" applyAlignment="1">
      <alignment horizontal="center"/>
      <protection/>
    </xf>
    <xf numFmtId="22" fontId="4" fillId="0" borderId="3" xfId="46" applyNumberFormat="1" applyFont="1" applyFill="1" applyBorder="1" applyAlignment="1" applyProtection="1">
      <alignment horizontal="center"/>
      <protection/>
    </xf>
    <xf numFmtId="4" fontId="4" fillId="0" borderId="3" xfId="46" applyNumberFormat="1" applyFont="1" applyFill="1" applyBorder="1" applyAlignment="1" applyProtection="1">
      <alignment horizontal="center"/>
      <protection/>
    </xf>
    <xf numFmtId="3" fontId="4" fillId="0" borderId="3" xfId="46" applyNumberFormat="1" applyFont="1" applyFill="1" applyBorder="1" applyAlignment="1" applyProtection="1">
      <alignment horizontal="center"/>
      <protection/>
    </xf>
    <xf numFmtId="166" fontId="4" fillId="0" borderId="3" xfId="46" applyNumberFormat="1" applyFont="1" applyFill="1" applyBorder="1" applyAlignment="1" applyProtection="1">
      <alignment horizontal="center"/>
      <protection/>
    </xf>
    <xf numFmtId="166" fontId="4" fillId="0" borderId="3" xfId="46" applyNumberFormat="1" applyFont="1" applyBorder="1" applyAlignment="1" applyProtection="1">
      <alignment horizontal="center"/>
      <protection/>
    </xf>
    <xf numFmtId="166" fontId="4" fillId="0" borderId="18" xfId="46" applyNumberFormat="1" applyFont="1" applyBorder="1" applyAlignment="1" applyProtection="1">
      <alignment horizontal="centerContinuous"/>
      <protection/>
    </xf>
    <xf numFmtId="166" fontId="4" fillId="0" borderId="20" xfId="46" applyNumberFormat="1" applyFont="1" applyBorder="1" applyAlignment="1" applyProtection="1">
      <alignment horizontal="centerContinuous"/>
      <protection/>
    </xf>
    <xf numFmtId="164" fontId="33" fillId="2" borderId="3" xfId="46" applyNumberFormat="1" applyFont="1" applyFill="1" applyBorder="1" applyAlignment="1" applyProtection="1">
      <alignment horizontal="center"/>
      <protection/>
    </xf>
    <xf numFmtId="2" fontId="42" fillId="17" borderId="3" xfId="46" applyNumberFormat="1" applyFont="1" applyFill="1" applyBorder="1" applyAlignment="1">
      <alignment horizontal="center"/>
      <protection/>
    </xf>
    <xf numFmtId="166" fontId="42" fillId="18" borderId="40" xfId="46" applyNumberFormat="1" applyFont="1" applyFill="1" applyBorder="1" applyAlignment="1" applyProtection="1" quotePrefix="1">
      <alignment horizontal="center"/>
      <protection/>
    </xf>
    <xf numFmtId="166" fontId="42" fillId="18" borderId="41" xfId="46" applyNumberFormat="1" applyFont="1" applyFill="1" applyBorder="1" applyAlignment="1" applyProtection="1" quotePrefix="1">
      <alignment horizontal="center"/>
      <protection/>
    </xf>
    <xf numFmtId="166" fontId="42" fillId="3" borderId="3" xfId="46" applyNumberFormat="1" applyFont="1" applyFill="1" applyBorder="1" applyAlignment="1" applyProtection="1" quotePrefix="1">
      <alignment horizontal="center"/>
      <protection/>
    </xf>
    <xf numFmtId="166" fontId="42" fillId="16" borderId="18" xfId="46" applyNumberFormat="1" applyFont="1" applyFill="1" applyBorder="1" applyAlignment="1" applyProtection="1" quotePrefix="1">
      <alignment horizontal="center"/>
      <protection/>
    </xf>
    <xf numFmtId="166" fontId="42" fillId="16" borderId="52" xfId="46" applyNumberFormat="1" applyFont="1" applyFill="1" applyBorder="1" applyAlignment="1" applyProtection="1" quotePrefix="1">
      <alignment horizontal="center"/>
      <protection/>
    </xf>
    <xf numFmtId="166" fontId="42" fillId="16" borderId="20" xfId="46" applyNumberFormat="1" applyFont="1" applyFill="1" applyBorder="1" applyAlignment="1" applyProtection="1" quotePrefix="1">
      <alignment horizontal="center"/>
      <protection/>
    </xf>
    <xf numFmtId="166" fontId="4" fillId="0" borderId="20" xfId="46" applyNumberFormat="1" applyFont="1" applyFill="1" applyBorder="1" applyAlignment="1">
      <alignment horizontal="center"/>
      <protection/>
    </xf>
    <xf numFmtId="4" fontId="26" fillId="0" borderId="20" xfId="46" applyNumberFormat="1" applyFont="1" applyFill="1" applyBorder="1" applyAlignment="1">
      <alignment horizontal="right"/>
      <protection/>
    </xf>
    <xf numFmtId="0" fontId="4" fillId="0" borderId="0" xfId="46" applyFont="1" applyFill="1" applyBorder="1" applyAlignment="1">
      <alignment horizontal="center"/>
      <protection/>
    </xf>
    <xf numFmtId="164" fontId="4" fillId="0" borderId="0" xfId="46" applyNumberFormat="1" applyFont="1" applyBorder="1" applyAlignment="1" applyProtection="1">
      <alignment horizontal="center"/>
      <protection/>
    </xf>
    <xf numFmtId="1" fontId="4" fillId="0" borderId="0" xfId="46" applyNumberFormat="1" applyFont="1" applyBorder="1" applyAlignment="1" applyProtection="1" quotePrefix="1">
      <alignment horizontal="center"/>
      <protection/>
    </xf>
    <xf numFmtId="22" fontId="4" fillId="0" borderId="16" xfId="46" applyNumberFormat="1" applyFont="1" applyFill="1" applyBorder="1" applyAlignment="1">
      <alignment horizontal="center"/>
      <protection/>
    </xf>
    <xf numFmtId="22" fontId="4" fillId="0" borderId="16" xfId="46" applyNumberFormat="1" applyFont="1" applyFill="1" applyBorder="1" applyAlignment="1" applyProtection="1">
      <alignment horizontal="center"/>
      <protection/>
    </xf>
    <xf numFmtId="4" fontId="4" fillId="0" borderId="0" xfId="46" applyNumberFormat="1" applyFont="1" applyFill="1" applyBorder="1" applyAlignment="1" applyProtection="1">
      <alignment horizontal="center"/>
      <protection/>
    </xf>
    <xf numFmtId="3" fontId="4" fillId="0" borderId="0" xfId="46" applyNumberFormat="1" applyFont="1" applyFill="1" applyBorder="1" applyAlignment="1" applyProtection="1">
      <alignment horizontal="center"/>
      <protection/>
    </xf>
    <xf numFmtId="166" fontId="4" fillId="0" borderId="0" xfId="46" applyNumberFormat="1" applyFont="1" applyFill="1" applyBorder="1" applyAlignment="1" applyProtection="1">
      <alignment horizontal="center"/>
      <protection/>
    </xf>
    <xf numFmtId="166" fontId="4" fillId="0" borderId="0" xfId="46" applyNumberFormat="1" applyFont="1" applyBorder="1" applyAlignment="1" applyProtection="1">
      <alignment horizontal="center"/>
      <protection/>
    </xf>
    <xf numFmtId="166" fontId="4" fillId="0" borderId="0" xfId="46" applyNumberFormat="1" applyFont="1" applyBorder="1" applyAlignment="1" applyProtection="1">
      <alignment horizontal="centerContinuous"/>
      <protection/>
    </xf>
    <xf numFmtId="164" fontId="33" fillId="2" borderId="0" xfId="46" applyNumberFormat="1" applyFont="1" applyFill="1" applyBorder="1" applyAlignment="1" applyProtection="1">
      <alignment horizontal="center"/>
      <protection/>
    </xf>
    <xf numFmtId="2" fontId="42" fillId="17" borderId="0" xfId="46" applyNumberFormat="1" applyFont="1" applyFill="1" applyBorder="1" applyAlignment="1">
      <alignment horizontal="center"/>
      <protection/>
    </xf>
    <xf numFmtId="166" fontId="42" fillId="18" borderId="0" xfId="46" applyNumberFormat="1" applyFont="1" applyFill="1" applyBorder="1" applyAlignment="1" applyProtection="1" quotePrefix="1">
      <alignment horizontal="center"/>
      <protection/>
    </xf>
    <xf numFmtId="166" fontId="42" fillId="3" borderId="0" xfId="46" applyNumberFormat="1" applyFont="1" applyFill="1" applyBorder="1" applyAlignment="1" applyProtection="1" quotePrefix="1">
      <alignment horizontal="center"/>
      <protection/>
    </xf>
    <xf numFmtId="166" fontId="42" fillId="16" borderId="0" xfId="46" applyNumberFormat="1" applyFont="1" applyFill="1" applyBorder="1" applyAlignment="1" applyProtection="1" quotePrefix="1">
      <alignment horizontal="center"/>
      <protection/>
    </xf>
    <xf numFmtId="166" fontId="4" fillId="0" borderId="0" xfId="46" applyNumberFormat="1" applyFont="1" applyFill="1" applyBorder="1" applyAlignment="1">
      <alignment horizontal="center"/>
      <protection/>
    </xf>
    <xf numFmtId="7" fontId="7" fillId="0" borderId="14" xfId="46" applyNumberFormat="1" applyFont="1" applyBorder="1" applyAlignment="1" applyProtection="1">
      <alignment horizontal="right"/>
      <protection/>
    </xf>
    <xf numFmtId="22" fontId="4" fillId="0" borderId="0" xfId="46" applyNumberFormat="1" applyFont="1" applyFill="1" applyBorder="1" applyAlignment="1">
      <alignment horizontal="center"/>
      <protection/>
    </xf>
    <xf numFmtId="22" fontId="4" fillId="0" borderId="0" xfId="46" applyNumberFormat="1" applyFont="1" applyFill="1" applyBorder="1" applyAlignment="1" applyProtection="1">
      <alignment horizontal="center"/>
      <protection/>
    </xf>
    <xf numFmtId="7" fontId="7" fillId="0" borderId="0" xfId="46" applyNumberFormat="1" applyFont="1" applyBorder="1" applyAlignment="1" applyProtection="1">
      <alignment horizontal="right"/>
      <protection/>
    </xf>
    <xf numFmtId="0" fontId="39" fillId="4" borderId="14" xfId="46" applyFont="1" applyFill="1" applyBorder="1" applyAlignment="1" applyProtection="1">
      <alignment horizontal="center" vertical="center"/>
      <protection/>
    </xf>
    <xf numFmtId="0" fontId="37" fillId="10" borderId="14" xfId="46" applyFont="1" applyFill="1" applyBorder="1" applyAlignment="1">
      <alignment horizontal="center" vertical="center" wrapText="1"/>
      <protection/>
    </xf>
    <xf numFmtId="0" fontId="57" fillId="6" borderId="8" xfId="46" applyFont="1" applyFill="1" applyBorder="1" applyAlignment="1" applyProtection="1">
      <alignment horizontal="centerContinuous" vertical="center" wrapText="1"/>
      <protection/>
    </xf>
    <xf numFmtId="0" fontId="57" fillId="6" borderId="9" xfId="46" applyFont="1" applyFill="1" applyBorder="1" applyAlignment="1">
      <alignment horizontal="centerContinuous" vertical="center"/>
      <protection/>
    </xf>
    <xf numFmtId="0" fontId="39" fillId="3" borderId="14" xfId="46" applyFont="1" applyFill="1" applyBorder="1" applyAlignment="1">
      <alignment horizontal="center" vertical="center" wrapText="1"/>
      <protection/>
    </xf>
    <xf numFmtId="164" fontId="42" fillId="4" borderId="2" xfId="46" applyNumberFormat="1" applyFont="1" applyFill="1" applyBorder="1" applyAlignment="1" applyProtection="1">
      <alignment horizontal="center"/>
      <protection/>
    </xf>
    <xf numFmtId="0" fontId="72" fillId="10" borderId="17" xfId="46" applyFont="1" applyFill="1" applyBorder="1" applyAlignment="1" applyProtection="1">
      <alignment horizontal="center"/>
      <protection/>
    </xf>
    <xf numFmtId="166" fontId="59" fillId="6" borderId="32" xfId="46" applyNumberFormat="1" applyFont="1" applyFill="1" applyBorder="1" applyAlignment="1" applyProtection="1" quotePrefix="1">
      <alignment horizontal="center"/>
      <protection/>
    </xf>
    <xf numFmtId="166" fontId="59" fillId="6" borderId="33" xfId="46" applyNumberFormat="1" applyFont="1" applyFill="1" applyBorder="1" applyAlignment="1" applyProtection="1" quotePrefix="1">
      <alignment horizontal="center"/>
      <protection/>
    </xf>
    <xf numFmtId="166" fontId="41" fillId="3" borderId="17" xfId="46" applyNumberFormat="1" applyFont="1" applyFill="1" applyBorder="1" applyAlignment="1" applyProtection="1" quotePrefix="1">
      <alignment horizontal="center"/>
      <protection/>
    </xf>
    <xf numFmtId="173" fontId="90" fillId="2" borderId="2" xfId="46" applyNumberFormat="1" applyFont="1" applyFill="1" applyBorder="1" applyAlignment="1" applyProtection="1">
      <alignment horizontal="center"/>
      <protection/>
    </xf>
    <xf numFmtId="1" fontId="42" fillId="4" borderId="2" xfId="46" applyNumberFormat="1" applyFont="1" applyFill="1" applyBorder="1" applyAlignment="1" applyProtection="1">
      <alignment horizontal="center"/>
      <protection/>
    </xf>
    <xf numFmtId="2" fontId="72" fillId="10" borderId="2" xfId="46" applyNumberFormat="1" applyFont="1" applyFill="1" applyBorder="1" applyAlignment="1" applyProtection="1">
      <alignment horizontal="center"/>
      <protection/>
    </xf>
    <xf numFmtId="166" fontId="59" fillId="6" borderId="22" xfId="46" applyNumberFormat="1" applyFont="1" applyFill="1" applyBorder="1" applyAlignment="1" applyProtection="1" quotePrefix="1">
      <alignment horizontal="center"/>
      <protection/>
    </xf>
    <xf numFmtId="166" fontId="59" fillId="6" borderId="46" xfId="46" applyNumberFormat="1" applyFont="1" applyFill="1" applyBorder="1" applyAlignment="1" applyProtection="1" quotePrefix="1">
      <alignment horizontal="center"/>
      <protection/>
    </xf>
    <xf numFmtId="4" fontId="26" fillId="0" borderId="2" xfId="46" applyNumberFormat="1" applyFont="1" applyFill="1" applyBorder="1" applyAlignment="1">
      <alignment horizontal="right"/>
      <protection/>
    </xf>
    <xf numFmtId="22" fontId="4" fillId="0" borderId="2" xfId="46" applyNumberFormat="1" applyFont="1" applyFill="1" applyBorder="1" applyAlignment="1" applyProtection="1">
      <alignment horizontal="center"/>
      <protection/>
    </xf>
    <xf numFmtId="166" fontId="4" fillId="0" borderId="0" xfId="46" applyNumberFormat="1" applyFont="1" applyBorder="1" applyAlignment="1" applyProtection="1" quotePrefix="1">
      <alignment horizontal="center"/>
      <protection/>
    </xf>
    <xf numFmtId="164" fontId="4" fillId="0" borderId="0" xfId="46" applyNumberFormat="1" applyFont="1" applyFill="1" applyBorder="1" applyAlignment="1" applyProtection="1">
      <alignment horizontal="center"/>
      <protection/>
    </xf>
    <xf numFmtId="2" fontId="54" fillId="0" borderId="0" xfId="46" applyNumberFormat="1" applyFont="1" applyFill="1" applyBorder="1" applyAlignment="1">
      <alignment horizontal="center"/>
      <protection/>
    </xf>
    <xf numFmtId="166" fontId="6" fillId="0" borderId="0" xfId="46" applyNumberFormat="1" applyFont="1" applyFill="1" applyBorder="1" applyAlignment="1" applyProtection="1" quotePrefix="1">
      <alignment horizontal="center"/>
      <protection/>
    </xf>
    <xf numFmtId="8" fontId="26" fillId="0" borderId="14" xfId="47" applyNumberFormat="1" applyFont="1" applyFill="1" applyBorder="1" applyAlignment="1">
      <alignment horizontal="right"/>
    </xf>
    <xf numFmtId="0" fontId="24" fillId="0" borderId="14" xfId="46" applyFont="1" applyBorder="1" applyAlignment="1" applyProtection="1">
      <alignment horizontal="center" vertical="center" wrapText="1"/>
      <protection/>
    </xf>
    <xf numFmtId="0" fontId="24" fillId="0" borderId="14" xfId="46" applyFont="1" applyBorder="1" applyAlignment="1" applyProtection="1">
      <alignment horizontal="center" vertical="center"/>
      <protection/>
    </xf>
    <xf numFmtId="0" fontId="0" fillId="16" borderId="30" xfId="46" applyFill="1" applyBorder="1">
      <alignment/>
      <protection/>
    </xf>
    <xf numFmtId="0" fontId="45" fillId="8" borderId="14" xfId="46" applyFont="1" applyFill="1" applyBorder="1" applyAlignment="1">
      <alignment horizontal="center" vertical="center" wrapText="1"/>
      <protection/>
    </xf>
    <xf numFmtId="0" fontId="43" fillId="12" borderId="8" xfId="46" applyFont="1" applyFill="1" applyBorder="1" applyAlignment="1" applyProtection="1">
      <alignment horizontal="centerContinuous" vertical="center" wrapText="1"/>
      <protection/>
    </xf>
    <xf numFmtId="0" fontId="43" fillId="12" borderId="9" xfId="46" applyFont="1" applyFill="1" applyBorder="1" applyAlignment="1">
      <alignment horizontal="centerContinuous" vertical="center"/>
      <protection/>
    </xf>
    <xf numFmtId="0" fontId="46" fillId="6" borderId="14" xfId="46" applyFont="1" applyFill="1" applyBorder="1" applyAlignment="1">
      <alignment horizontal="center" vertical="center" wrapText="1"/>
      <protection/>
    </xf>
    <xf numFmtId="0" fontId="69" fillId="6" borderId="14" xfId="46" applyFont="1" applyFill="1" applyBorder="1" applyAlignment="1">
      <alignment horizontal="center" vertical="center" wrapText="1"/>
      <protection/>
    </xf>
    <xf numFmtId="0" fontId="45" fillId="0" borderId="14" xfId="46" applyFont="1" applyFill="1" applyBorder="1" applyAlignment="1">
      <alignment horizontal="center" vertical="center" wrapText="1"/>
      <protection/>
    </xf>
    <xf numFmtId="0" fontId="4" fillId="0" borderId="17" xfId="46" applyFont="1" applyFill="1" applyBorder="1" applyAlignment="1">
      <alignment horizontal="center"/>
      <protection/>
    </xf>
    <xf numFmtId="0" fontId="4" fillId="0" borderId="47" xfId="46" applyFont="1" applyBorder="1" applyAlignment="1">
      <alignment horizontal="center"/>
      <protection/>
    </xf>
    <xf numFmtId="0" fontId="33" fillId="2" borderId="45" xfId="46" applyFont="1" applyFill="1" applyBorder="1" applyAlignment="1">
      <alignment horizontal="center"/>
      <protection/>
    </xf>
    <xf numFmtId="0" fontId="0" fillId="16" borderId="45" xfId="46" applyFill="1" applyBorder="1">
      <alignment/>
      <protection/>
    </xf>
    <xf numFmtId="0" fontId="4" fillId="0" borderId="48" xfId="46" applyFont="1" applyBorder="1" applyAlignment="1">
      <alignment horizontal="center"/>
      <protection/>
    </xf>
    <xf numFmtId="0" fontId="4" fillId="0" borderId="45" xfId="46" applyFont="1" applyBorder="1" applyAlignment="1">
      <alignment horizontal="center"/>
      <protection/>
    </xf>
    <xf numFmtId="0" fontId="4" fillId="0" borderId="45" xfId="46" applyFont="1" applyBorder="1">
      <alignment/>
      <protection/>
    </xf>
    <xf numFmtId="0" fontId="33" fillId="2" borderId="0" xfId="46" applyFont="1" applyFill="1" applyBorder="1" applyAlignment="1">
      <alignment horizontal="center"/>
      <protection/>
    </xf>
    <xf numFmtId="0" fontId="76" fillId="8" borderId="30" xfId="46" applyFont="1" applyFill="1" applyBorder="1" applyAlignment="1">
      <alignment horizontal="center"/>
      <protection/>
    </xf>
    <xf numFmtId="0" fontId="44" fillId="12" borderId="34" xfId="46" applyFont="1" applyFill="1" applyBorder="1" applyAlignment="1">
      <alignment horizontal="center"/>
      <protection/>
    </xf>
    <xf numFmtId="0" fontId="44" fillId="12" borderId="35" xfId="46" applyFont="1" applyFill="1" applyBorder="1" applyAlignment="1">
      <alignment horizontal="center"/>
      <protection/>
    </xf>
    <xf numFmtId="0" fontId="47" fillId="6" borderId="30" xfId="46" applyFont="1" applyFill="1" applyBorder="1" applyAlignment="1">
      <alignment horizontal="center"/>
      <protection/>
    </xf>
    <xf numFmtId="0" fontId="4" fillId="0" borderId="30" xfId="46" applyFont="1" applyBorder="1" applyAlignment="1">
      <alignment horizontal="center"/>
      <protection/>
    </xf>
    <xf numFmtId="7" fontId="26" fillId="0" borderId="30" xfId="46" applyNumberFormat="1" applyFont="1" applyFill="1" applyBorder="1" applyAlignment="1">
      <alignment horizontal="center"/>
      <protection/>
    </xf>
    <xf numFmtId="0" fontId="4" fillId="0" borderId="49" xfId="46" applyFont="1" applyBorder="1" applyAlignment="1" applyProtection="1">
      <alignment horizontal="center"/>
      <protection locked="0"/>
    </xf>
    <xf numFmtId="169" fontId="33" fillId="2" borderId="19" xfId="46" applyNumberFormat="1" applyFont="1" applyFill="1" applyBorder="1" applyAlignment="1" applyProtection="1">
      <alignment horizontal="center"/>
      <protection/>
    </xf>
    <xf numFmtId="0" fontId="0" fillId="16" borderId="19" xfId="46" applyFill="1" applyBorder="1">
      <alignment/>
      <protection/>
    </xf>
    <xf numFmtId="22" fontId="4" fillId="0" borderId="37" xfId="46" applyNumberFormat="1" applyFont="1" applyBorder="1" applyAlignment="1" applyProtection="1">
      <alignment horizontal="center"/>
      <protection locked="0"/>
    </xf>
    <xf numFmtId="22" fontId="4" fillId="0" borderId="49" xfId="46" applyNumberFormat="1" applyFont="1" applyBorder="1" applyAlignment="1" applyProtection="1">
      <alignment horizontal="center"/>
      <protection locked="0"/>
    </xf>
    <xf numFmtId="2" fontId="4" fillId="0" borderId="19" xfId="46" applyNumberFormat="1" applyFont="1" applyFill="1" applyBorder="1" applyAlignment="1" applyProtection="1" quotePrefix="1">
      <alignment horizontal="center"/>
      <protection/>
    </xf>
    <xf numFmtId="164" fontId="4" fillId="0" borderId="19" xfId="46" applyNumberFormat="1" applyFont="1" applyFill="1" applyBorder="1" applyAlignment="1" applyProtection="1" quotePrefix="1">
      <alignment horizontal="center"/>
      <protection/>
    </xf>
    <xf numFmtId="166" fontId="4" fillId="0" borderId="36" xfId="46" applyNumberFormat="1" applyFont="1" applyBorder="1" applyAlignment="1" applyProtection="1">
      <alignment horizontal="center"/>
      <protection locked="0"/>
    </xf>
    <xf numFmtId="168" fontId="4" fillId="0" borderId="36" xfId="46" applyNumberFormat="1" applyFont="1" applyBorder="1" applyAlignment="1" applyProtection="1" quotePrefix="1">
      <alignment horizontal="center"/>
      <protection/>
    </xf>
    <xf numFmtId="164" fontId="33" fillId="2" borderId="24" xfId="46" applyNumberFormat="1" applyFont="1" applyFill="1" applyBorder="1" applyAlignment="1" applyProtection="1">
      <alignment horizontal="center"/>
      <protection/>
    </xf>
    <xf numFmtId="2" fontId="76" fillId="8" borderId="19" xfId="46" applyNumberFormat="1" applyFont="1" applyFill="1" applyBorder="1" applyAlignment="1" applyProtection="1">
      <alignment horizontal="center"/>
      <protection/>
    </xf>
    <xf numFmtId="166" fontId="44" fillId="12" borderId="37" xfId="46" applyNumberFormat="1" applyFont="1" applyFill="1" applyBorder="1" applyAlignment="1" applyProtection="1" quotePrefix="1">
      <alignment horizontal="center"/>
      <protection/>
    </xf>
    <xf numFmtId="166" fontId="44" fillId="12" borderId="38" xfId="46" applyNumberFormat="1" applyFont="1" applyFill="1" applyBorder="1" applyAlignment="1" applyProtection="1" quotePrefix="1">
      <alignment horizontal="center"/>
      <protection/>
    </xf>
    <xf numFmtId="166" fontId="47" fillId="6" borderId="19" xfId="46" applyNumberFormat="1" applyFont="1" applyFill="1" applyBorder="1" applyAlignment="1" applyProtection="1" quotePrefix="1">
      <alignment horizontal="center"/>
      <protection/>
    </xf>
    <xf numFmtId="0" fontId="0" fillId="0" borderId="24" xfId="46" applyBorder="1">
      <alignment/>
      <protection/>
    </xf>
    <xf numFmtId="166" fontId="42" fillId="16" borderId="24" xfId="46" applyNumberFormat="1" applyFont="1" applyFill="1" applyBorder="1" applyAlignment="1" applyProtection="1" quotePrefix="1">
      <alignment horizontal="center"/>
      <protection/>
    </xf>
    <xf numFmtId="166" fontId="4" fillId="0" borderId="19" xfId="46" applyNumberFormat="1" applyFont="1" applyBorder="1" applyAlignment="1" applyProtection="1">
      <alignment horizontal="center"/>
      <protection/>
    </xf>
    <xf numFmtId="4" fontId="26" fillId="0" borderId="19" xfId="46" applyNumberFormat="1" applyFont="1" applyFill="1" applyBorder="1" applyAlignment="1">
      <alignment horizontal="right"/>
      <protection/>
    </xf>
    <xf numFmtId="0" fontId="0" fillId="16" borderId="39" xfId="46" applyFill="1" applyBorder="1">
      <alignment/>
      <protection/>
    </xf>
    <xf numFmtId="0" fontId="0" fillId="0" borderId="76" xfId="46" applyBorder="1">
      <alignment/>
      <protection/>
    </xf>
    <xf numFmtId="166" fontId="42" fillId="16" borderId="76" xfId="46" applyNumberFormat="1" applyFont="1" applyFill="1" applyBorder="1" applyAlignment="1" applyProtection="1" quotePrefix="1">
      <alignment horizontal="center"/>
      <protection/>
    </xf>
    <xf numFmtId="0" fontId="9" fillId="0" borderId="18" xfId="46" applyFont="1" applyBorder="1" applyAlignment="1" applyProtection="1">
      <alignment horizontal="center"/>
      <protection locked="0"/>
    </xf>
    <xf numFmtId="0" fontId="4" fillId="0" borderId="18" xfId="46" applyFont="1" applyBorder="1" applyAlignment="1" applyProtection="1">
      <alignment horizontal="center"/>
      <protection locked="0"/>
    </xf>
    <xf numFmtId="169" fontId="33" fillId="2" borderId="3" xfId="46" applyNumberFormat="1" applyFont="1" applyFill="1" applyBorder="1" applyAlignment="1" applyProtection="1">
      <alignment horizontal="center"/>
      <protection/>
    </xf>
    <xf numFmtId="0" fontId="0" fillId="16" borderId="3" xfId="46" applyFill="1" applyBorder="1">
      <alignment/>
      <protection/>
    </xf>
    <xf numFmtId="22" fontId="4" fillId="0" borderId="25" xfId="46" applyNumberFormat="1" applyFont="1" applyBorder="1" applyAlignment="1" applyProtection="1">
      <alignment horizontal="center"/>
      <protection locked="0"/>
    </xf>
    <xf numFmtId="22" fontId="4" fillId="0" borderId="18" xfId="46" applyNumberFormat="1" applyFont="1" applyBorder="1" applyAlignment="1" applyProtection="1">
      <alignment horizontal="center"/>
      <protection locked="0"/>
    </xf>
    <xf numFmtId="2" fontId="4" fillId="0" borderId="3" xfId="46" applyNumberFormat="1" applyFont="1" applyFill="1" applyBorder="1" applyAlignment="1" applyProtection="1" quotePrefix="1">
      <alignment horizontal="center"/>
      <protection/>
    </xf>
    <xf numFmtId="164" fontId="4" fillId="0" borderId="3" xfId="46" applyNumberFormat="1" applyFont="1" applyFill="1" applyBorder="1" applyAlignment="1" applyProtection="1" quotePrefix="1">
      <alignment horizontal="center"/>
      <protection/>
    </xf>
    <xf numFmtId="166" fontId="4" fillId="0" borderId="20" xfId="46" applyNumberFormat="1" applyFont="1" applyBorder="1" applyAlignment="1" applyProtection="1">
      <alignment horizontal="center"/>
      <protection locked="0"/>
    </xf>
    <xf numFmtId="168" fontId="4" fillId="0" borderId="20" xfId="46" applyNumberFormat="1" applyFont="1" applyBorder="1" applyAlignment="1" applyProtection="1" quotePrefix="1">
      <alignment horizontal="center"/>
      <protection/>
    </xf>
    <xf numFmtId="164" fontId="33" fillId="2" borderId="52" xfId="46" applyNumberFormat="1" applyFont="1" applyFill="1" applyBorder="1" applyAlignment="1" applyProtection="1">
      <alignment horizontal="center"/>
      <protection/>
    </xf>
    <xf numFmtId="2" fontId="76" fillId="8" borderId="3" xfId="46" applyNumberFormat="1" applyFont="1" applyFill="1" applyBorder="1" applyAlignment="1" applyProtection="1">
      <alignment horizontal="center"/>
      <protection/>
    </xf>
    <xf numFmtId="166" fontId="44" fillId="12" borderId="40" xfId="46" applyNumberFormat="1" applyFont="1" applyFill="1" applyBorder="1" applyAlignment="1" applyProtection="1" quotePrefix="1">
      <alignment horizontal="center"/>
      <protection/>
    </xf>
    <xf numFmtId="166" fontId="44" fillId="12" borderId="41" xfId="46" applyNumberFormat="1" applyFont="1" applyFill="1" applyBorder="1" applyAlignment="1" applyProtection="1" quotePrefix="1">
      <alignment horizontal="center"/>
      <protection/>
    </xf>
    <xf numFmtId="166" fontId="47" fillId="6" borderId="39" xfId="46" applyNumberFormat="1" applyFont="1" applyFill="1" applyBorder="1" applyAlignment="1" applyProtection="1" quotePrefix="1">
      <alignment horizontal="center"/>
      <protection/>
    </xf>
    <xf numFmtId="0" fontId="0" fillId="0" borderId="52" xfId="46" applyBorder="1">
      <alignment/>
      <protection/>
    </xf>
    <xf numFmtId="4" fontId="26" fillId="0" borderId="3" xfId="46" applyNumberFormat="1" applyFont="1" applyFill="1" applyBorder="1" applyAlignment="1">
      <alignment horizontal="right"/>
      <protection/>
    </xf>
    <xf numFmtId="166" fontId="4" fillId="0" borderId="0" xfId="46" applyNumberFormat="1" applyFont="1" applyBorder="1" applyAlignment="1" applyProtection="1" quotePrefix="1">
      <alignment horizontal="centerContinuous"/>
      <protection/>
    </xf>
    <xf numFmtId="4" fontId="26" fillId="0" borderId="0" xfId="46" applyNumberFormat="1" applyFont="1" applyFill="1" applyBorder="1" applyAlignment="1">
      <alignment horizontal="right"/>
      <protection/>
    </xf>
    <xf numFmtId="2" fontId="50" fillId="0" borderId="0" xfId="46" applyNumberFormat="1" applyFont="1" applyBorder="1" applyAlignment="1" applyProtection="1">
      <alignment horizontal="left"/>
      <protection/>
    </xf>
    <xf numFmtId="166" fontId="50" fillId="0" borderId="0" xfId="46" applyNumberFormat="1" applyFont="1" applyBorder="1" applyAlignment="1" applyProtection="1">
      <alignment horizontal="center"/>
      <protection/>
    </xf>
    <xf numFmtId="0" fontId="50" fillId="0" borderId="0" xfId="46" applyFont="1" applyBorder="1" applyAlignment="1" applyProtection="1">
      <alignment horizontal="center"/>
      <protection/>
    </xf>
    <xf numFmtId="165" fontId="50" fillId="0" borderId="0" xfId="46" applyNumberFormat="1" applyFont="1" applyBorder="1" applyAlignment="1" applyProtection="1">
      <alignment horizontal="center"/>
      <protection/>
    </xf>
    <xf numFmtId="0" fontId="55" fillId="0" borderId="0" xfId="46" applyFont="1">
      <alignment/>
      <protection/>
    </xf>
    <xf numFmtId="168" fontId="50" fillId="0" borderId="0" xfId="46" applyNumberFormat="1" applyFont="1" applyBorder="1" applyAlignment="1" applyProtection="1" quotePrefix="1">
      <alignment horizontal="center"/>
      <protection/>
    </xf>
    <xf numFmtId="0" fontId="50" fillId="0" borderId="0" xfId="46" applyFont="1">
      <alignment/>
      <protection/>
    </xf>
    <xf numFmtId="2" fontId="50" fillId="0" borderId="0" xfId="46" applyNumberFormat="1" applyFont="1" applyBorder="1" applyAlignment="1" applyProtection="1">
      <alignment horizontal="center"/>
      <protection/>
    </xf>
    <xf numFmtId="166" fontId="50" fillId="0" borderId="0" xfId="46" applyNumberFormat="1" applyFont="1" applyBorder="1" applyAlignment="1" applyProtection="1" quotePrefix="1">
      <alignment horizontal="center"/>
      <protection/>
    </xf>
    <xf numFmtId="4" fontId="19" fillId="0" borderId="1" xfId="46" applyNumberFormat="1" applyFont="1" applyFill="1" applyBorder="1" applyAlignment="1">
      <alignment horizontal="center"/>
      <protection/>
    </xf>
    <xf numFmtId="0" fontId="10" fillId="0" borderId="0" xfId="46" applyFont="1" applyBorder="1" applyAlignment="1">
      <alignment horizontal="center"/>
      <protection/>
    </xf>
    <xf numFmtId="2" fontId="91" fillId="0" borderId="0" xfId="46" applyNumberFormat="1" applyFont="1" applyBorder="1" applyAlignment="1" applyProtection="1">
      <alignment horizontal="left"/>
      <protection/>
    </xf>
    <xf numFmtId="0" fontId="19" fillId="0" borderId="0" xfId="46" applyFont="1" applyAlignment="1">
      <alignment horizontal="centerContinuous"/>
      <protection/>
    </xf>
    <xf numFmtId="1" fontId="19" fillId="0" borderId="0" xfId="46" applyNumberFormat="1" applyFont="1" applyBorder="1" applyAlignment="1" applyProtection="1">
      <alignment horizontal="center"/>
      <protection/>
    </xf>
    <xf numFmtId="172" fontId="19" fillId="0" borderId="0" xfId="46" applyNumberFormat="1" applyFont="1" applyBorder="1" applyAlignment="1" applyProtection="1">
      <alignment horizontal="centerContinuous"/>
      <protection/>
    </xf>
    <xf numFmtId="166" fontId="19" fillId="0" borderId="0" xfId="46" applyNumberFormat="1" applyFont="1" applyBorder="1" applyAlignment="1" applyProtection="1">
      <alignment horizontal="centerContinuous"/>
      <protection/>
    </xf>
    <xf numFmtId="166" fontId="50" fillId="0" borderId="0" xfId="46" applyNumberFormat="1" applyFont="1" applyBorder="1" applyAlignment="1" applyProtection="1" quotePrefix="1">
      <alignment horizontal="left"/>
      <protection/>
    </xf>
    <xf numFmtId="166" fontId="50" fillId="0" borderId="0" xfId="46" applyNumberFormat="1" applyFont="1" applyBorder="1" applyAlignment="1" applyProtection="1" quotePrefix="1">
      <alignment horizontal="right"/>
      <protection/>
    </xf>
    <xf numFmtId="4" fontId="88" fillId="0" borderId="0" xfId="46" applyNumberFormat="1" applyFont="1" applyBorder="1" applyAlignment="1" applyProtection="1">
      <alignment horizontal="center"/>
      <protection/>
    </xf>
    <xf numFmtId="7" fontId="19" fillId="0" borderId="0" xfId="46" applyNumberFormat="1" applyFont="1" applyBorder="1" applyAlignment="1">
      <alignment horizontal="centerContinuous"/>
      <protection/>
    </xf>
    <xf numFmtId="168" fontId="10" fillId="0" borderId="0" xfId="46" applyNumberFormat="1" applyFont="1" applyBorder="1" applyAlignment="1" applyProtection="1">
      <alignment horizontal="left"/>
      <protection/>
    </xf>
    <xf numFmtId="2" fontId="92" fillId="0" borderId="0" xfId="46" applyNumberFormat="1" applyFont="1" applyBorder="1" applyAlignment="1" applyProtection="1">
      <alignment horizontal="center"/>
      <protection/>
    </xf>
    <xf numFmtId="166" fontId="10" fillId="0" borderId="0" xfId="46" applyNumberFormat="1" applyFont="1" applyBorder="1" applyAlignment="1" applyProtection="1">
      <alignment horizontal="left"/>
      <protection/>
    </xf>
    <xf numFmtId="166" fontId="88" fillId="0" borderId="0" xfId="46" applyNumberFormat="1" applyFont="1" applyBorder="1" applyAlignment="1" applyProtection="1" quotePrefix="1">
      <alignment horizontal="center"/>
      <protection/>
    </xf>
    <xf numFmtId="172" fontId="50" fillId="0" borderId="0" xfId="46" applyNumberFormat="1" applyFont="1" applyBorder="1" applyAlignment="1" applyProtection="1">
      <alignment horizontal="centerContinuous"/>
      <protection/>
    </xf>
    <xf numFmtId="4" fontId="50" fillId="0" borderId="0" xfId="46" applyNumberFormat="1" applyFont="1" applyBorder="1" applyAlignment="1" applyProtection="1">
      <alignment horizontal="center"/>
      <protection/>
    </xf>
    <xf numFmtId="7" fontId="50" fillId="0" borderId="0" xfId="46" applyNumberFormat="1" applyFont="1" applyFill="1" applyBorder="1" applyAlignment="1">
      <alignment horizontal="center"/>
      <protection/>
    </xf>
    <xf numFmtId="7" fontId="50" fillId="0" borderId="50" xfId="46" applyNumberFormat="1" applyFont="1" applyFill="1" applyBorder="1" applyAlignment="1">
      <alignment horizontal="center"/>
      <protection/>
    </xf>
    <xf numFmtId="7" fontId="19" fillId="0" borderId="0" xfId="46" applyNumberFormat="1" applyFont="1" applyBorder="1" applyAlignment="1">
      <alignment horizontal="right"/>
      <protection/>
    </xf>
    <xf numFmtId="0" fontId="115" fillId="0" borderId="8" xfId="46" applyFont="1" applyBorder="1" applyAlignment="1">
      <alignment horizontal="center"/>
      <protection/>
    </xf>
    <xf numFmtId="7" fontId="10" fillId="0" borderId="9" xfId="46" applyNumberFormat="1" applyFont="1" applyBorder="1" applyAlignment="1">
      <alignment horizontal="center"/>
      <protection/>
    </xf>
    <xf numFmtId="10" fontId="19" fillId="0" borderId="0" xfId="46" applyNumberFormat="1" applyFont="1" applyBorder="1" applyAlignment="1" applyProtection="1">
      <alignment horizontal="center"/>
      <protection/>
    </xf>
    <xf numFmtId="166" fontId="3" fillId="0" borderId="0" xfId="46" applyNumberFormat="1" applyFont="1" applyBorder="1" applyAlignment="1" applyProtection="1">
      <alignment horizontal="left"/>
      <protection/>
    </xf>
    <xf numFmtId="7" fontId="19" fillId="0" borderId="0" xfId="46" applyNumberFormat="1" applyFont="1" applyAlignment="1">
      <alignment horizontal="right"/>
      <protection/>
    </xf>
    <xf numFmtId="0" fontId="19" fillId="0" borderId="0" xfId="46" applyFont="1" quotePrefix="1">
      <alignment/>
      <protection/>
    </xf>
    <xf numFmtId="166" fontId="19" fillId="0" borderId="0" xfId="46" applyNumberFormat="1" applyFont="1" applyBorder="1" applyAlignment="1" applyProtection="1" quotePrefix="1">
      <alignment horizontal="center"/>
      <protection/>
    </xf>
    <xf numFmtId="7" fontId="19" fillId="0" borderId="0" xfId="46" applyNumberFormat="1" applyFont="1" applyBorder="1" applyAlignment="1" applyProtection="1">
      <alignment horizontal="left"/>
      <protection/>
    </xf>
    <xf numFmtId="0" fontId="55" fillId="0" borderId="0" xfId="46" applyFont="1" quotePrefix="1">
      <alignment/>
      <protection/>
    </xf>
    <xf numFmtId="0" fontId="27" fillId="0" borderId="0" xfId="46" applyFont="1" applyAlignment="1">
      <alignment vertical="center"/>
      <protection/>
    </xf>
    <xf numFmtId="0" fontId="20" fillId="0" borderId="7" xfId="46" applyFont="1" applyBorder="1" applyAlignment="1">
      <alignment vertical="center"/>
      <protection/>
    </xf>
    <xf numFmtId="0" fontId="20" fillId="0" borderId="0" xfId="46" applyFont="1" applyBorder="1" applyAlignment="1">
      <alignment horizontal="center" vertical="center"/>
      <protection/>
    </xf>
    <xf numFmtId="166" fontId="20" fillId="0" borderId="0" xfId="46" applyNumberFormat="1" applyFont="1" applyBorder="1" applyAlignment="1" applyProtection="1">
      <alignment horizontal="left" vertical="center"/>
      <protection/>
    </xf>
    <xf numFmtId="0" fontId="27" fillId="0" borderId="0" xfId="46" applyFont="1" applyAlignment="1" quotePrefix="1">
      <alignment vertical="center"/>
      <protection/>
    </xf>
    <xf numFmtId="0" fontId="20" fillId="0" borderId="0" xfId="46" applyFont="1" applyBorder="1" applyAlignment="1" applyProtection="1">
      <alignment horizontal="center" vertical="center"/>
      <protection/>
    </xf>
    <xf numFmtId="165" fontId="20" fillId="0" borderId="0" xfId="46" applyNumberFormat="1" applyFont="1" applyBorder="1" applyAlignment="1" applyProtection="1">
      <alignment horizontal="center" vertical="center"/>
      <protection/>
    </xf>
    <xf numFmtId="4" fontId="22" fillId="0" borderId="8" xfId="46" applyNumberFormat="1" applyFont="1" applyBorder="1" applyAlignment="1" applyProtection="1">
      <alignment horizontal="center" vertical="center"/>
      <protection/>
    </xf>
    <xf numFmtId="7" fontId="93" fillId="0" borderId="9" xfId="46" applyNumberFormat="1" applyFont="1" applyFill="1" applyBorder="1" applyAlignment="1">
      <alignment horizontal="center" vertical="center"/>
      <protection/>
    </xf>
    <xf numFmtId="0" fontId="99" fillId="0" borderId="0" xfId="46" applyFont="1" applyBorder="1">
      <alignment/>
      <protection/>
    </xf>
    <xf numFmtId="166" fontId="20" fillId="0" borderId="0" xfId="46" applyNumberFormat="1" applyFont="1" applyBorder="1" applyAlignment="1" applyProtection="1">
      <alignment horizontal="center" vertical="center"/>
      <protection/>
    </xf>
    <xf numFmtId="2" fontId="94" fillId="0" borderId="0" xfId="46" applyNumberFormat="1" applyFont="1" applyBorder="1" applyAlignment="1" applyProtection="1">
      <alignment horizontal="center" vertical="center"/>
      <protection/>
    </xf>
    <xf numFmtId="166" fontId="95" fillId="0" borderId="0" xfId="46" applyNumberFormat="1" applyFont="1" applyBorder="1" applyAlignment="1" applyProtection="1" quotePrefix="1">
      <alignment horizontal="center" vertical="center"/>
      <protection/>
    </xf>
    <xf numFmtId="4" fontId="20" fillId="0" borderId="1" xfId="46" applyNumberFormat="1" applyFont="1" applyFill="1" applyBorder="1" applyAlignment="1">
      <alignment horizontal="center" vertical="center"/>
      <protection/>
    </xf>
    <xf numFmtId="0" fontId="19" fillId="0" borderId="10" xfId="46" applyFont="1" applyBorder="1">
      <alignment/>
      <protection/>
    </xf>
    <xf numFmtId="0" fontId="19" fillId="0" borderId="11" xfId="46" applyFont="1" applyBorder="1">
      <alignment/>
      <protection/>
    </xf>
    <xf numFmtId="0" fontId="0" fillId="0" borderId="11" xfId="46" applyBorder="1">
      <alignment/>
      <protection/>
    </xf>
    <xf numFmtId="0" fontId="19" fillId="0" borderId="12" xfId="46" applyFont="1" applyFill="1" applyBorder="1">
      <alignment/>
      <protection/>
    </xf>
    <xf numFmtId="0" fontId="4" fillId="0" borderId="0" xfId="46" applyFont="1" applyBorder="1" applyAlignment="1">
      <alignment horizontal="left"/>
      <protection/>
    </xf>
    <xf numFmtId="2" fontId="86" fillId="0" borderId="52" xfId="46" applyNumberFormat="1" applyFont="1" applyFill="1" applyBorder="1" applyAlignment="1" applyProtection="1">
      <alignment horizontal="center"/>
      <protection/>
    </xf>
    <xf numFmtId="2" fontId="74" fillId="0" borderId="52" xfId="46" applyNumberFormat="1" applyFont="1" applyFill="1" applyBorder="1" applyAlignment="1" applyProtection="1">
      <alignment horizontal="center"/>
      <protection/>
    </xf>
    <xf numFmtId="2" fontId="89" fillId="0" borderId="52" xfId="46" applyNumberFormat="1" applyFont="1" applyFill="1" applyBorder="1" applyAlignment="1" applyProtection="1">
      <alignment horizontal="center"/>
      <protection/>
    </xf>
    <xf numFmtId="4" fontId="22" fillId="0" borderId="0" xfId="0" applyNumberFormat="1" applyFont="1" applyBorder="1" applyAlignment="1" applyProtection="1">
      <alignment horizontal="center" vertical="center"/>
      <protection/>
    </xf>
    <xf numFmtId="7" fontId="93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 applyProtection="1">
      <alignment horizontal="center" vertical="center"/>
      <protection/>
    </xf>
    <xf numFmtId="169" fontId="9" fillId="0" borderId="21" xfId="0" applyNumberFormat="1" applyFont="1" applyBorder="1" applyAlignment="1" applyProtection="1">
      <alignment horizontal="center"/>
      <protection locked="0"/>
    </xf>
    <xf numFmtId="0" fontId="0" fillId="0" borderId="0" xfId="26" applyFont="1" applyBorder="1" applyAlignment="1">
      <alignment horizontal="center" vertical="center"/>
      <protection/>
    </xf>
    <xf numFmtId="164" fontId="4" fillId="0" borderId="49" xfId="46" applyNumberFormat="1" applyFont="1" applyBorder="1" applyAlignment="1" applyProtection="1">
      <alignment horizontal="center"/>
      <protection/>
    </xf>
    <xf numFmtId="164" fontId="4" fillId="0" borderId="36" xfId="46" applyNumberFormat="1" applyFont="1" applyBorder="1" applyAlignment="1" applyProtection="1">
      <alignment horizontal="center"/>
      <protection/>
    </xf>
    <xf numFmtId="166" fontId="4" fillId="0" borderId="49" xfId="46" applyNumberFormat="1" applyFont="1" applyBorder="1" applyAlignment="1" applyProtection="1" quotePrefix="1">
      <alignment horizontal="center"/>
      <protection/>
    </xf>
    <xf numFmtId="166" fontId="4" fillId="0" borderId="24" xfId="46" applyNumberFormat="1" applyFont="1" applyBorder="1" applyAlignment="1" applyProtection="1" quotePrefix="1">
      <alignment horizontal="center"/>
      <protection/>
    </xf>
    <xf numFmtId="166" fontId="4" fillId="0" borderId="36" xfId="46" applyNumberFormat="1" applyFont="1" applyBorder="1" applyAlignment="1" applyProtection="1" quotePrefix="1">
      <alignment horizontal="center"/>
      <protection/>
    </xf>
    <xf numFmtId="164" fontId="4" fillId="0" borderId="61" xfId="46" applyNumberFormat="1" applyFont="1" applyBorder="1" applyAlignment="1" applyProtection="1">
      <alignment horizontal="center"/>
      <protection/>
    </xf>
    <xf numFmtId="164" fontId="4" fillId="0" borderId="64" xfId="46" applyNumberFormat="1" applyFont="1" applyBorder="1" applyAlignment="1" applyProtection="1">
      <alignment horizontal="center"/>
      <protection/>
    </xf>
    <xf numFmtId="166" fontId="4" fillId="0" borderId="61" xfId="46" applyNumberFormat="1" applyFont="1" applyBorder="1" applyAlignment="1" applyProtection="1">
      <alignment horizontal="center"/>
      <protection/>
    </xf>
    <xf numFmtId="166" fontId="4" fillId="0" borderId="59" xfId="46" applyNumberFormat="1" applyFont="1" applyBorder="1" applyAlignment="1" applyProtection="1">
      <alignment horizontal="center"/>
      <protection/>
    </xf>
    <xf numFmtId="166" fontId="4" fillId="0" borderId="64" xfId="46" applyNumberFormat="1" applyFont="1" applyBorder="1" applyAlignment="1" applyProtection="1">
      <alignment horizontal="center"/>
      <protection/>
    </xf>
    <xf numFmtId="0" fontId="19" fillId="0" borderId="0" xfId="46" applyFont="1" applyBorder="1" applyAlignment="1" applyProtection="1">
      <alignment horizontal="center"/>
      <protection/>
    </xf>
    <xf numFmtId="0" fontId="24" fillId="0" borderId="8" xfId="46" applyFont="1" applyFill="1" applyBorder="1" applyAlignment="1" applyProtection="1" quotePrefix="1">
      <alignment horizontal="center" vertical="center" wrapText="1"/>
      <protection/>
    </xf>
    <xf numFmtId="0" fontId="24" fillId="0" borderId="9" xfId="46" applyFont="1" applyFill="1" applyBorder="1" applyAlignment="1" applyProtection="1" quotePrefix="1">
      <alignment horizontal="center" vertical="center" wrapText="1"/>
      <protection/>
    </xf>
    <xf numFmtId="0" fontId="24" fillId="0" borderId="8" xfId="46" applyFont="1" applyFill="1" applyBorder="1" applyAlignment="1" applyProtection="1">
      <alignment horizontal="center" vertical="center"/>
      <protection/>
    </xf>
    <xf numFmtId="0" fontId="24" fillId="0" borderId="15" xfId="46" applyFont="1" applyFill="1" applyBorder="1" applyAlignment="1" applyProtection="1">
      <alignment horizontal="center" vertical="center"/>
      <protection/>
    </xf>
    <xf numFmtId="0" fontId="24" fillId="0" borderId="9" xfId="46" applyFont="1" applyFill="1" applyBorder="1" applyAlignment="1" applyProtection="1">
      <alignment horizontal="center" vertical="center"/>
      <protection/>
    </xf>
    <xf numFmtId="0" fontId="4" fillId="0" borderId="54" xfId="46" applyFont="1" applyFill="1" applyBorder="1" applyAlignment="1">
      <alignment horizontal="center"/>
      <protection/>
    </xf>
    <xf numFmtId="0" fontId="4" fillId="0" borderId="56" xfId="46" applyFont="1" applyFill="1" applyBorder="1" applyAlignment="1">
      <alignment horizontal="center"/>
      <protection/>
    </xf>
    <xf numFmtId="0" fontId="4" fillId="0" borderId="75" xfId="46" applyFont="1" applyFill="1" applyBorder="1" applyAlignment="1">
      <alignment horizontal="center"/>
      <protection/>
    </xf>
    <xf numFmtId="166" fontId="116" fillId="0" borderId="0" xfId="46" applyNumberFormat="1" applyFont="1" applyBorder="1" applyAlignment="1" applyProtection="1">
      <alignment horizontal="left" vertical="center"/>
      <protection/>
    </xf>
    <xf numFmtId="0" fontId="24" fillId="0" borderId="8" xfId="46" applyFont="1" applyBorder="1" applyAlignment="1" applyProtection="1" quotePrefix="1">
      <alignment horizontal="center" vertical="center" wrapText="1"/>
      <protection/>
    </xf>
    <xf numFmtId="0" fontId="24" fillId="0" borderId="9" xfId="46" applyFont="1" applyBorder="1" applyAlignment="1" applyProtection="1" quotePrefix="1">
      <alignment horizontal="center" vertical="center" wrapText="1"/>
      <protection/>
    </xf>
    <xf numFmtId="0" fontId="24" fillId="0" borderId="8" xfId="46" applyFont="1" applyBorder="1" applyAlignment="1" applyProtection="1">
      <alignment horizontal="center" vertical="center"/>
      <protection/>
    </xf>
    <xf numFmtId="0" fontId="24" fillId="0" borderId="9" xfId="46" applyFont="1" applyBorder="1" applyAlignment="1" applyProtection="1">
      <alignment horizontal="center" vertical="center"/>
      <protection/>
    </xf>
    <xf numFmtId="0" fontId="4" fillId="0" borderId="58" xfId="46" applyFont="1" applyBorder="1" applyAlignment="1">
      <alignment horizontal="center"/>
      <protection/>
    </xf>
    <xf numFmtId="0" fontId="4" fillId="0" borderId="31" xfId="46" applyFont="1" applyBorder="1" applyAlignment="1">
      <alignment horizontal="center"/>
      <protection/>
    </xf>
    <xf numFmtId="0" fontId="4" fillId="0" borderId="49" xfId="46" applyFont="1" applyBorder="1" applyAlignment="1" applyProtection="1">
      <alignment horizontal="center"/>
      <protection locked="0"/>
    </xf>
    <xf numFmtId="0" fontId="4" fillId="0" borderId="36" xfId="46" applyFont="1" applyBorder="1" applyAlignment="1" applyProtection="1">
      <alignment horizontal="center"/>
      <protection locked="0"/>
    </xf>
    <xf numFmtId="166" fontId="4" fillId="0" borderId="49" xfId="46" applyNumberFormat="1" applyFont="1" applyBorder="1" applyAlignment="1" applyProtection="1">
      <alignment horizontal="center"/>
      <protection/>
    </xf>
    <xf numFmtId="166" fontId="4" fillId="0" borderId="36" xfId="46" applyNumberFormat="1" applyFont="1" applyBorder="1" applyAlignment="1" applyProtection="1">
      <alignment horizontal="center"/>
      <protection/>
    </xf>
    <xf numFmtId="0" fontId="4" fillId="0" borderId="61" xfId="46" applyFont="1" applyBorder="1" applyAlignment="1" applyProtection="1">
      <alignment horizontal="center"/>
      <protection locked="0"/>
    </xf>
    <xf numFmtId="0" fontId="4" fillId="0" borderId="64" xfId="46" applyFont="1" applyBorder="1" applyAlignment="1" applyProtection="1">
      <alignment horizontal="center"/>
      <protection locked="0"/>
    </xf>
    <xf numFmtId="1" fontId="19" fillId="0" borderId="0" xfId="46" applyNumberFormat="1" applyFont="1" applyBorder="1" applyAlignment="1" applyProtection="1">
      <alignment horizontal="center"/>
      <protection/>
    </xf>
    <xf numFmtId="0" fontId="9" fillId="0" borderId="61" xfId="34" applyFont="1" applyBorder="1" applyAlignment="1" applyProtection="1">
      <alignment horizontal="center"/>
      <protection locked="0"/>
    </xf>
    <xf numFmtId="0" fontId="9" fillId="0" borderId="64" xfId="34" applyFont="1" applyBorder="1" applyAlignment="1" applyProtection="1">
      <alignment horizontal="center"/>
      <protection locked="0"/>
    </xf>
    <xf numFmtId="166" fontId="4" fillId="0" borderId="61" xfId="34" applyNumberFormat="1" applyFont="1" applyBorder="1" applyAlignment="1" applyProtection="1">
      <alignment horizontal="center"/>
      <protection/>
    </xf>
    <xf numFmtId="166" fontId="4" fillId="0" borderId="64" xfId="34" applyNumberFormat="1" applyFont="1" applyBorder="1" applyAlignment="1" applyProtection="1">
      <alignment horizontal="center"/>
      <protection/>
    </xf>
    <xf numFmtId="7" fontId="112" fillId="0" borderId="0" xfId="38" applyNumberFormat="1" applyFont="1" applyFill="1" applyBorder="1" applyAlignment="1">
      <alignment horizontal="center"/>
      <protection/>
    </xf>
    <xf numFmtId="7" fontId="112" fillId="0" borderId="50" xfId="38" applyNumberFormat="1" applyFont="1" applyFill="1" applyBorder="1" applyAlignment="1">
      <alignment horizontal="center"/>
      <protection/>
    </xf>
    <xf numFmtId="7" fontId="19" fillId="0" borderId="76" xfId="38" applyNumberFormat="1" applyFont="1" applyFill="1" applyBorder="1" applyAlignment="1">
      <alignment horizontal="center"/>
      <protection/>
    </xf>
    <xf numFmtId="0" fontId="9" fillId="0" borderId="49" xfId="34" applyFont="1" applyBorder="1" applyAlignment="1" applyProtection="1">
      <alignment horizontal="center"/>
      <protection locked="0"/>
    </xf>
    <xf numFmtId="0" fontId="9" fillId="0" borderId="36" xfId="34" applyFont="1" applyBorder="1" applyAlignment="1" applyProtection="1">
      <alignment horizontal="center"/>
      <protection locked="0"/>
    </xf>
    <xf numFmtId="166" fontId="4" fillId="0" borderId="49" xfId="34" applyNumberFormat="1" applyFont="1" applyBorder="1" applyAlignment="1" applyProtection="1">
      <alignment horizontal="center"/>
      <protection/>
    </xf>
    <xf numFmtId="166" fontId="4" fillId="0" borderId="36" xfId="34" applyNumberFormat="1" applyFont="1" applyBorder="1" applyAlignment="1" applyProtection="1">
      <alignment horizontal="center"/>
      <protection/>
    </xf>
    <xf numFmtId="0" fontId="4" fillId="0" borderId="54" xfId="34" applyFont="1" applyBorder="1" applyAlignment="1">
      <alignment horizontal="center"/>
      <protection/>
    </xf>
    <xf numFmtId="0" fontId="4" fillId="0" borderId="56" xfId="34" applyFont="1" applyBorder="1" applyAlignment="1">
      <alignment horizontal="center"/>
      <protection/>
    </xf>
    <xf numFmtId="0" fontId="4" fillId="0" borderId="49" xfId="34" applyFont="1" applyBorder="1" applyAlignment="1" applyProtection="1">
      <alignment horizontal="center"/>
      <protection/>
    </xf>
    <xf numFmtId="0" fontId="4" fillId="0" borderId="36" xfId="34" applyFont="1" applyBorder="1" applyAlignment="1" applyProtection="1">
      <alignment horizontal="center"/>
      <protection/>
    </xf>
    <xf numFmtId="0" fontId="4" fillId="0" borderId="49" xfId="37" applyFont="1" applyBorder="1" applyAlignment="1" applyProtection="1">
      <alignment horizontal="center"/>
      <protection locked="0"/>
    </xf>
    <xf numFmtId="0" fontId="1" fillId="0" borderId="36" xfId="29" applyBorder="1" applyAlignment="1">
      <alignment horizontal="center"/>
      <protection/>
    </xf>
    <xf numFmtId="166" fontId="4" fillId="0" borderId="49" xfId="34" applyNumberFormat="1" applyFont="1" applyBorder="1" applyAlignment="1" applyProtection="1" quotePrefix="1">
      <alignment horizontal="center"/>
      <protection/>
    </xf>
    <xf numFmtId="166" fontId="4" fillId="0" borderId="24" xfId="34" applyNumberFormat="1" applyFont="1" applyBorder="1" applyAlignment="1" applyProtection="1" quotePrefix="1">
      <alignment horizontal="center"/>
      <protection/>
    </xf>
    <xf numFmtId="166" fontId="4" fillId="0" borderId="36" xfId="34" applyNumberFormat="1" applyFont="1" applyBorder="1" applyAlignment="1" applyProtection="1" quotePrefix="1">
      <alignment horizontal="center"/>
      <protection/>
    </xf>
    <xf numFmtId="0" fontId="4" fillId="0" borderId="61" xfId="34" applyFont="1" applyBorder="1" applyAlignment="1" applyProtection="1">
      <alignment horizontal="center"/>
      <protection/>
    </xf>
    <xf numFmtId="0" fontId="0" fillId="0" borderId="64" xfId="34" applyBorder="1" applyAlignment="1">
      <alignment horizontal="center"/>
      <protection/>
    </xf>
    <xf numFmtId="166" fontId="4" fillId="0" borderId="59" xfId="34" applyNumberFormat="1" applyFont="1" applyBorder="1" applyAlignment="1" applyProtection="1">
      <alignment horizontal="center"/>
      <protection/>
    </xf>
    <xf numFmtId="0" fontId="24" fillId="0" borderId="8" xfId="34" applyFont="1" applyBorder="1" applyAlignment="1" applyProtection="1" quotePrefix="1">
      <alignment horizontal="center" vertical="center" wrapText="1"/>
      <protection/>
    </xf>
    <xf numFmtId="0" fontId="24" fillId="0" borderId="9" xfId="34" applyFont="1" applyBorder="1" applyAlignment="1" applyProtection="1" quotePrefix="1">
      <alignment horizontal="center" vertical="center" wrapText="1"/>
      <protection/>
    </xf>
    <xf numFmtId="0" fontId="24" fillId="0" borderId="8" xfId="34" applyFont="1" applyBorder="1" applyAlignment="1" applyProtection="1">
      <alignment horizontal="center" vertical="center"/>
      <protection/>
    </xf>
    <xf numFmtId="0" fontId="24" fillId="0" borderId="9" xfId="34" applyFont="1" applyBorder="1" applyAlignment="1" applyProtection="1">
      <alignment horizontal="center" vertical="center"/>
      <protection/>
    </xf>
    <xf numFmtId="0" fontId="4" fillId="0" borderId="54" xfId="34" applyFont="1" applyFill="1" applyBorder="1" applyAlignment="1">
      <alignment horizontal="center"/>
      <protection/>
    </xf>
    <xf numFmtId="0" fontId="0" fillId="0" borderId="56" xfId="34" applyBorder="1" applyAlignment="1">
      <alignment horizontal="center"/>
      <protection/>
    </xf>
    <xf numFmtId="0" fontId="4" fillId="0" borderId="75" xfId="34" applyFont="1" applyFill="1" applyBorder="1" applyAlignment="1">
      <alignment horizontal="center"/>
      <protection/>
    </xf>
    <xf numFmtId="0" fontId="4" fillId="0" borderId="56" xfId="34" applyFont="1" applyFill="1" applyBorder="1" applyAlignment="1">
      <alignment horizontal="center"/>
      <protection/>
    </xf>
    <xf numFmtId="0" fontId="1" fillId="0" borderId="36" xfId="29" applyFont="1" applyBorder="1" applyAlignment="1">
      <alignment horizontal="center"/>
      <protection/>
    </xf>
    <xf numFmtId="0" fontId="24" fillId="0" borderId="8" xfId="34" applyFont="1" applyFill="1" applyBorder="1" applyAlignment="1" applyProtection="1">
      <alignment horizontal="center" vertical="center"/>
      <protection/>
    </xf>
    <xf numFmtId="0" fontId="0" fillId="0" borderId="9" xfId="34" applyBorder="1" applyAlignment="1">
      <alignment horizontal="center" vertical="center"/>
      <protection/>
    </xf>
    <xf numFmtId="0" fontId="24" fillId="0" borderId="15" xfId="34" applyFont="1" applyFill="1" applyBorder="1" applyAlignment="1" applyProtection="1">
      <alignment horizontal="center" vertical="center"/>
      <protection/>
    </xf>
    <xf numFmtId="0" fontId="24" fillId="0" borderId="9" xfId="34" applyFont="1" applyFill="1" applyBorder="1" applyAlignment="1" applyProtection="1">
      <alignment horizontal="center" vertical="center"/>
      <protection/>
    </xf>
    <xf numFmtId="0" fontId="4" fillId="0" borderId="49" xfId="38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166" fontId="4" fillId="0" borderId="49" xfId="38" applyNumberFormat="1" applyFont="1" applyBorder="1" applyAlignment="1" applyProtection="1" quotePrefix="1">
      <alignment horizontal="center"/>
      <protection/>
    </xf>
    <xf numFmtId="166" fontId="4" fillId="0" borderId="24" xfId="38" applyNumberFormat="1" applyFont="1" applyBorder="1" applyAlignment="1" applyProtection="1" quotePrefix="1">
      <alignment horizontal="center"/>
      <protection/>
    </xf>
    <xf numFmtId="166" fontId="4" fillId="0" borderId="36" xfId="38" applyNumberFormat="1" applyFont="1" applyBorder="1" applyAlignment="1" applyProtection="1" quotePrefix="1">
      <alignment horizontal="center"/>
      <protection/>
    </xf>
    <xf numFmtId="164" fontId="4" fillId="0" borderId="61" xfId="38" applyNumberFormat="1" applyFont="1" applyBorder="1" applyAlignment="1" applyProtection="1">
      <alignment horizontal="center"/>
      <protection/>
    </xf>
    <xf numFmtId="0" fontId="0" fillId="0" borderId="64" xfId="38" applyBorder="1" applyAlignment="1">
      <alignment horizontal="center"/>
      <protection/>
    </xf>
    <xf numFmtId="166" fontId="4" fillId="0" borderId="61" xfId="38" applyNumberFormat="1" applyFont="1" applyBorder="1" applyAlignment="1" applyProtection="1">
      <alignment horizontal="center"/>
      <protection/>
    </xf>
    <xf numFmtId="166" fontId="4" fillId="0" borderId="64" xfId="38" applyNumberFormat="1" applyFont="1" applyBorder="1" applyAlignment="1" applyProtection="1">
      <alignment horizontal="center"/>
      <protection/>
    </xf>
    <xf numFmtId="0" fontId="4" fillId="0" borderId="54" xfId="38" applyFont="1" applyFill="1" applyBorder="1" applyAlignment="1">
      <alignment horizontal="center"/>
      <protection/>
    </xf>
    <xf numFmtId="0" fontId="4" fillId="0" borderId="56" xfId="38" applyFont="1" applyFill="1" applyBorder="1" applyAlignment="1">
      <alignment horizontal="center"/>
      <protection/>
    </xf>
    <xf numFmtId="0" fontId="4" fillId="0" borderId="75" xfId="38" applyFont="1" applyFill="1" applyBorder="1" applyAlignment="1">
      <alignment horizontal="center"/>
      <protection/>
    </xf>
    <xf numFmtId="164" fontId="4" fillId="0" borderId="64" xfId="38" applyNumberFormat="1" applyFont="1" applyBorder="1" applyAlignment="1" applyProtection="1">
      <alignment horizontal="center"/>
      <protection/>
    </xf>
    <xf numFmtId="166" fontId="4" fillId="0" borderId="59" xfId="38" applyNumberFormat="1" applyFont="1" applyBorder="1" applyAlignment="1" applyProtection="1">
      <alignment horizontal="center"/>
      <protection/>
    </xf>
    <xf numFmtId="0" fontId="24" fillId="0" borderId="8" xfId="38" applyFont="1" applyFill="1" applyBorder="1" applyAlignment="1" applyProtection="1" quotePrefix="1">
      <alignment horizontal="center" vertical="center" wrapText="1"/>
      <protection/>
    </xf>
    <xf numFmtId="0" fontId="0" fillId="0" borderId="9" xfId="38" applyBorder="1" applyAlignment="1">
      <alignment horizontal="center" vertical="center" wrapText="1"/>
      <protection/>
    </xf>
    <xf numFmtId="0" fontId="0" fillId="0" borderId="54" xfId="38" applyBorder="1" applyAlignment="1">
      <alignment/>
      <protection/>
    </xf>
    <xf numFmtId="0" fontId="0" fillId="0" borderId="56" xfId="38" applyBorder="1" applyAlignment="1">
      <alignment/>
      <protection/>
    </xf>
    <xf numFmtId="0" fontId="24" fillId="0" borderId="9" xfId="38" applyFont="1" applyFill="1" applyBorder="1" applyAlignment="1" applyProtection="1" quotePrefix="1">
      <alignment horizontal="center" vertical="center" wrapText="1"/>
      <protection/>
    </xf>
    <xf numFmtId="0" fontId="24" fillId="0" borderId="8" xfId="38" applyFont="1" applyFill="1" applyBorder="1" applyAlignment="1" applyProtection="1">
      <alignment horizontal="center" vertical="center"/>
      <protection/>
    </xf>
    <xf numFmtId="0" fontId="24" fillId="0" borderId="15" xfId="38" applyFont="1" applyFill="1" applyBorder="1" applyAlignment="1" applyProtection="1">
      <alignment horizontal="center" vertical="center"/>
      <protection/>
    </xf>
    <xf numFmtId="0" fontId="24" fillId="0" borderId="9" xfId="38" applyFont="1" applyFill="1" applyBorder="1" applyAlignment="1" applyProtection="1">
      <alignment horizontal="center" vertical="center"/>
      <protection/>
    </xf>
    <xf numFmtId="166" fontId="4" fillId="0" borderId="49" xfId="38" applyNumberFormat="1" applyFont="1" applyBorder="1" applyAlignment="1" applyProtection="1">
      <alignment horizontal="center"/>
      <protection/>
    </xf>
    <xf numFmtId="166" fontId="4" fillId="0" borderId="36" xfId="38" applyNumberFormat="1" applyFont="1" applyBorder="1" applyAlignment="1" applyProtection="1">
      <alignment horizontal="center"/>
      <protection/>
    </xf>
    <xf numFmtId="166" fontId="4" fillId="0" borderId="18" xfId="38" applyNumberFormat="1" applyFont="1" applyBorder="1" applyAlignment="1" applyProtection="1">
      <alignment horizontal="center"/>
      <protection/>
    </xf>
    <xf numFmtId="166" fontId="4" fillId="0" borderId="20" xfId="38" applyNumberFormat="1" applyFont="1" applyBorder="1" applyAlignment="1" applyProtection="1">
      <alignment horizontal="center"/>
      <protection/>
    </xf>
    <xf numFmtId="0" fontId="9" fillId="0" borderId="61" xfId="24" applyFont="1" applyBorder="1" applyAlignment="1" applyProtection="1">
      <alignment horizontal="center"/>
      <protection locked="0"/>
    </xf>
    <xf numFmtId="0" fontId="9" fillId="0" borderId="64" xfId="24" applyFont="1" applyBorder="1" applyAlignment="1" applyProtection="1">
      <alignment horizontal="center"/>
      <protection locked="0"/>
    </xf>
    <xf numFmtId="166" fontId="4" fillId="0" borderId="61" xfId="24" applyNumberFormat="1" applyFont="1" applyBorder="1" applyAlignment="1" applyProtection="1">
      <alignment horizontal="center"/>
      <protection/>
    </xf>
    <xf numFmtId="166" fontId="4" fillId="0" borderId="64" xfId="24" applyNumberFormat="1" applyFont="1" applyBorder="1" applyAlignment="1" applyProtection="1">
      <alignment horizontal="center"/>
      <protection/>
    </xf>
    <xf numFmtId="0" fontId="9" fillId="0" borderId="49" xfId="24" applyFont="1" applyBorder="1" applyAlignment="1" applyProtection="1">
      <alignment horizontal="center"/>
      <protection locked="0"/>
    </xf>
    <xf numFmtId="0" fontId="9" fillId="0" borderId="36" xfId="24" applyFont="1" applyBorder="1" applyAlignment="1" applyProtection="1">
      <alignment horizontal="center"/>
      <protection locked="0"/>
    </xf>
    <xf numFmtId="166" fontId="4" fillId="0" borderId="49" xfId="24" applyNumberFormat="1" applyFont="1" applyBorder="1" applyAlignment="1" applyProtection="1">
      <alignment horizontal="center"/>
      <protection/>
    </xf>
    <xf numFmtId="166" fontId="4" fillId="0" borderId="36" xfId="24" applyNumberFormat="1" applyFont="1" applyBorder="1" applyAlignment="1" applyProtection="1">
      <alignment horizontal="center"/>
      <protection/>
    </xf>
    <xf numFmtId="0" fontId="4" fillId="0" borderId="54" xfId="24" applyFont="1" applyBorder="1" applyAlignment="1">
      <alignment horizontal="center"/>
      <protection/>
    </xf>
    <xf numFmtId="0" fontId="4" fillId="0" borderId="56" xfId="24" applyFont="1" applyBorder="1" applyAlignment="1">
      <alignment horizontal="center"/>
      <protection/>
    </xf>
    <xf numFmtId="0" fontId="9" fillId="0" borderId="49" xfId="24" applyFont="1" applyBorder="1" applyAlignment="1" applyProtection="1">
      <alignment horizontal="center"/>
      <protection/>
    </xf>
    <xf numFmtId="0" fontId="9" fillId="0" borderId="36" xfId="24" applyFont="1" applyBorder="1" applyAlignment="1" applyProtection="1">
      <alignment horizontal="center"/>
      <protection/>
    </xf>
    <xf numFmtId="0" fontId="4" fillId="0" borderId="49" xfId="28" applyFont="1" applyBorder="1" applyAlignment="1" applyProtection="1">
      <alignment horizontal="center"/>
      <protection locked="0"/>
    </xf>
    <xf numFmtId="166" fontId="4" fillId="0" borderId="49" xfId="24" applyNumberFormat="1" applyFont="1" applyBorder="1" applyAlignment="1" applyProtection="1" quotePrefix="1">
      <alignment horizontal="center"/>
      <protection/>
    </xf>
    <xf numFmtId="166" fontId="4" fillId="0" borderId="24" xfId="24" applyNumberFormat="1" applyFont="1" applyBorder="1" applyAlignment="1" applyProtection="1" quotePrefix="1">
      <alignment horizontal="center"/>
      <protection/>
    </xf>
    <xf numFmtId="166" fontId="4" fillId="0" borderId="36" xfId="24" applyNumberFormat="1" applyFont="1" applyBorder="1" applyAlignment="1" applyProtection="1" quotePrefix="1">
      <alignment horizontal="center"/>
      <protection/>
    </xf>
    <xf numFmtId="0" fontId="4" fillId="0" borderId="61" xfId="24" applyFont="1" applyBorder="1" applyAlignment="1" applyProtection="1">
      <alignment horizontal="center"/>
      <protection/>
    </xf>
    <xf numFmtId="0" fontId="0" fillId="0" borderId="64" xfId="24" applyBorder="1" applyAlignment="1">
      <alignment horizontal="center"/>
      <protection/>
    </xf>
    <xf numFmtId="166" fontId="4" fillId="0" borderId="59" xfId="24" applyNumberFormat="1" applyFont="1" applyBorder="1" applyAlignment="1" applyProtection="1">
      <alignment horizontal="center"/>
      <protection/>
    </xf>
    <xf numFmtId="0" fontId="24" fillId="0" borderId="8" xfId="24" applyFont="1" applyBorder="1" applyAlignment="1" applyProtection="1" quotePrefix="1">
      <alignment horizontal="center" vertical="center" wrapText="1"/>
      <protection/>
    </xf>
    <xf numFmtId="0" fontId="24" fillId="0" borderId="9" xfId="24" applyFont="1" applyBorder="1" applyAlignment="1" applyProtection="1" quotePrefix="1">
      <alignment horizontal="center" vertical="center" wrapText="1"/>
      <protection/>
    </xf>
    <xf numFmtId="0" fontId="24" fillId="0" borderId="8" xfId="24" applyFont="1" applyBorder="1" applyAlignment="1" applyProtection="1">
      <alignment horizontal="center" vertical="center"/>
      <protection/>
    </xf>
    <xf numFmtId="0" fontId="24" fillId="0" borderId="9" xfId="24" applyFont="1" applyBorder="1" applyAlignment="1" applyProtection="1">
      <alignment horizontal="center" vertical="center"/>
      <protection/>
    </xf>
    <xf numFmtId="0" fontId="4" fillId="0" borderId="54" xfId="24" applyFont="1" applyFill="1" applyBorder="1" applyAlignment="1">
      <alignment horizontal="center"/>
      <protection/>
    </xf>
    <xf numFmtId="0" fontId="0" fillId="0" borderId="56" xfId="24" applyBorder="1" applyAlignment="1">
      <alignment horizontal="center"/>
      <protection/>
    </xf>
    <xf numFmtId="0" fontId="4" fillId="0" borderId="75" xfId="24" applyFont="1" applyFill="1" applyBorder="1" applyAlignment="1">
      <alignment horizontal="center"/>
      <protection/>
    </xf>
    <xf numFmtId="0" fontId="4" fillId="0" borderId="56" xfId="24" applyFont="1" applyFill="1" applyBorder="1" applyAlignment="1">
      <alignment horizontal="center"/>
      <protection/>
    </xf>
    <xf numFmtId="0" fontId="24" fillId="0" borderId="8" xfId="24" applyFont="1" applyFill="1" applyBorder="1" applyAlignment="1" applyProtection="1">
      <alignment horizontal="center" vertical="center"/>
      <protection/>
    </xf>
    <xf numFmtId="0" fontId="0" fillId="0" borderId="9" xfId="24" applyBorder="1" applyAlignment="1">
      <alignment horizontal="center" vertical="center"/>
      <protection/>
    </xf>
    <xf numFmtId="0" fontId="24" fillId="0" borderId="15" xfId="24" applyFont="1" applyFill="1" applyBorder="1" applyAlignment="1" applyProtection="1">
      <alignment horizontal="center" vertical="center"/>
      <protection/>
    </xf>
    <xf numFmtId="0" fontId="24" fillId="0" borderId="9" xfId="24" applyFont="1" applyFill="1" applyBorder="1" applyAlignment="1" applyProtection="1">
      <alignment horizontal="center" vertical="center"/>
      <protection/>
    </xf>
    <xf numFmtId="0" fontId="19" fillId="0" borderId="0" xfId="31" applyFont="1" applyBorder="1" applyAlignment="1" applyProtection="1">
      <alignment horizontal="center"/>
      <protection/>
    </xf>
    <xf numFmtId="7" fontId="7" fillId="0" borderId="0" xfId="31" applyNumberFormat="1" applyFont="1" applyFill="1" applyBorder="1" applyAlignment="1">
      <alignment horizontal="center"/>
      <protection/>
    </xf>
    <xf numFmtId="7" fontId="7" fillId="0" borderId="50" xfId="31" applyNumberFormat="1" applyFont="1" applyFill="1" applyBorder="1" applyAlignment="1">
      <alignment horizontal="center"/>
      <protection/>
    </xf>
    <xf numFmtId="0" fontId="9" fillId="0" borderId="61" xfId="31" applyFont="1" applyBorder="1" applyAlignment="1" applyProtection="1">
      <alignment horizontal="center"/>
      <protection/>
    </xf>
    <xf numFmtId="0" fontId="9" fillId="0" borderId="64" xfId="31" applyFont="1" applyBorder="1" applyAlignment="1" applyProtection="1">
      <alignment horizontal="center"/>
      <protection/>
    </xf>
    <xf numFmtId="166" fontId="4" fillId="0" borderId="61" xfId="31" applyNumberFormat="1" applyFont="1" applyBorder="1" applyAlignment="1" applyProtection="1">
      <alignment horizontal="center"/>
      <protection/>
    </xf>
    <xf numFmtId="166" fontId="4" fillId="0" borderId="64" xfId="31" applyNumberFormat="1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166" fontId="4" fillId="0" borderId="49" xfId="31" applyNumberFormat="1" applyFont="1" applyBorder="1" applyAlignment="1" applyProtection="1">
      <alignment horizontal="center"/>
      <protection/>
    </xf>
    <xf numFmtId="166" fontId="4" fillId="0" borderId="36" xfId="31" applyNumberFormat="1" applyFont="1" applyBorder="1" applyAlignment="1" applyProtection="1">
      <alignment horizontal="center"/>
      <protection/>
    </xf>
    <xf numFmtId="0" fontId="24" fillId="0" borderId="8" xfId="31" applyFont="1" applyBorder="1" applyAlignment="1" applyProtection="1">
      <alignment horizontal="center" vertical="center"/>
      <protection/>
    </xf>
    <xf numFmtId="0" fontId="24" fillId="0" borderId="15" xfId="31" applyFont="1" applyBorder="1" applyAlignment="1" applyProtection="1">
      <alignment horizontal="center" vertical="center"/>
      <protection/>
    </xf>
    <xf numFmtId="0" fontId="24" fillId="0" borderId="9" xfId="31" applyFont="1" applyBorder="1" applyAlignment="1" applyProtection="1">
      <alignment horizontal="center" vertical="center"/>
      <protection/>
    </xf>
    <xf numFmtId="0" fontId="9" fillId="0" borderId="49" xfId="31" applyFont="1" applyBorder="1" applyAlignment="1" applyProtection="1">
      <alignment horizontal="center"/>
      <protection/>
    </xf>
    <xf numFmtId="0" fontId="9" fillId="0" borderId="36" xfId="31" applyFont="1" applyBorder="1" applyAlignment="1" applyProtection="1">
      <alignment horizontal="center"/>
      <protection/>
    </xf>
    <xf numFmtId="0" fontId="9" fillId="0" borderId="54" xfId="31" applyFont="1" applyBorder="1" applyAlignment="1" applyProtection="1">
      <alignment horizontal="center"/>
      <protection/>
    </xf>
    <xf numFmtId="0" fontId="9" fillId="0" borderId="56" xfId="31" applyFont="1" applyBorder="1" applyAlignment="1" applyProtection="1">
      <alignment horizontal="center"/>
      <protection/>
    </xf>
    <xf numFmtId="0" fontId="1" fillId="0" borderId="0" xfId="29" applyAlignment="1">
      <alignment/>
      <protection/>
    </xf>
    <xf numFmtId="0" fontId="4" fillId="0" borderId="49" xfId="31" applyFont="1" applyBorder="1" applyAlignment="1" applyProtection="1">
      <alignment horizontal="center"/>
      <protection locked="0"/>
    </xf>
    <xf numFmtId="165" fontId="4" fillId="0" borderId="49" xfId="31" applyNumberFormat="1" applyFont="1" applyBorder="1" applyAlignment="1" applyProtection="1">
      <alignment horizontal="center"/>
      <protection/>
    </xf>
    <xf numFmtId="165" fontId="4" fillId="0" borderId="36" xfId="31" applyNumberFormat="1" applyFont="1" applyBorder="1" applyAlignment="1" applyProtection="1">
      <alignment horizontal="center"/>
      <protection/>
    </xf>
    <xf numFmtId="0" fontId="24" fillId="0" borderId="8" xfId="31" applyFont="1" applyBorder="1" applyAlignment="1" applyProtection="1" quotePrefix="1">
      <alignment horizontal="center" vertical="center" wrapText="1"/>
      <protection/>
    </xf>
    <xf numFmtId="0" fontId="1" fillId="0" borderId="9" xfId="29" applyBorder="1" applyAlignment="1">
      <alignment horizontal="center" vertical="center" wrapText="1"/>
      <protection/>
    </xf>
    <xf numFmtId="0" fontId="24" fillId="0" borderId="8" xfId="31" applyFont="1" applyFill="1" applyBorder="1" applyAlignment="1" applyProtection="1" quotePrefix="1">
      <alignment horizontal="center" vertical="center" wrapText="1"/>
      <protection/>
    </xf>
    <xf numFmtId="0" fontId="24" fillId="0" borderId="8" xfId="31" applyFont="1" applyFill="1" applyBorder="1" applyAlignment="1" applyProtection="1">
      <alignment horizontal="center" vertical="center"/>
      <protection/>
    </xf>
    <xf numFmtId="0" fontId="24" fillId="0" borderId="9" xfId="31" applyFont="1" applyFill="1" applyBorder="1" applyAlignment="1" applyProtection="1">
      <alignment horizontal="center" vertical="center"/>
      <protection/>
    </xf>
    <xf numFmtId="0" fontId="4" fillId="0" borderId="54" xfId="31" applyFont="1" applyFill="1" applyBorder="1" applyAlignment="1">
      <alignment horizontal="center"/>
      <protection/>
    </xf>
    <xf numFmtId="0" fontId="4" fillId="0" borderId="56" xfId="31" applyFont="1" applyFill="1" applyBorder="1" applyAlignment="1">
      <alignment horizontal="center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0101 ANEXO I NEA" xfId="20"/>
    <cellStyle name="Normal_Comahue" xfId="21"/>
    <cellStyle name="Normal_EDENOR9604" xfId="22"/>
    <cellStyle name="Normal_TRANS" xfId="23"/>
    <cellStyle name="Normal_F0711NER" xfId="24"/>
    <cellStyle name="Normal_A0101 ANEXO I NEA 2" xfId="25"/>
    <cellStyle name="Normal_F0711NER 2" xfId="26"/>
    <cellStyle name="Moneda_F0711NER" xfId="27"/>
    <cellStyle name="Normal_Transener_V8_1" xfId="28"/>
    <cellStyle name="Normal 2" xfId="29"/>
    <cellStyle name="Normal_Transener_V8 2" xfId="30"/>
    <cellStyle name="Normal_F0911NER" xfId="31"/>
    <cellStyle name="Normal_TRANS 2" xfId="32"/>
    <cellStyle name="Normal_Transener_V8" xfId="33"/>
    <cellStyle name="Normal_F0711NER 3" xfId="34"/>
    <cellStyle name="Normal_EDENOR9604 4" xfId="35"/>
    <cellStyle name="Moneda_F0711NER 3" xfId="36"/>
    <cellStyle name="Normal_Transener_V8_1 3" xfId="37"/>
    <cellStyle name="Normal_F0911NER 2" xfId="38"/>
    <cellStyle name="Normal_EDENOR9604 3" xfId="39"/>
    <cellStyle name="Normal_A0101 ANEXO I NEA 2 2" xfId="40"/>
    <cellStyle name="Normal_TRANS 2 2" xfId="41"/>
    <cellStyle name="Moneda_F0911NER 2" xfId="42"/>
    <cellStyle name="Normal_Transener_V8 2 2 2" xfId="43"/>
    <cellStyle name="Normal 3" xfId="44"/>
    <cellStyle name="Normal_EDENOR9604 2" xfId="45"/>
    <cellStyle name="Normal_A0511NER Anexo VI" xfId="46"/>
    <cellStyle name="Moneda_A0511NER Anexo VI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2049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3</xdr:col>
      <xdr:colOff>209550</xdr:colOff>
      <xdr:row>2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8200" y="0"/>
          <a:ext cx="49530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42</xdr:row>
          <xdr:rowOff>19050</xdr:rowOff>
        </xdr:from>
        <xdr:to>
          <xdr:col>2</xdr:col>
          <xdr:colOff>0</xdr:colOff>
          <xdr:row>43</xdr:row>
          <xdr:rowOff>57150</xdr:rowOff>
        </xdr:to>
        <xdr:sp macro="" textlink="">
          <xdr:nvSpPr>
            <xdr:cNvPr id="419841" name="Button 1" hidden="1">
              <a:extLst xmlns:a="http://schemas.openxmlformats.org/drawingml/2006/main">
                <a:ext uri="{63B3BB69-23CF-44E3-9099-C40C66FF867C}">
                  <a14:compatExt spid="_x0000_s41984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3</xdr:col>
      <xdr:colOff>266700</xdr:colOff>
      <xdr:row>3</xdr:row>
      <xdr:rowOff>9525</xdr:rowOff>
    </xdr:to>
    <xdr:pic>
      <xdr:nvPicPr>
        <xdr:cNvPr id="403461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" y="0"/>
          <a:ext cx="5810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76200</xdr:colOff>
          <xdr:row>41</xdr:row>
          <xdr:rowOff>0</xdr:rowOff>
        </xdr:from>
        <xdr:to>
          <xdr:col>2</xdr:col>
          <xdr:colOff>0</xdr:colOff>
          <xdr:row>42</xdr:row>
          <xdr:rowOff>28575</xdr:rowOff>
        </xdr:to>
        <xdr:sp macro="" textlink="">
          <xdr:nvSpPr>
            <xdr:cNvPr id="403457" name="Button 1" hidden="1">
              <a:extLst xmlns:a="http://schemas.openxmlformats.org/drawingml/2006/main">
                <a:ext uri="{63B3BB69-23CF-44E3-9099-C40C66FF867C}">
                  <a14:compatExt spid="_x0000_s40345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0</xdr:rowOff>
    </xdr:from>
    <xdr:to>
      <xdr:col>3</xdr:col>
      <xdr:colOff>314325</xdr:colOff>
      <xdr:row>3</xdr:row>
      <xdr:rowOff>9525</xdr:rowOff>
    </xdr:to>
    <xdr:pic>
      <xdr:nvPicPr>
        <xdr:cNvPr id="40448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175" y="0"/>
          <a:ext cx="5905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76200</xdr:colOff>
          <xdr:row>44</xdr:row>
          <xdr:rowOff>0</xdr:rowOff>
        </xdr:from>
        <xdr:to>
          <xdr:col>2</xdr:col>
          <xdr:colOff>0</xdr:colOff>
          <xdr:row>45</xdr:row>
          <xdr:rowOff>28575</xdr:rowOff>
        </xdr:to>
        <xdr:sp macro="" textlink="">
          <xdr:nvSpPr>
            <xdr:cNvPr id="404481" name="Button 1" hidden="1">
              <a:extLst xmlns:a="http://schemas.openxmlformats.org/drawingml/2006/main">
                <a:ext uri="{63B3BB69-23CF-44E3-9099-C40C66FF867C}">
                  <a14:compatExt spid="_x0000_s40448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285750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0"/>
          <a:ext cx="5905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76200</xdr:colOff>
          <xdr:row>44</xdr:row>
          <xdr:rowOff>0</xdr:rowOff>
        </xdr:from>
        <xdr:to>
          <xdr:col>2</xdr:col>
          <xdr:colOff>0</xdr:colOff>
          <xdr:row>45</xdr:row>
          <xdr:rowOff>28575</xdr:rowOff>
        </xdr:to>
        <xdr:sp macro="" textlink="">
          <xdr:nvSpPr>
            <xdr:cNvPr id="471041" name="Button 1" hidden="1">
              <a:extLst xmlns:a="http://schemas.openxmlformats.org/drawingml/2006/main">
                <a:ext uri="{63B3BB69-23CF-44E3-9099-C40C66FF867C}">
                  <a14:compatExt spid="_x0000_s47104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323850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" y="0"/>
          <a:ext cx="5905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76200</xdr:colOff>
          <xdr:row>44</xdr:row>
          <xdr:rowOff>0</xdr:rowOff>
        </xdr:from>
        <xdr:to>
          <xdr:col>2</xdr:col>
          <xdr:colOff>0</xdr:colOff>
          <xdr:row>45</xdr:row>
          <xdr:rowOff>28575</xdr:rowOff>
        </xdr:to>
        <xdr:sp macro="" textlink="">
          <xdr:nvSpPr>
            <xdr:cNvPr id="424961" name="Button 1" hidden="1">
              <a:extLst xmlns:a="http://schemas.openxmlformats.org/drawingml/2006/main">
                <a:ext uri="{63B3BB69-23CF-44E3-9099-C40C66FF867C}">
                  <a14:compatExt spid="_x0000_s42496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342900</xdr:colOff>
      <xdr:row>3</xdr:row>
      <xdr:rowOff>9525</xdr:rowOff>
    </xdr:to>
    <xdr:pic>
      <xdr:nvPicPr>
        <xdr:cNvPr id="405506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" y="0"/>
          <a:ext cx="6191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41</xdr:row>
          <xdr:rowOff>200025</xdr:rowOff>
        </xdr:from>
        <xdr:to>
          <xdr:col>2</xdr:col>
          <xdr:colOff>0</xdr:colOff>
          <xdr:row>43</xdr:row>
          <xdr:rowOff>9525</xdr:rowOff>
        </xdr:to>
        <xdr:sp macro="" textlink="">
          <xdr:nvSpPr>
            <xdr:cNvPr id="405505" name="Button 1" hidden="1">
              <a:extLst xmlns:a="http://schemas.openxmlformats.org/drawingml/2006/main">
                <a:ext uri="{63B3BB69-23CF-44E3-9099-C40C66FF867C}">
                  <a14:compatExt spid="_x0000_s40550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371475</xdr:colOff>
      <xdr:row>3</xdr:row>
      <xdr:rowOff>9525</xdr:rowOff>
    </xdr:to>
    <xdr:pic>
      <xdr:nvPicPr>
        <xdr:cNvPr id="411650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0" y="0"/>
          <a:ext cx="6191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66675</xdr:colOff>
          <xdr:row>40</xdr:row>
          <xdr:rowOff>190500</xdr:rowOff>
        </xdr:from>
        <xdr:to>
          <xdr:col>2</xdr:col>
          <xdr:colOff>0</xdr:colOff>
          <xdr:row>42</xdr:row>
          <xdr:rowOff>28575</xdr:rowOff>
        </xdr:to>
        <xdr:sp macro="" textlink="">
          <xdr:nvSpPr>
            <xdr:cNvPr id="411649" name="Button 1" hidden="1">
              <a:extLst xmlns:a="http://schemas.openxmlformats.org/drawingml/2006/main">
                <a:ext uri="{63B3BB69-23CF-44E3-9099-C40C66FF867C}">
                  <a14:compatExt spid="_x0000_s41164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3</xdr:col>
      <xdr:colOff>333375</xdr:colOff>
      <xdr:row>3</xdr:row>
      <xdr:rowOff>9525</xdr:rowOff>
    </xdr:to>
    <xdr:pic>
      <xdr:nvPicPr>
        <xdr:cNvPr id="41267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0"/>
          <a:ext cx="6191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66675</xdr:colOff>
          <xdr:row>41</xdr:row>
          <xdr:rowOff>190500</xdr:rowOff>
        </xdr:from>
        <xdr:to>
          <xdr:col>2</xdr:col>
          <xdr:colOff>0</xdr:colOff>
          <xdr:row>43</xdr:row>
          <xdr:rowOff>28575</xdr:rowOff>
        </xdr:to>
        <xdr:sp macro="" textlink="">
          <xdr:nvSpPr>
            <xdr:cNvPr id="412673" name="Button 1" hidden="1">
              <a:extLst xmlns:a="http://schemas.openxmlformats.org/drawingml/2006/main">
                <a:ext uri="{63B3BB69-23CF-44E3-9099-C40C66FF867C}">
                  <a14:compatExt spid="_x0000_s41267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3</xdr:col>
      <xdr:colOff>295275</xdr:colOff>
      <xdr:row>3</xdr:row>
      <xdr:rowOff>9525</xdr:rowOff>
    </xdr:to>
    <xdr:pic>
      <xdr:nvPicPr>
        <xdr:cNvPr id="35942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0"/>
          <a:ext cx="5810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3</xdr:col>
      <xdr:colOff>304800</xdr:colOff>
      <xdr:row>3</xdr:row>
      <xdr:rowOff>9525</xdr:rowOff>
    </xdr:to>
    <xdr:pic>
      <xdr:nvPicPr>
        <xdr:cNvPr id="413698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" y="0"/>
          <a:ext cx="6191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66675</xdr:colOff>
          <xdr:row>41</xdr:row>
          <xdr:rowOff>190500</xdr:rowOff>
        </xdr:from>
        <xdr:to>
          <xdr:col>2</xdr:col>
          <xdr:colOff>0</xdr:colOff>
          <xdr:row>43</xdr:row>
          <xdr:rowOff>28575</xdr:rowOff>
        </xdr:to>
        <xdr:sp macro="" textlink="">
          <xdr:nvSpPr>
            <xdr:cNvPr id="413697" name="Button 1" hidden="1">
              <a:extLst xmlns:a="http://schemas.openxmlformats.org/drawingml/2006/main">
                <a:ext uri="{63B3BB69-23CF-44E3-9099-C40C66FF867C}">
                  <a14:compatExt spid="_x0000_s41369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3</xdr:col>
      <xdr:colOff>323850</xdr:colOff>
      <xdr:row>3</xdr:row>
      <xdr:rowOff>9525</xdr:rowOff>
    </xdr:to>
    <xdr:pic>
      <xdr:nvPicPr>
        <xdr:cNvPr id="386050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0"/>
          <a:ext cx="6191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39</xdr:row>
          <xdr:rowOff>190500</xdr:rowOff>
        </xdr:from>
        <xdr:to>
          <xdr:col>2</xdr:col>
          <xdr:colOff>0</xdr:colOff>
          <xdr:row>41</xdr:row>
          <xdr:rowOff>0</xdr:rowOff>
        </xdr:to>
        <xdr:sp macro="" textlink="">
          <xdr:nvSpPr>
            <xdr:cNvPr id="386049" name="Button 1" hidden="1">
              <a:extLst xmlns:a="http://schemas.openxmlformats.org/drawingml/2006/main">
                <a:ext uri="{63B3BB69-23CF-44E3-9099-C40C66FF867C}">
                  <a14:compatExt spid="_x0000_s38604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314325</xdr:colOff>
      <xdr:row>3</xdr:row>
      <xdr:rowOff>9525</xdr:rowOff>
    </xdr:to>
    <xdr:pic>
      <xdr:nvPicPr>
        <xdr:cNvPr id="415746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" y="0"/>
          <a:ext cx="5810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76200</xdr:colOff>
          <xdr:row>41</xdr:row>
          <xdr:rowOff>200025</xdr:rowOff>
        </xdr:from>
        <xdr:to>
          <xdr:col>2</xdr:col>
          <xdr:colOff>0</xdr:colOff>
          <xdr:row>43</xdr:row>
          <xdr:rowOff>28575</xdr:rowOff>
        </xdr:to>
        <xdr:sp macro="" textlink="">
          <xdr:nvSpPr>
            <xdr:cNvPr id="415745" name="Button 1" hidden="1">
              <a:extLst xmlns:a="http://schemas.openxmlformats.org/drawingml/2006/main">
                <a:ext uri="{63B3BB69-23CF-44E3-9099-C40C66FF867C}">
                  <a14:compatExt spid="_x0000_s41574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31949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319494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53500" y="3267075"/>
          <a:ext cx="2714625" cy="4286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990600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0"/>
          <a:ext cx="504825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11</xdr:col>
      <xdr:colOff>47625</xdr:colOff>
      <xdr:row>19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77125" y="3895725"/>
          <a:ext cx="25431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0</xdr:rowOff>
    </xdr:from>
    <xdr:to>
      <xdr:col>0</xdr:col>
      <xdr:colOff>1095375</xdr:colOff>
      <xdr:row>2</xdr:row>
      <xdr:rowOff>352425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550" y="0"/>
          <a:ext cx="504825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15350" y="3267075"/>
          <a:ext cx="25431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1304925</xdr:colOff>
      <xdr:row>0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9525"/>
          <a:ext cx="581025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86825" y="3267075"/>
          <a:ext cx="25431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/>
  </xdr:twoCellAnchor>
  <xdr:twoCellAnchor editAs="oneCell">
    <xdr:from>
      <xdr:col>0</xdr:col>
      <xdr:colOff>542925</xdr:colOff>
      <xdr:row>0</xdr:row>
      <xdr:rowOff>0</xdr:rowOff>
    </xdr:from>
    <xdr:to>
      <xdr:col>0</xdr:col>
      <xdr:colOff>1047750</xdr:colOff>
      <xdr:row>2</xdr:row>
      <xdr:rowOff>361950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0"/>
          <a:ext cx="504825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1019175</xdr:colOff>
      <xdr:row>2</xdr:row>
      <xdr:rowOff>257175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0"/>
          <a:ext cx="53340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91550" y="3267075"/>
          <a:ext cx="25431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1076325</xdr:colOff>
      <xdr:row>2</xdr:row>
      <xdr:rowOff>361950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" y="0"/>
          <a:ext cx="504825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62875" y="3267075"/>
          <a:ext cx="29622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1</xdr:col>
      <xdr:colOff>19050</xdr:colOff>
      <xdr:row>2</xdr:row>
      <xdr:rowOff>352425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0"/>
          <a:ext cx="504825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86650" y="3409950"/>
          <a:ext cx="25431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3</xdr:col>
      <xdr:colOff>323850</xdr:colOff>
      <xdr:row>3</xdr:row>
      <xdr:rowOff>9525</xdr:rowOff>
    </xdr:to>
    <xdr:pic>
      <xdr:nvPicPr>
        <xdr:cNvPr id="38707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0"/>
          <a:ext cx="6191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40</xdr:row>
          <xdr:rowOff>190500</xdr:rowOff>
        </xdr:from>
        <xdr:to>
          <xdr:col>2</xdr:col>
          <xdr:colOff>0</xdr:colOff>
          <xdr:row>42</xdr:row>
          <xdr:rowOff>0</xdr:rowOff>
        </xdr:to>
        <xdr:sp macro="" textlink="">
          <xdr:nvSpPr>
            <xdr:cNvPr id="387073" name="Button 1" hidden="1">
              <a:extLst xmlns:a="http://schemas.openxmlformats.org/drawingml/2006/main">
                <a:ext uri="{63B3BB69-23CF-44E3-9099-C40C66FF867C}">
                  <a14:compatExt spid="_x0000_s38707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28575</xdr:rowOff>
    </xdr:from>
    <xdr:to>
      <xdr:col>3</xdr:col>
      <xdr:colOff>352425</xdr:colOff>
      <xdr:row>2</xdr:row>
      <xdr:rowOff>257175</xdr:rowOff>
    </xdr:to>
    <xdr:pic>
      <xdr:nvPicPr>
        <xdr:cNvPr id="391170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" y="28575"/>
          <a:ext cx="6191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40</xdr:row>
          <xdr:rowOff>19050</xdr:rowOff>
        </xdr:from>
        <xdr:to>
          <xdr:col>2</xdr:col>
          <xdr:colOff>0</xdr:colOff>
          <xdr:row>41</xdr:row>
          <xdr:rowOff>38100</xdr:rowOff>
        </xdr:to>
        <xdr:sp macro="" textlink="">
          <xdr:nvSpPr>
            <xdr:cNvPr id="391169" name="Button 1" hidden="1">
              <a:extLst xmlns:a="http://schemas.openxmlformats.org/drawingml/2006/main">
                <a:ext uri="{63B3BB69-23CF-44E3-9099-C40C66FF867C}">
                  <a14:compatExt spid="_x0000_s39116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28575</xdr:rowOff>
    </xdr:from>
    <xdr:to>
      <xdr:col>3</xdr:col>
      <xdr:colOff>361950</xdr:colOff>
      <xdr:row>2</xdr:row>
      <xdr:rowOff>257175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28575"/>
          <a:ext cx="6191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40</xdr:row>
          <xdr:rowOff>19050</xdr:rowOff>
        </xdr:from>
        <xdr:to>
          <xdr:col>2</xdr:col>
          <xdr:colOff>0</xdr:colOff>
          <xdr:row>41</xdr:row>
          <xdr:rowOff>38100</xdr:rowOff>
        </xdr:to>
        <xdr:sp macro="" textlink="">
          <xdr:nvSpPr>
            <xdr:cNvPr id="447489" name="Button 1" hidden="1">
              <a:extLst xmlns:a="http://schemas.openxmlformats.org/drawingml/2006/main">
                <a:ext uri="{63B3BB69-23CF-44E3-9099-C40C66FF867C}">
                  <a14:compatExt spid="_x0000_s44748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28575</xdr:rowOff>
    </xdr:from>
    <xdr:to>
      <xdr:col>3</xdr:col>
      <xdr:colOff>323850</xdr:colOff>
      <xdr:row>2</xdr:row>
      <xdr:rowOff>257175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28575"/>
          <a:ext cx="6191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40</xdr:row>
          <xdr:rowOff>19050</xdr:rowOff>
        </xdr:from>
        <xdr:to>
          <xdr:col>2</xdr:col>
          <xdr:colOff>0</xdr:colOff>
          <xdr:row>41</xdr:row>
          <xdr:rowOff>38100</xdr:rowOff>
        </xdr:to>
        <xdr:sp macro="" textlink="">
          <xdr:nvSpPr>
            <xdr:cNvPr id="420865" name="Button 1" hidden="1">
              <a:extLst xmlns:a="http://schemas.openxmlformats.org/drawingml/2006/main">
                <a:ext uri="{63B3BB69-23CF-44E3-9099-C40C66FF867C}">
                  <a14:compatExt spid="_x0000_s42086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9525</xdr:rowOff>
    </xdr:from>
    <xdr:to>
      <xdr:col>3</xdr:col>
      <xdr:colOff>323850</xdr:colOff>
      <xdr:row>3</xdr:row>
      <xdr:rowOff>19050</xdr:rowOff>
    </xdr:to>
    <xdr:pic>
      <xdr:nvPicPr>
        <xdr:cNvPr id="390146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" y="9525"/>
          <a:ext cx="60007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41</xdr:row>
          <xdr:rowOff>200025</xdr:rowOff>
        </xdr:from>
        <xdr:to>
          <xdr:col>2</xdr:col>
          <xdr:colOff>0</xdr:colOff>
          <xdr:row>43</xdr:row>
          <xdr:rowOff>9525</xdr:rowOff>
        </xdr:to>
        <xdr:sp macro="" textlink="">
          <xdr:nvSpPr>
            <xdr:cNvPr id="390145" name="Button 1" hidden="1">
              <a:extLst xmlns:a="http://schemas.openxmlformats.org/drawingml/2006/main">
                <a:ext uri="{63B3BB69-23CF-44E3-9099-C40C66FF867C}">
                  <a14:compatExt spid="_x0000_s39014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0</xdr:rowOff>
    </xdr:from>
    <xdr:to>
      <xdr:col>3</xdr:col>
      <xdr:colOff>361950</xdr:colOff>
      <xdr:row>3</xdr:row>
      <xdr:rowOff>9525</xdr:rowOff>
    </xdr:to>
    <xdr:pic>
      <xdr:nvPicPr>
        <xdr:cNvPr id="395266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0"/>
          <a:ext cx="5905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42</xdr:row>
          <xdr:rowOff>0</xdr:rowOff>
        </xdr:from>
        <xdr:to>
          <xdr:col>2</xdr:col>
          <xdr:colOff>0</xdr:colOff>
          <xdr:row>43</xdr:row>
          <xdr:rowOff>28575</xdr:rowOff>
        </xdr:to>
        <xdr:sp macro="" textlink="">
          <xdr:nvSpPr>
            <xdr:cNvPr id="395265" name="Button 1" hidden="1">
              <a:extLst xmlns:a="http://schemas.openxmlformats.org/drawingml/2006/main">
                <a:ext uri="{63B3BB69-23CF-44E3-9099-C40C66FF867C}">
                  <a14:compatExt spid="_x0000_s39526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0</xdr:rowOff>
    </xdr:from>
    <xdr:to>
      <xdr:col>3</xdr:col>
      <xdr:colOff>304800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" y="0"/>
          <a:ext cx="60007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38100</xdr:colOff>
          <xdr:row>40</xdr:row>
          <xdr:rowOff>9525</xdr:rowOff>
        </xdr:from>
        <xdr:to>
          <xdr:col>1</xdr:col>
          <xdr:colOff>257175</xdr:colOff>
          <xdr:row>41</xdr:row>
          <xdr:rowOff>38100</xdr:rowOff>
        </xdr:to>
        <xdr:sp macro="" textlink="">
          <xdr:nvSpPr>
            <xdr:cNvPr id="486401" name="Button 1" hidden="1">
              <a:extLst xmlns:a="http://schemas.openxmlformats.org/drawingml/2006/main">
                <a:ext uri="{63B3BB69-23CF-44E3-9099-C40C66FF867C}">
                  <a14:compatExt spid="_x0000_s48640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3\F0513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2\F0412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1\F0711N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4\F0414N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5\F0815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513"/>
      <sheetName val="LI-05 (1)"/>
      <sheetName val="LI-05 (2)"/>
      <sheetName val="LI-YACY-05 (1)"/>
      <sheetName val="LI-LITSA-05 (1)"/>
      <sheetName val="LI-INTESAR4-05 (1)"/>
      <sheetName val="TR-05 (1)"/>
      <sheetName val="TR-LICCSA-03 (1)"/>
      <sheetName val="TR-LITSA 2-01 (1)"/>
      <sheetName val="SA-05 (1)"/>
      <sheetName val="SA-05 (2)"/>
      <sheetName val="SA-TIBA-01 (1)"/>
      <sheetName val="SA-CTM-12 (1)"/>
      <sheetName val="SA-LICCSA-04 (1)"/>
      <sheetName val="SA-LINSA-04 (1)"/>
      <sheetName val="SA-TRANSPORTEL-09 (1)"/>
      <sheetName val="RE-05 (1)"/>
      <sheetName val="SUP-YACYLEC"/>
      <sheetName val="SUP-LITSA"/>
      <sheetName val="SUP-LITSA2"/>
      <sheetName val="SUP-LINSA"/>
      <sheetName val="SUP-TIBA"/>
      <sheetName val="SUP-CTM"/>
      <sheetName val="SUP-INTESAR 4"/>
      <sheetName val="SUP-TRANSPORTEL"/>
      <sheetName val="SUP-LICCSA"/>
      <sheetName val="DATO"/>
      <sheetName val="F0513NER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412"/>
      <sheetName val="LI-04 (1)"/>
      <sheetName val="LI-YACY-04 (1)"/>
      <sheetName val="LI-INTESAR-04 (1)"/>
      <sheetName val="LI-INTESA2-04 (1)"/>
      <sheetName val="LI-INTESA5-04 (1)"/>
      <sheetName val="LI-CUYANA-04 (1)"/>
      <sheetName val="TR-04 (1)"/>
      <sheetName val="TR-INTESAR-04 (1)"/>
      <sheetName val="TR-INTESA3-04 (1)"/>
      <sheetName val="TR-INTESA4-04 (1)"/>
      <sheetName val="TR-LICCSA-04 (1)"/>
      <sheetName val="SA-04 (1)"/>
      <sheetName val="SA-04 (2)"/>
      <sheetName val="SA-TIBA-04 (1)"/>
      <sheetName val="SA-CTM-04 (1)"/>
      <sheetName val="SA-LIMSA-04 (1)"/>
      <sheetName val=" SA- LITSA-04 (1)"/>
      <sheetName val=" SA- LICCSA-04 (1)"/>
      <sheetName val="SA-TRANSPORTEL-01 (1)"/>
      <sheetName val="R-04 (1)"/>
      <sheetName val="RE-YACY-04 (1)"/>
      <sheetName val="RE-INTESAR 2-04 (1)"/>
      <sheetName val="DAG"/>
      <sheetName val="SUP-YACYLEC"/>
      <sheetName val="SUP-LITSA"/>
      <sheetName val="SUP-TIBA"/>
      <sheetName val="SUP-CTM"/>
      <sheetName val="SUP-INTESAR"/>
      <sheetName val="SUP-INTESA2"/>
      <sheetName val="SUP-INTESA3"/>
      <sheetName val="SUP-INTESAR 4"/>
      <sheetName val="SUP-INTESAR 5"/>
      <sheetName val="SUP-CUYANA (1)"/>
      <sheetName val="SUP-LIMSA"/>
      <sheetName val="SUP-TRANSPORTEL"/>
      <sheetName val="SUP-LICCSA (1)"/>
      <sheetName val="TASA FALLA"/>
      <sheetName val="DATO"/>
      <sheetName val="F0412NER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-0711"/>
      <sheetName val="LI-07 (1)"/>
      <sheetName val="LI-07 (2)"/>
      <sheetName val="LI-YACY-07 (1)"/>
      <sheetName val="LI-INTESAR4-07 (1)"/>
      <sheetName val="LI-RIOJA-07 (1)"/>
      <sheetName val="TR-07 (1)"/>
      <sheetName val="TR-COBRA-07 (1)"/>
      <sheetName val="TR-LITSA-07 (1)"/>
      <sheetName val="TR-LINSA-07 (1)"/>
      <sheetName val="TR-INTESAR4-07 (1)"/>
      <sheetName val="SA-07 (1)"/>
      <sheetName val="SA-TIBA-07 (1)"/>
      <sheetName val=" SA- LITSA-07 (1)"/>
      <sheetName val="SA-LIMSA-07 (1)"/>
      <sheetName val="SA-INTESAR 4-07 (1)"/>
      <sheetName val="SA-TRANSPORTEL-07 (1)"/>
      <sheetName val="RE-07 (1)"/>
      <sheetName val="RE-IV-07 (1)"/>
      <sheetName val="CAUSAS-VST-07 (1)"/>
      <sheetName val="SUP-YACYLEC"/>
      <sheetName val="SUP-INTESAR 4"/>
      <sheetName val="SUP-LITSA"/>
      <sheetName val="SUP-TIBA"/>
      <sheetName val="SUP-LIMSA"/>
      <sheetName val="SUP-TRANSPORTEL"/>
      <sheetName val="SUP-COBRA"/>
      <sheetName val="TASA FALLA"/>
      <sheetName val="DATO"/>
      <sheetName val="TR-COBRA-06 (1)"/>
      <sheetName val="F0711NER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-0414"/>
      <sheetName val="LI-04 (1)"/>
      <sheetName val="LI-INTESAR 3-04 (1)"/>
      <sheetName val="LI-LINSA-04 (1)"/>
      <sheetName val="LI-RECREO-04 (1)"/>
      <sheetName val="LI-YACY-04 (1)"/>
      <sheetName val="TR-04 (1)"/>
      <sheetName val="TR-COBRA-04 (1)"/>
      <sheetName val="TR-INTESAR3-04 (1)"/>
      <sheetName val="TR-LICCSA-04 (1)"/>
      <sheetName val="TR-TIBA-04 (1)"/>
      <sheetName val="SA-04 (1)"/>
      <sheetName val="SA-04 (2)"/>
      <sheetName val="SA-04 (3)"/>
      <sheetName val="SA-ESPERANZA-04 (2)"/>
      <sheetName val="SA-LINSA-04 (1)"/>
      <sheetName val="SA-TIBA-04 (1)"/>
      <sheetName val="SA-LARIOJASUR-04 (1)"/>
      <sheetName val="RE-04 (1)"/>
      <sheetName val="RE-04 (2)"/>
      <sheetName val="VST-04 (1)"/>
      <sheetName val="SUP-LINSA"/>
      <sheetName val="SUP-YACYLEC"/>
      <sheetName val="SUP-LICCSA"/>
      <sheetName val="SUP-TIBA"/>
      <sheetName val="DAG"/>
      <sheetName val="DATO"/>
      <sheetName val="Hoja1"/>
      <sheetName val="F0414NER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-0815"/>
      <sheetName val="LI-08 (1)"/>
      <sheetName val="LI-INTESAR 4-08 (1)"/>
      <sheetName val="LI-INTESAR 5-08 (2)"/>
      <sheetName val="LI-LITSA-08 (1)"/>
      <sheetName val="TR-08 (1)"/>
      <sheetName val="TR-ENECOR-08 (1)"/>
      <sheetName val="TR-INTESAR 1-08 (1)"/>
      <sheetName val="TR-LITSA-08 (1)"/>
      <sheetName val="Hoja1"/>
      <sheetName val="SA-08 (1)"/>
      <sheetName val="SA-08 (2)"/>
      <sheetName val="SA-LINSA-08 (1)"/>
      <sheetName val="SA-LITSA-08 (1)"/>
      <sheetName val="Hoja2"/>
      <sheetName val="SA-TESA-08 (1)"/>
      <sheetName val="Hoja3"/>
      <sheetName val="SA-TIBA-08 (1)"/>
      <sheetName val="Hoja4"/>
      <sheetName val="RE-08 (1)"/>
      <sheetName val="RE-YACY-08 (1)"/>
      <sheetName val="SUP-ENECOR"/>
      <sheetName val="SUP-INTESAR 5"/>
      <sheetName val="SUP-INTESAR"/>
      <sheetName val="SUP-LITSA"/>
      <sheetName val="SUP-LINSA"/>
      <sheetName val="SUP-TESA"/>
      <sheetName val="SUP-TIBA"/>
      <sheetName val="SUP-YACYLEC"/>
      <sheetName val="DATO"/>
      <sheetName val="F0815NER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9.xml" /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0.xml" /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1.xml" /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2.xml" /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3.xml" /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4.xml" /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5.xml" /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6.xml" /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7.xml" /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8.xml" /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3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4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5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6.xml" /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7.xml" /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8.xml" /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S65"/>
  <sheetViews>
    <sheetView tabSelected="1" zoomScale="70" zoomScaleNormal="70" workbookViewId="0" topLeftCell="A1">
      <selection activeCell="B3" sqref="B3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18.71093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742"/>
      <c r="B1" s="19"/>
      <c r="E1" s="54"/>
      <c r="K1" s="139"/>
    </row>
    <row r="2" spans="2:10" s="18" customFormat="1" ht="26.25">
      <c r="B2" s="19" t="s">
        <v>480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2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3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0.25">
      <c r="B7" s="83" t="s">
        <v>63</v>
      </c>
      <c r="C7" s="162"/>
      <c r="D7" s="163"/>
      <c r="E7" s="163"/>
      <c r="F7" s="164"/>
      <c r="G7" s="164"/>
      <c r="H7" s="164"/>
      <c r="I7" s="164"/>
      <c r="J7" s="164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0.25">
      <c r="B9" s="83" t="s">
        <v>62</v>
      </c>
      <c r="C9" s="162"/>
      <c r="D9" s="163"/>
      <c r="E9" s="163"/>
      <c r="F9" s="163"/>
      <c r="G9" s="163"/>
      <c r="H9" s="163"/>
      <c r="I9" s="164"/>
      <c r="J9" s="164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478</v>
      </c>
      <c r="C11" s="165"/>
      <c r="D11" s="166"/>
      <c r="E11" s="166"/>
      <c r="F11" s="163"/>
      <c r="G11" s="163"/>
      <c r="H11" s="163"/>
      <c r="I11" s="164"/>
      <c r="J11" s="164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722"/>
      <c r="C13" s="34"/>
      <c r="D13" s="34"/>
      <c r="E13" s="723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301</v>
      </c>
      <c r="C14" s="38"/>
      <c r="D14" s="39"/>
      <c r="E14" s="724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157"/>
      <c r="E15" s="161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4</v>
      </c>
      <c r="D16" s="157" t="s">
        <v>0</v>
      </c>
      <c r="E16" s="161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157">
        <v>11</v>
      </c>
      <c r="E17" s="158" t="s">
        <v>5</v>
      </c>
      <c r="F17" s="46"/>
      <c r="G17" s="46"/>
      <c r="H17" s="46"/>
      <c r="I17" s="49">
        <f>'LI-01 (2)'!AE42</f>
        <v>661728.32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s="36" customFormat="1" ht="19.5">
      <c r="B18" s="44"/>
      <c r="C18" s="48"/>
      <c r="D18" s="157">
        <v>12</v>
      </c>
      <c r="E18" s="158" t="s">
        <v>410</v>
      </c>
      <c r="F18" s="46"/>
      <c r="G18" s="46"/>
      <c r="H18" s="46"/>
      <c r="I18" s="49">
        <f>'LI-INTESAR 1-01 (1)'!AE41</f>
        <v>689717.92</v>
      </c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2:19" s="36" customFormat="1" ht="19.5">
      <c r="B19" s="44"/>
      <c r="C19" s="48"/>
      <c r="D19" s="157">
        <v>13</v>
      </c>
      <c r="E19" s="158" t="s">
        <v>416</v>
      </c>
      <c r="F19" s="46"/>
      <c r="G19" s="46"/>
      <c r="H19" s="46"/>
      <c r="I19" s="49">
        <f>'LI-INTESAR 3-01 (1)'!AE41</f>
        <v>11432.96</v>
      </c>
      <c r="J19" s="47"/>
      <c r="K19" s="43"/>
      <c r="L19" s="43"/>
      <c r="M19" s="43"/>
      <c r="N19" s="43"/>
      <c r="O19" s="43"/>
      <c r="P19" s="43"/>
      <c r="Q19" s="43"/>
      <c r="R19" s="43"/>
      <c r="S19" s="43"/>
    </row>
    <row r="20" spans="2:19" s="36" customFormat="1" ht="19.5">
      <c r="B20" s="44"/>
      <c r="C20" s="48"/>
      <c r="D20" s="157">
        <v>14</v>
      </c>
      <c r="E20" s="158" t="s">
        <v>234</v>
      </c>
      <c r="F20" s="46"/>
      <c r="G20" s="46"/>
      <c r="H20" s="46"/>
      <c r="I20" s="49">
        <f>'LI-LITSA-01 (1)'!AE41</f>
        <v>249949.9</v>
      </c>
      <c r="J20" s="47"/>
      <c r="K20" s="43"/>
      <c r="L20" s="43"/>
      <c r="M20" s="43"/>
      <c r="N20" s="43"/>
      <c r="O20" s="43"/>
      <c r="P20" s="43"/>
      <c r="Q20" s="43"/>
      <c r="R20" s="43"/>
      <c r="S20" s="43"/>
    </row>
    <row r="21" spans="2:19" s="36" customFormat="1" ht="19.5">
      <c r="B21" s="44"/>
      <c r="C21" s="48"/>
      <c r="D21" s="157">
        <v>15</v>
      </c>
      <c r="E21" s="158" t="s">
        <v>197</v>
      </c>
      <c r="F21" s="46"/>
      <c r="G21" s="46"/>
      <c r="H21" s="46"/>
      <c r="I21" s="49">
        <f>'LI-IV-01 (1)'!AE43</f>
        <v>127912.14</v>
      </c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2:19" ht="12.75" customHeight="1">
      <c r="B22" s="50"/>
      <c r="C22" s="51"/>
      <c r="D22" s="157"/>
      <c r="E22" s="841"/>
      <c r="F22" s="842"/>
      <c r="G22" s="842"/>
      <c r="H22" s="842"/>
      <c r="I22" s="843"/>
      <c r="J22" s="6"/>
      <c r="K22" s="43"/>
      <c r="L22" s="4"/>
      <c r="M22" s="4"/>
      <c r="N22" s="4"/>
      <c r="O22" s="4"/>
      <c r="P22" s="4"/>
      <c r="Q22" s="4"/>
      <c r="R22" s="4"/>
      <c r="S22" s="4"/>
    </row>
    <row r="23" spans="2:19" s="36" customFormat="1" ht="19.5">
      <c r="B23" s="44"/>
      <c r="C23" s="48" t="s">
        <v>6</v>
      </c>
      <c r="D23" s="160" t="s">
        <v>7</v>
      </c>
      <c r="E23" s="844"/>
      <c r="F23" s="839"/>
      <c r="G23" s="839"/>
      <c r="H23" s="839"/>
      <c r="I23" s="840"/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157">
        <v>21</v>
      </c>
      <c r="E24" s="838" t="s">
        <v>8</v>
      </c>
      <c r="F24" s="839"/>
      <c r="G24" s="839"/>
      <c r="H24" s="839"/>
      <c r="I24" s="840"/>
      <c r="J24" s="47"/>
      <c r="K24" s="43"/>
      <c r="L24" s="43"/>
      <c r="M24" s="43"/>
      <c r="N24" s="43"/>
      <c r="O24" s="43"/>
      <c r="P24" s="43"/>
      <c r="Q24" s="43"/>
      <c r="R24" s="43"/>
      <c r="S24" s="43"/>
    </row>
    <row r="25" spans="2:19" s="36" customFormat="1" ht="19.5">
      <c r="B25" s="44"/>
      <c r="C25" s="48"/>
      <c r="D25" s="157"/>
      <c r="E25" s="845">
        <v>211</v>
      </c>
      <c r="F25" s="846" t="s">
        <v>5</v>
      </c>
      <c r="G25" s="839"/>
      <c r="H25" s="839"/>
      <c r="I25" s="840">
        <f>'TR-01 (1)'!AC43</f>
        <v>18478.04</v>
      </c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2:19" s="36" customFormat="1" ht="19.5">
      <c r="B26" s="44"/>
      <c r="C26" s="48"/>
      <c r="D26" s="157"/>
      <c r="E26" s="845">
        <v>212</v>
      </c>
      <c r="F26" s="54" t="s">
        <v>417</v>
      </c>
      <c r="G26" s="839"/>
      <c r="H26" s="839"/>
      <c r="I26" s="840">
        <f>'TR-LICCSA-01 (1)'!AC41</f>
        <v>2303.5</v>
      </c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2:19" s="36" customFormat="1" ht="19.5">
      <c r="B27" s="44"/>
      <c r="C27" s="48"/>
      <c r="D27" s="157"/>
      <c r="E27" s="845"/>
      <c r="F27" s="54"/>
      <c r="G27" s="839"/>
      <c r="H27" s="839"/>
      <c r="I27" s="840"/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2:19" s="36" customFormat="1" ht="19.5">
      <c r="B28" s="44"/>
      <c r="C28" s="48"/>
      <c r="D28" s="157"/>
      <c r="E28" s="845">
        <v>214</v>
      </c>
      <c r="F28" s="54" t="s">
        <v>409</v>
      </c>
      <c r="G28" s="839"/>
      <c r="H28" s="839"/>
      <c r="I28" s="840">
        <f>'TR-LITSA TRANSF.ET S.I.-01 (1)'!AD43</f>
        <v>4556.92</v>
      </c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2:19" s="36" customFormat="1" ht="19.5">
      <c r="B29" s="44"/>
      <c r="C29" s="48"/>
      <c r="D29" s="157">
        <v>22</v>
      </c>
      <c r="E29" s="158" t="s">
        <v>9</v>
      </c>
      <c r="F29" s="46"/>
      <c r="G29" s="46"/>
      <c r="H29" s="46"/>
      <c r="I29" s="49"/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2:19" s="36" customFormat="1" ht="19.5">
      <c r="B30" s="44"/>
      <c r="C30" s="48"/>
      <c r="D30" s="157"/>
      <c r="E30" s="159">
        <v>221</v>
      </c>
      <c r="F30" s="54" t="s">
        <v>5</v>
      </c>
      <c r="G30" s="46"/>
      <c r="H30" s="46"/>
      <c r="I30" s="49">
        <f>'SA-01 (2)'!V45</f>
        <v>292703.95</v>
      </c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2:19" s="36" customFormat="1" ht="19.5">
      <c r="B31" s="44"/>
      <c r="C31" s="48"/>
      <c r="D31" s="157"/>
      <c r="E31" s="159">
        <v>222</v>
      </c>
      <c r="F31" s="54" t="s">
        <v>427</v>
      </c>
      <c r="G31" s="46"/>
      <c r="H31" s="46"/>
      <c r="I31" s="49">
        <f>'SA-ET ESPERANZA-01 (1)'!V45</f>
        <v>29688.05</v>
      </c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2:19" s="36" customFormat="1" ht="19.5">
      <c r="B32" s="44"/>
      <c r="C32" s="48"/>
      <c r="D32" s="157"/>
      <c r="E32" s="159">
        <v>223</v>
      </c>
      <c r="F32" s="54" t="s">
        <v>418</v>
      </c>
      <c r="G32" s="46"/>
      <c r="H32" s="46"/>
      <c r="I32" s="49">
        <f>'SA-LINSA-01 (1)'!V45</f>
        <v>21396.21</v>
      </c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9.5">
      <c r="B33" s="44"/>
      <c r="C33" s="48"/>
      <c r="D33" s="157"/>
      <c r="E33" s="159">
        <v>224</v>
      </c>
      <c r="F33" s="54" t="s">
        <v>68</v>
      </c>
      <c r="G33" s="46"/>
      <c r="H33" s="46"/>
      <c r="I33" s="49">
        <f>'SA-TIBA-01 (1)'!V43</f>
        <v>16379.33</v>
      </c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ht="12.75" customHeight="1">
      <c r="B34" s="50"/>
      <c r="C34" s="51"/>
      <c r="D34" s="157"/>
      <c r="E34" s="725"/>
      <c r="F34" s="52"/>
      <c r="G34" s="52"/>
      <c r="H34" s="52"/>
      <c r="I34" s="53"/>
      <c r="J34" s="6"/>
      <c r="K34" s="43"/>
      <c r="L34" s="4"/>
      <c r="M34" s="4"/>
      <c r="N34" s="4"/>
      <c r="O34" s="4"/>
      <c r="P34" s="4"/>
      <c r="Q34" s="4"/>
      <c r="R34" s="4"/>
      <c r="S34" s="4"/>
    </row>
    <row r="35" spans="2:19" s="36" customFormat="1" ht="19.5">
      <c r="B35" s="44"/>
      <c r="C35" s="48" t="s">
        <v>10</v>
      </c>
      <c r="D35" s="160" t="s">
        <v>65</v>
      </c>
      <c r="E35" s="161"/>
      <c r="F35" s="46"/>
      <c r="G35" s="46"/>
      <c r="H35" s="46"/>
      <c r="I35" s="49"/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19.5">
      <c r="B36" s="44"/>
      <c r="C36" s="48"/>
      <c r="D36" s="157">
        <v>31</v>
      </c>
      <c r="E36" s="158" t="s">
        <v>5</v>
      </c>
      <c r="F36" s="46"/>
      <c r="G36" s="46"/>
      <c r="H36" s="46"/>
      <c r="I36" s="49">
        <f>'RE-01 (2)'!Z43</f>
        <v>953905.66</v>
      </c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19.5">
      <c r="B37" s="44"/>
      <c r="C37" s="48"/>
      <c r="D37" s="157"/>
      <c r="E37" s="159">
        <v>311</v>
      </c>
      <c r="F37" s="54" t="s">
        <v>229</v>
      </c>
      <c r="G37" s="46"/>
      <c r="H37" s="46"/>
      <c r="I37" s="49">
        <f>'RE-Res.01_03'!Y42</f>
        <v>53.21</v>
      </c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6" customFormat="1" ht="19.5">
      <c r="B38" s="44"/>
      <c r="C38" s="48"/>
      <c r="D38" s="157">
        <v>32</v>
      </c>
      <c r="E38" s="158" t="s">
        <v>64</v>
      </c>
      <c r="F38" s="46"/>
      <c r="G38" s="46"/>
      <c r="H38" s="46"/>
      <c r="I38" s="49">
        <f>'RE-YACY-01 (1)'!Z43</f>
        <v>38013.06</v>
      </c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2:19" s="36" customFormat="1" ht="19.5">
      <c r="B39" s="44"/>
      <c r="C39" s="48"/>
      <c r="D39" s="157">
        <v>33</v>
      </c>
      <c r="E39" s="158" t="s">
        <v>197</v>
      </c>
      <c r="F39" s="46"/>
      <c r="G39" s="46"/>
      <c r="H39" s="46"/>
      <c r="I39" s="49">
        <f>'RE-IV-01 (1)'!X43</f>
        <v>83868.95</v>
      </c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2:19" s="36" customFormat="1" ht="12.75" customHeight="1">
      <c r="B40" s="44"/>
      <c r="C40" s="48"/>
      <c r="D40" s="157"/>
      <c r="E40" s="158"/>
      <c r="F40" s="46"/>
      <c r="G40" s="46"/>
      <c r="H40" s="46"/>
      <c r="I40" s="49"/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2:19" s="36" customFormat="1" ht="19.5">
      <c r="B41" s="44"/>
      <c r="C41" s="48" t="s">
        <v>66</v>
      </c>
      <c r="D41" s="160" t="s">
        <v>67</v>
      </c>
      <c r="E41" s="161"/>
      <c r="F41" s="46"/>
      <c r="G41" s="46"/>
      <c r="H41" s="46"/>
      <c r="I41" s="49"/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2:19" s="36" customFormat="1" ht="19.5">
      <c r="B42" s="44"/>
      <c r="C42" s="48"/>
      <c r="D42" s="157">
        <v>41</v>
      </c>
      <c r="E42" s="158" t="s">
        <v>410</v>
      </c>
      <c r="F42" s="46"/>
      <c r="G42" s="46"/>
      <c r="H42" s="46"/>
      <c r="I42" s="49">
        <f ca="1">'SUP-INTESAR 1'!K62</f>
        <v>226068.33329280006</v>
      </c>
      <c r="J42" s="47"/>
      <c r="K42" s="43"/>
      <c r="L42" s="43"/>
      <c r="M42" s="43"/>
      <c r="N42" s="43"/>
      <c r="O42" s="43"/>
      <c r="P42" s="43"/>
      <c r="Q42" s="43"/>
      <c r="R42" s="43"/>
      <c r="S42" s="43"/>
    </row>
    <row r="43" spans="2:19" s="36" customFormat="1" ht="19.5">
      <c r="B43" s="44"/>
      <c r="C43" s="48"/>
      <c r="D43" s="157">
        <v>42</v>
      </c>
      <c r="E43" s="158" t="s">
        <v>417</v>
      </c>
      <c r="F43" s="46"/>
      <c r="G43" s="46"/>
      <c r="H43" s="46"/>
      <c r="I43" s="49">
        <f>'SUP-LICCSA'!K83</f>
        <v>1031.1212797086794</v>
      </c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2:19" s="36" customFormat="1" ht="19.5">
      <c r="B44" s="44"/>
      <c r="C44" s="48"/>
      <c r="D44" s="157">
        <v>43</v>
      </c>
      <c r="E44" s="158" t="s">
        <v>234</v>
      </c>
      <c r="F44" s="46"/>
      <c r="G44" s="46"/>
      <c r="H44" s="46"/>
      <c r="I44" s="49">
        <f>'SUP-LITSA'!K93</f>
        <v>62487.47621600002</v>
      </c>
      <c r="J44" s="47"/>
      <c r="K44" s="43"/>
      <c r="L44" s="43"/>
      <c r="M44" s="43"/>
      <c r="N44" s="43"/>
      <c r="O44" s="43"/>
      <c r="P44" s="43"/>
      <c r="Q44" s="43"/>
      <c r="R44" s="43"/>
      <c r="S44" s="43"/>
    </row>
    <row r="45" spans="2:19" s="36" customFormat="1" ht="19.5">
      <c r="B45" s="44"/>
      <c r="C45" s="48"/>
      <c r="D45" s="157">
        <v>44</v>
      </c>
      <c r="E45" s="158" t="s">
        <v>418</v>
      </c>
      <c r="F45" s="46"/>
      <c r="G45" s="46"/>
      <c r="H45" s="46"/>
      <c r="I45" s="49">
        <f>'SUP-LINSA'!K97</f>
        <v>38849.78836980503</v>
      </c>
      <c r="J45" s="47"/>
      <c r="K45" s="43"/>
      <c r="L45" s="43"/>
      <c r="M45" s="43"/>
      <c r="N45" s="43"/>
      <c r="O45" s="43"/>
      <c r="P45" s="43"/>
      <c r="Q45" s="43"/>
      <c r="R45" s="43"/>
      <c r="S45" s="43"/>
    </row>
    <row r="46" spans="2:19" s="36" customFormat="1" ht="19.5">
      <c r="B46" s="44"/>
      <c r="C46" s="48"/>
      <c r="D46" s="157">
        <v>45</v>
      </c>
      <c r="E46" s="158" t="s">
        <v>419</v>
      </c>
      <c r="F46" s="46"/>
      <c r="G46" s="46"/>
      <c r="H46" s="46"/>
      <c r="I46" s="49">
        <f>'SUP-LITSA ET S.I.'!K73</f>
        <v>1113.84</v>
      </c>
      <c r="J46" s="47"/>
      <c r="K46" s="43"/>
      <c r="L46" s="43"/>
      <c r="M46" s="43"/>
      <c r="N46" s="43"/>
      <c r="O46" s="43"/>
      <c r="P46" s="43"/>
      <c r="Q46" s="43"/>
      <c r="R46" s="43"/>
      <c r="S46" s="43"/>
    </row>
    <row r="47" spans="2:19" s="36" customFormat="1" ht="19.5">
      <c r="B47" s="44"/>
      <c r="C47" s="48"/>
      <c r="D47" s="157">
        <v>46</v>
      </c>
      <c r="E47" s="158" t="s">
        <v>68</v>
      </c>
      <c r="F47" s="46"/>
      <c r="G47" s="46"/>
      <c r="H47" s="46"/>
      <c r="I47" s="49">
        <f>'SUP-TIBA'!J70</f>
        <v>4121.400565410528</v>
      </c>
      <c r="J47" s="47"/>
      <c r="K47" s="43"/>
      <c r="L47" s="43"/>
      <c r="M47" s="43"/>
      <c r="N47" s="43"/>
      <c r="O47" s="43"/>
      <c r="P47" s="43"/>
      <c r="Q47" s="43"/>
      <c r="R47" s="43"/>
      <c r="S47" s="43"/>
    </row>
    <row r="48" spans="2:19" s="36" customFormat="1" ht="19.5">
      <c r="B48" s="44"/>
      <c r="C48" s="48"/>
      <c r="D48" s="157">
        <v>47</v>
      </c>
      <c r="E48" s="158" t="s">
        <v>64</v>
      </c>
      <c r="F48" s="46"/>
      <c r="G48" s="46"/>
      <c r="H48" s="46"/>
      <c r="I48" s="49">
        <f>'SUP-YACYLEC'!K81</f>
        <v>41439.00280000001</v>
      </c>
      <c r="J48" s="47"/>
      <c r="K48" s="43"/>
      <c r="L48" s="43"/>
      <c r="M48" s="43"/>
      <c r="N48" s="43"/>
      <c r="O48" s="43"/>
      <c r="P48" s="43"/>
      <c r="Q48" s="43"/>
      <c r="R48" s="43"/>
      <c r="S48" s="43"/>
    </row>
    <row r="49" spans="2:19" s="36" customFormat="1" ht="11.25" customHeight="1">
      <c r="B49" s="44"/>
      <c r="C49" s="48"/>
      <c r="D49" s="157"/>
      <c r="E49" s="158"/>
      <c r="F49" s="46"/>
      <c r="G49" s="46"/>
      <c r="H49" s="755"/>
      <c r="I49" s="49"/>
      <c r="J49" s="47"/>
      <c r="K49" s="43"/>
      <c r="L49" s="43"/>
      <c r="M49" s="43"/>
      <c r="N49" s="43"/>
      <c r="O49" s="43"/>
      <c r="P49" s="43"/>
      <c r="Q49" s="43"/>
      <c r="R49" s="43"/>
      <c r="S49" s="43"/>
    </row>
    <row r="50" spans="2:19" s="36" customFormat="1" ht="20.25" thickBot="1">
      <c r="B50" s="44"/>
      <c r="C50" s="45"/>
      <c r="D50" s="157"/>
      <c r="E50" s="161"/>
      <c r="F50" s="46"/>
      <c r="G50" s="46"/>
      <c r="H50" s="46"/>
      <c r="I50" s="43"/>
      <c r="J50" s="47"/>
      <c r="K50" s="43"/>
      <c r="L50" s="43"/>
      <c r="M50" s="43"/>
      <c r="N50" s="43"/>
      <c r="O50" s="43"/>
      <c r="P50" s="43"/>
      <c r="Q50" s="43"/>
      <c r="R50" s="43"/>
      <c r="S50" s="43"/>
    </row>
    <row r="51" spans="2:19" s="36" customFormat="1" ht="20.25" thickBot="1" thickTop="1">
      <c r="B51" s="44"/>
      <c r="C51" s="48"/>
      <c r="D51" s="48"/>
      <c r="F51" s="55" t="s">
        <v>11</v>
      </c>
      <c r="G51" s="56">
        <f ca="1">SUM(I16:I49)</f>
        <v>3577199.082523724</v>
      </c>
      <c r="H51" s="124"/>
      <c r="J51" s="47"/>
      <c r="K51" s="43"/>
      <c r="L51" s="43"/>
      <c r="M51" s="43"/>
      <c r="N51" s="43"/>
      <c r="O51" s="43"/>
      <c r="P51" s="43"/>
      <c r="Q51" s="43"/>
      <c r="R51" s="43"/>
      <c r="S51" s="43"/>
    </row>
    <row r="52" spans="2:19" s="36" customFormat="1" ht="9.75" customHeight="1" thickTop="1">
      <c r="B52" s="44"/>
      <c r="C52" s="48"/>
      <c r="D52" s="48"/>
      <c r="F52" s="156"/>
      <c r="G52" s="124"/>
      <c r="H52" s="124"/>
      <c r="J52" s="47"/>
      <c r="K52" s="43"/>
      <c r="L52" s="43"/>
      <c r="M52" s="43"/>
      <c r="N52" s="43"/>
      <c r="O52" s="43"/>
      <c r="P52" s="43"/>
      <c r="Q52" s="43"/>
      <c r="R52" s="43"/>
      <c r="S52" s="43"/>
    </row>
    <row r="53" spans="2:19" s="36" customFormat="1" ht="18.75">
      <c r="B53" s="44"/>
      <c r="C53" s="2905" t="s">
        <v>479</v>
      </c>
      <c r="D53" s="48"/>
      <c r="F53" s="156"/>
      <c r="G53" s="124"/>
      <c r="H53" s="124"/>
      <c r="I53" s="756"/>
      <c r="J53" s="47"/>
      <c r="K53" s="43"/>
      <c r="L53" s="43"/>
      <c r="M53" s="43"/>
      <c r="N53" s="43"/>
      <c r="O53" s="43"/>
      <c r="P53" s="43"/>
      <c r="Q53" s="43"/>
      <c r="R53" s="43"/>
      <c r="S53" s="43"/>
    </row>
    <row r="54" spans="2:19" s="32" customFormat="1" ht="10.5" customHeight="1" thickBot="1">
      <c r="B54" s="57"/>
      <c r="C54" s="58"/>
      <c r="D54" s="58"/>
      <c r="E54" s="59"/>
      <c r="F54" s="59"/>
      <c r="G54" s="59"/>
      <c r="H54" s="59"/>
      <c r="I54" s="59"/>
      <c r="J54" s="60"/>
      <c r="K54" s="33"/>
      <c r="L54" s="33"/>
      <c r="M54" s="61"/>
      <c r="N54" s="62"/>
      <c r="O54" s="62"/>
      <c r="P54" s="63"/>
      <c r="Q54" s="64"/>
      <c r="R54" s="33"/>
      <c r="S54" s="33"/>
    </row>
    <row r="55" spans="4:19" ht="13.5" thickTop="1">
      <c r="D55" s="4"/>
      <c r="F55" s="4"/>
      <c r="G55" s="4"/>
      <c r="H55" s="4"/>
      <c r="I55" s="4"/>
      <c r="J55" s="4"/>
      <c r="K55" s="4"/>
      <c r="L55" s="4"/>
      <c r="M55" s="15"/>
      <c r="N55" s="65"/>
      <c r="O55" s="65"/>
      <c r="P55" s="4"/>
      <c r="Q55" s="66"/>
      <c r="R55" s="4"/>
      <c r="S55" s="4"/>
    </row>
    <row r="56" spans="4:19" ht="12.75">
      <c r="D56" s="4"/>
      <c r="F56" s="4"/>
      <c r="G56" s="4"/>
      <c r="H56" s="4"/>
      <c r="I56" s="4"/>
      <c r="J56" s="4"/>
      <c r="K56" s="4"/>
      <c r="L56" s="4"/>
      <c r="M56" s="4"/>
      <c r="N56" s="67"/>
      <c r="O56" s="67"/>
      <c r="P56" s="68"/>
      <c r="Q56" s="66"/>
      <c r="R56" s="4"/>
      <c r="S56" s="4"/>
    </row>
    <row r="57" spans="4:19" ht="12.75">
      <c r="D57" s="4"/>
      <c r="E57" s="4"/>
      <c r="F57" s="4"/>
      <c r="G57" s="4"/>
      <c r="H57" s="4"/>
      <c r="I57" s="4"/>
      <c r="J57" s="4"/>
      <c r="K57" s="4"/>
      <c r="L57" s="4"/>
      <c r="M57" s="4"/>
      <c r="N57" s="67"/>
      <c r="O57" s="67"/>
      <c r="P57" s="68"/>
      <c r="Q57" s="66"/>
      <c r="R57" s="4"/>
      <c r="S57" s="4"/>
    </row>
    <row r="58" spans="4:19" ht="12.75">
      <c r="D58" s="4"/>
      <c r="E58" s="4"/>
      <c r="L58" s="4"/>
      <c r="M58" s="4"/>
      <c r="N58" s="4"/>
      <c r="O58" s="4"/>
      <c r="P58" s="4"/>
      <c r="Q58" s="4"/>
      <c r="R58" s="4"/>
      <c r="S58" s="4"/>
    </row>
    <row r="59" spans="4:19" ht="12.75">
      <c r="D59" s="4"/>
      <c r="E59" s="4"/>
      <c r="P59" s="4"/>
      <c r="Q59" s="4"/>
      <c r="R59" s="4"/>
      <c r="S59" s="4"/>
    </row>
    <row r="60" spans="4:19" ht="12.75">
      <c r="D60" s="4"/>
      <c r="E60" s="4"/>
      <c r="P60" s="4"/>
      <c r="Q60" s="4"/>
      <c r="R60" s="4"/>
      <c r="S60" s="4"/>
    </row>
    <row r="61" spans="4:19" ht="12.75">
      <c r="D61" s="4"/>
      <c r="E61" s="4"/>
      <c r="P61" s="4"/>
      <c r="Q61" s="4"/>
      <c r="R61" s="4"/>
      <c r="S61" s="4"/>
    </row>
    <row r="62" spans="4:19" ht="12.75">
      <c r="D62" s="4"/>
      <c r="E62" s="4"/>
      <c r="P62" s="4"/>
      <c r="Q62" s="4"/>
      <c r="R62" s="4"/>
      <c r="S62" s="4"/>
    </row>
    <row r="63" spans="4:19" ht="12.75">
      <c r="D63" s="4"/>
      <c r="E63" s="4"/>
      <c r="P63" s="4"/>
      <c r="Q63" s="4"/>
      <c r="R63" s="4"/>
      <c r="S63" s="4"/>
    </row>
    <row r="64" spans="16:19" ht="12.75">
      <c r="P64" s="4"/>
      <c r="Q64" s="4"/>
      <c r="R64" s="4"/>
      <c r="S64" s="4"/>
    </row>
    <row r="65" spans="16:19" ht="12.75">
      <c r="P65" s="4"/>
      <c r="Q65" s="4"/>
      <c r="R65" s="4"/>
      <c r="S65" s="4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69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56"/>
  <sheetViews>
    <sheetView zoomScale="85" zoomScaleNormal="85" workbookViewId="0" topLeftCell="A1">
      <selection activeCell="A48" sqref="A48"/>
    </sheetView>
  </sheetViews>
  <sheetFormatPr defaultColWidth="11.421875" defaultRowHeight="12.75"/>
  <cols>
    <col min="1" max="1" width="7.28125" style="1239" customWidth="1"/>
    <col min="2" max="2" width="4.140625" style="1239" customWidth="1"/>
    <col min="3" max="3" width="5.421875" style="1239" customWidth="1"/>
    <col min="4" max="4" width="15.00390625" style="1239" customWidth="1"/>
    <col min="5" max="5" width="14.421875" style="1239" customWidth="1"/>
    <col min="6" max="6" width="22.28125" style="1239" customWidth="1"/>
    <col min="7" max="7" width="20.28125" style="1239" customWidth="1"/>
    <col min="8" max="8" width="9.7109375" style="1239" customWidth="1"/>
    <col min="9" max="9" width="12.28125" style="1239" customWidth="1"/>
    <col min="10" max="10" width="7.7109375" style="1239" hidden="1" customWidth="1"/>
    <col min="11" max="11" width="16.421875" style="1239" customWidth="1"/>
    <col min="12" max="12" width="16.7109375" style="1239" customWidth="1"/>
    <col min="13" max="16" width="9.7109375" style="1239" customWidth="1"/>
    <col min="17" max="17" width="5.8515625" style="1239" customWidth="1"/>
    <col min="18" max="18" width="6.7109375" style="1239" bestFit="1" customWidth="1"/>
    <col min="19" max="19" width="4.140625" style="1239" hidden="1" customWidth="1"/>
    <col min="20" max="21" width="12.28125" style="1239" hidden="1" customWidth="1"/>
    <col min="22" max="25" width="6.421875" style="1239" hidden="1" customWidth="1"/>
    <col min="26" max="26" width="12.28125" style="1239" hidden="1" customWidth="1"/>
    <col min="27" max="27" width="13.421875" style="1239" hidden="1" customWidth="1"/>
    <col min="28" max="28" width="8.7109375" style="1239" customWidth="1"/>
    <col min="29" max="29" width="10.421875" style="1239" hidden="1" customWidth="1"/>
    <col min="30" max="30" width="15.7109375" style="1239" customWidth="1"/>
    <col min="31" max="31" width="4.140625" style="1239" customWidth="1"/>
    <col min="32" max="16384" width="11.421875" style="1239" customWidth="1"/>
  </cols>
  <sheetData>
    <row r="1" spans="2:31" s="1184" customFormat="1" ht="26.25"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  <c r="Q1" s="1185"/>
      <c r="R1" s="1185"/>
      <c r="S1" s="1185"/>
      <c r="T1" s="1185"/>
      <c r="U1" s="1185"/>
      <c r="V1" s="1185"/>
      <c r="W1" s="1185"/>
      <c r="X1" s="1185"/>
      <c r="Y1" s="1185"/>
      <c r="Z1" s="1185"/>
      <c r="AA1" s="1185"/>
      <c r="AB1" s="1185"/>
      <c r="AC1" s="1185"/>
      <c r="AD1" s="1185"/>
      <c r="AE1" s="1186"/>
    </row>
    <row r="2" spans="1:31" s="1184" customFormat="1" ht="26.25">
      <c r="A2" s="1185"/>
      <c r="B2" s="1187" t="str">
        <f>'TOT-0116'!B2</f>
        <v>ANEXO II al Memorándum D.T.E.E. N° 231 / 2017</v>
      </c>
      <c r="C2" s="1187"/>
      <c r="D2" s="1187"/>
      <c r="E2" s="1187"/>
      <c r="F2" s="1187"/>
      <c r="G2" s="1188"/>
      <c r="H2" s="1187"/>
      <c r="I2" s="1187"/>
      <c r="J2" s="1187"/>
      <c r="K2" s="1187"/>
      <c r="L2" s="1187"/>
      <c r="M2" s="1187"/>
      <c r="N2" s="1187"/>
      <c r="O2" s="1187"/>
      <c r="P2" s="1187"/>
      <c r="Q2" s="1187"/>
      <c r="R2" s="1187"/>
      <c r="S2" s="1187"/>
      <c r="T2" s="1187"/>
      <c r="U2" s="1187"/>
      <c r="V2" s="1187"/>
      <c r="W2" s="1187"/>
      <c r="X2" s="1187"/>
      <c r="Y2" s="1187"/>
      <c r="Z2" s="1187"/>
      <c r="AA2" s="1187"/>
      <c r="AB2" s="1187"/>
      <c r="AC2" s="1187"/>
      <c r="AD2" s="1187"/>
      <c r="AE2" s="1187"/>
    </row>
    <row r="3" spans="1:31" s="1190" customFormat="1" ht="17.25" customHeight="1">
      <c r="A3" s="1189"/>
      <c r="B3" s="1189"/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</row>
    <row r="4" spans="1:31" s="1194" customFormat="1" ht="11.25">
      <c r="A4" s="1191" t="s">
        <v>75</v>
      </c>
      <c r="B4" s="1192"/>
      <c r="C4" s="1192"/>
      <c r="D4" s="1192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</row>
    <row r="5" spans="1:31" s="1194" customFormat="1" ht="11.25">
      <c r="A5" s="1191" t="s">
        <v>3</v>
      </c>
      <c r="B5" s="1192"/>
      <c r="C5" s="1192"/>
      <c r="D5" s="1192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</row>
    <row r="6" spans="1:31" s="1190" customFormat="1" ht="13.5" thickBot="1">
      <c r="A6" s="1189"/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  <c r="R6" s="1189"/>
      <c r="S6" s="1189"/>
      <c r="T6" s="1189"/>
      <c r="U6" s="1189"/>
      <c r="V6" s="1189"/>
      <c r="W6" s="1189"/>
      <c r="X6" s="1189"/>
      <c r="Y6" s="1189"/>
      <c r="Z6" s="1189"/>
      <c r="AA6" s="1189"/>
      <c r="AB6" s="1189"/>
      <c r="AC6" s="1189"/>
      <c r="AD6" s="1189"/>
      <c r="AE6" s="1189"/>
    </row>
    <row r="7" spans="1:31" s="1190" customFormat="1" ht="13.5" thickTop="1">
      <c r="A7" s="1189"/>
      <c r="B7" s="1195"/>
      <c r="C7" s="1196"/>
      <c r="D7" s="1196"/>
      <c r="E7" s="1196"/>
      <c r="F7" s="1196"/>
      <c r="G7" s="1196"/>
      <c r="H7" s="1196"/>
      <c r="I7" s="1196"/>
      <c r="J7" s="1196"/>
      <c r="K7" s="1196"/>
      <c r="L7" s="1196"/>
      <c r="M7" s="1196"/>
      <c r="N7" s="1196"/>
      <c r="O7" s="1196"/>
      <c r="P7" s="1196"/>
      <c r="Q7" s="1196"/>
      <c r="R7" s="1196"/>
      <c r="S7" s="1196"/>
      <c r="T7" s="1196"/>
      <c r="U7" s="1196"/>
      <c r="V7" s="1196"/>
      <c r="W7" s="1196"/>
      <c r="X7" s="1196"/>
      <c r="Y7" s="1196"/>
      <c r="Z7" s="1196"/>
      <c r="AA7" s="1196"/>
      <c r="AB7" s="1196"/>
      <c r="AC7" s="1196"/>
      <c r="AD7" s="1196"/>
      <c r="AE7" s="1197"/>
    </row>
    <row r="8" spans="2:35" s="1198" customFormat="1" ht="20.25">
      <c r="B8" s="1199"/>
      <c r="C8" s="1200"/>
      <c r="D8" s="1200"/>
      <c r="E8" s="1200"/>
      <c r="F8" s="1201" t="s">
        <v>69</v>
      </c>
      <c r="G8" s="1200"/>
      <c r="H8" s="1200"/>
      <c r="I8" s="1200"/>
      <c r="J8" s="1200"/>
      <c r="Q8" s="1200"/>
      <c r="R8" s="1200"/>
      <c r="S8" s="1202"/>
      <c r="T8" s="1202"/>
      <c r="U8" s="1202"/>
      <c r="V8" s="1200"/>
      <c r="W8" s="1200"/>
      <c r="X8" s="1200"/>
      <c r="Y8" s="1200"/>
      <c r="Z8" s="1200"/>
      <c r="AA8" s="1200"/>
      <c r="AB8" s="1200"/>
      <c r="AC8" s="1200"/>
      <c r="AD8" s="1203"/>
      <c r="AE8" s="1204"/>
      <c r="AF8" s="1200"/>
      <c r="AG8" s="1200"/>
      <c r="AH8" s="1203"/>
      <c r="AI8" s="1203"/>
    </row>
    <row r="9" spans="1:31" s="1190" customFormat="1" ht="12.75">
      <c r="A9" s="1189"/>
      <c r="B9" s="1205"/>
      <c r="C9" s="1206"/>
      <c r="D9" s="1206"/>
      <c r="E9" s="1189"/>
      <c r="F9" s="1206"/>
      <c r="G9" s="1207"/>
      <c r="H9" s="1189"/>
      <c r="I9" s="1206"/>
      <c r="J9" s="1189"/>
      <c r="K9" s="1189"/>
      <c r="L9" s="1189"/>
      <c r="M9" s="1189"/>
      <c r="N9" s="1189"/>
      <c r="O9" s="1189"/>
      <c r="P9" s="1189"/>
      <c r="Q9" s="1189"/>
      <c r="R9" s="1189"/>
      <c r="S9" s="1189"/>
      <c r="T9" s="1206"/>
      <c r="U9" s="1206"/>
      <c r="V9" s="1206"/>
      <c r="W9" s="1206"/>
      <c r="X9" s="1206"/>
      <c r="Y9" s="1206"/>
      <c r="Z9" s="1206"/>
      <c r="AA9" s="1206"/>
      <c r="AB9" s="1206"/>
      <c r="AC9" s="1206"/>
      <c r="AD9" s="1189"/>
      <c r="AE9" s="1208"/>
    </row>
    <row r="10" spans="2:35" s="1209" customFormat="1" ht="33" customHeight="1">
      <c r="B10" s="1210"/>
      <c r="C10" s="1211"/>
      <c r="D10" s="1211"/>
      <c r="E10" s="1211"/>
      <c r="F10" s="1212" t="s">
        <v>224</v>
      </c>
      <c r="G10" s="1211"/>
      <c r="H10" s="1211"/>
      <c r="I10" s="1211"/>
      <c r="J10" s="1211"/>
      <c r="Q10" s="1211"/>
      <c r="R10" s="1211"/>
      <c r="S10" s="1213"/>
      <c r="T10" s="1213"/>
      <c r="U10" s="1213"/>
      <c r="V10" s="1211"/>
      <c r="W10" s="1211"/>
      <c r="X10" s="1211"/>
      <c r="Y10" s="1211"/>
      <c r="Z10" s="1211"/>
      <c r="AA10" s="1211"/>
      <c r="AB10" s="1211"/>
      <c r="AC10" s="1211"/>
      <c r="AD10" s="1214"/>
      <c r="AE10" s="1215"/>
      <c r="AF10" s="1211"/>
      <c r="AG10" s="1211"/>
      <c r="AH10" s="1214"/>
      <c r="AI10" s="1214"/>
    </row>
    <row r="11" spans="1:31" s="1222" customFormat="1" ht="33" customHeight="1">
      <c r="A11" s="1216"/>
      <c r="B11" s="1217"/>
      <c r="C11" s="1218"/>
      <c r="D11" s="1218"/>
      <c r="E11" s="1216"/>
      <c r="F11" s="1219" t="s">
        <v>457</v>
      </c>
      <c r="G11" s="1218"/>
      <c r="H11" s="1218"/>
      <c r="I11" s="1220"/>
      <c r="J11" s="1218"/>
      <c r="K11" s="1218"/>
      <c r="L11" s="1218"/>
      <c r="M11" s="1218"/>
      <c r="N11" s="1218"/>
      <c r="O11" s="1216"/>
      <c r="P11" s="1216"/>
      <c r="Q11" s="1216"/>
      <c r="R11" s="1216"/>
      <c r="S11" s="1216"/>
      <c r="T11" s="1218"/>
      <c r="U11" s="1218"/>
      <c r="V11" s="1218"/>
      <c r="W11" s="1218"/>
      <c r="X11" s="1218"/>
      <c r="Y11" s="1218"/>
      <c r="Z11" s="1218"/>
      <c r="AA11" s="1218"/>
      <c r="AB11" s="1218"/>
      <c r="AC11" s="1218"/>
      <c r="AD11" s="1216"/>
      <c r="AE11" s="1221"/>
    </row>
    <row r="12" spans="1:31" s="1230" customFormat="1" ht="19.5">
      <c r="A12" s="1223"/>
      <c r="B12" s="1224" t="str">
        <f>'TOT-0116'!B14</f>
        <v>Desde el 01 al 31 de enero de 2016</v>
      </c>
      <c r="C12" s="1225"/>
      <c r="D12" s="1225"/>
      <c r="E12" s="1226"/>
      <c r="F12" s="1227"/>
      <c r="G12" s="1227"/>
      <c r="H12" s="1227"/>
      <c r="I12" s="1227"/>
      <c r="J12" s="1227"/>
      <c r="K12" s="1227"/>
      <c r="L12" s="1227"/>
      <c r="M12" s="1227"/>
      <c r="N12" s="1227"/>
      <c r="O12" s="1226"/>
      <c r="P12" s="1226"/>
      <c r="Q12" s="1226"/>
      <c r="R12" s="1226"/>
      <c r="S12" s="1226"/>
      <c r="T12" s="1227"/>
      <c r="U12" s="1227"/>
      <c r="V12" s="1227"/>
      <c r="W12" s="1227"/>
      <c r="X12" s="1227"/>
      <c r="Y12" s="1227"/>
      <c r="Z12" s="1227"/>
      <c r="AA12" s="1227"/>
      <c r="AB12" s="1227"/>
      <c r="AC12" s="1227"/>
      <c r="AD12" s="1228"/>
      <c r="AE12" s="1229"/>
    </row>
    <row r="13" spans="1:31" s="1190" customFormat="1" ht="12.75">
      <c r="A13" s="1189"/>
      <c r="B13" s="1205"/>
      <c r="C13" s="1206"/>
      <c r="D13" s="1206"/>
      <c r="E13" s="1189"/>
      <c r="F13" s="1206"/>
      <c r="G13" s="1206"/>
      <c r="H13" s="1206"/>
      <c r="I13" s="1231"/>
      <c r="J13" s="1206"/>
      <c r="K13" s="1206"/>
      <c r="L13" s="1206"/>
      <c r="M13" s="1206"/>
      <c r="N13" s="1206"/>
      <c r="O13" s="1189"/>
      <c r="P13" s="1189"/>
      <c r="Q13" s="1189"/>
      <c r="R13" s="1189"/>
      <c r="S13" s="1189"/>
      <c r="T13" s="1206"/>
      <c r="U13" s="1206"/>
      <c r="V13" s="1206"/>
      <c r="W13" s="1206"/>
      <c r="X13" s="1206"/>
      <c r="Y13" s="1206"/>
      <c r="Z13" s="1206"/>
      <c r="AA13" s="1206"/>
      <c r="AB13" s="1206"/>
      <c r="AC13" s="1206"/>
      <c r="AD13" s="1189"/>
      <c r="AE13" s="1208"/>
    </row>
    <row r="14" spans="1:31" s="1190" customFormat="1" ht="16.5" customHeight="1" thickBot="1">
      <c r="A14" s="1189"/>
      <c r="B14" s="1205"/>
      <c r="C14" s="1206"/>
      <c r="D14" s="1206"/>
      <c r="E14" s="1189"/>
      <c r="F14" s="1232"/>
      <c r="G14" s="1233"/>
      <c r="H14" s="1234"/>
      <c r="I14" s="1231"/>
      <c r="J14" s="1206"/>
      <c r="K14" s="1206"/>
      <c r="L14" s="1206"/>
      <c r="M14" s="1206"/>
      <c r="N14" s="3441"/>
      <c r="O14" s="3441"/>
      <c r="P14" s="3441"/>
      <c r="Q14" s="3441"/>
      <c r="R14" s="3441"/>
      <c r="S14" s="1235"/>
      <c r="T14" s="1235"/>
      <c r="U14" s="1235"/>
      <c r="V14" s="1206"/>
      <c r="W14" s="1206"/>
      <c r="X14" s="1206"/>
      <c r="Y14" s="1206"/>
      <c r="Z14" s="1206"/>
      <c r="AA14" s="1206"/>
      <c r="AB14" s="1206"/>
      <c r="AC14" s="1206"/>
      <c r="AD14" s="1189"/>
      <c r="AE14" s="1208"/>
    </row>
    <row r="15" spans="1:31" s="1190" customFormat="1" ht="16.5" customHeight="1" thickBot="1" thickTop="1">
      <c r="A15" s="1189"/>
      <c r="B15" s="1205"/>
      <c r="C15" s="1206"/>
      <c r="D15" s="1206"/>
      <c r="E15" s="1189"/>
      <c r="F15" s="1236" t="s">
        <v>366</v>
      </c>
      <c r="G15" s="1237"/>
      <c r="H15" s="1238">
        <v>0.8346</v>
      </c>
      <c r="I15" s="1239"/>
      <c r="J15" s="1189"/>
      <c r="K15" s="1240"/>
      <c r="L15" s="1189"/>
      <c r="M15" s="1189"/>
      <c r="N15" s="1241"/>
      <c r="O15" s="1241"/>
      <c r="P15" s="1241"/>
      <c r="Q15" s="1241"/>
      <c r="R15" s="1242"/>
      <c r="S15" s="1235"/>
      <c r="T15" s="1235"/>
      <c r="U15" s="1235"/>
      <c r="V15" s="1206"/>
      <c r="W15" s="1206"/>
      <c r="X15" s="1206"/>
      <c r="Y15" s="1206"/>
      <c r="Z15" s="1206"/>
      <c r="AA15" s="1206"/>
      <c r="AB15" s="1206"/>
      <c r="AC15" s="1206"/>
      <c r="AD15" s="1189"/>
      <c r="AE15" s="1208"/>
    </row>
    <row r="16" spans="1:31" s="1190" customFormat="1" ht="17.1" customHeight="1" thickBot="1" thickTop="1">
      <c r="A16" s="1189"/>
      <c r="B16" s="1205"/>
      <c r="C16" s="1206"/>
      <c r="D16" s="1206"/>
      <c r="E16" s="1189"/>
      <c r="F16" s="1243" t="s">
        <v>26</v>
      </c>
      <c r="G16" s="1244"/>
      <c r="H16" s="1245">
        <v>200</v>
      </c>
      <c r="I16" s="1239"/>
      <c r="J16" s="1206"/>
      <c r="L16" s="1246"/>
      <c r="M16" s="1206"/>
      <c r="N16" s="1241"/>
      <c r="O16" s="1241"/>
      <c r="P16" s="1241"/>
      <c r="Q16" s="1241"/>
      <c r="R16" s="1242"/>
      <c r="S16" s="1235"/>
      <c r="T16" s="1235"/>
      <c r="U16" s="1235"/>
      <c r="V16" s="1206"/>
      <c r="W16" s="1247"/>
      <c r="X16" s="1247"/>
      <c r="Y16" s="1247"/>
      <c r="Z16" s="1247"/>
      <c r="AA16" s="1247"/>
      <c r="AB16" s="1247"/>
      <c r="AC16" s="1189"/>
      <c r="AD16" s="1189"/>
      <c r="AE16" s="1208"/>
    </row>
    <row r="17" spans="1:31" s="1190" customFormat="1" ht="17.1" customHeight="1" thickTop="1">
      <c r="A17" s="1189"/>
      <c r="B17" s="1205"/>
      <c r="C17" s="1206"/>
      <c r="D17" s="1206"/>
      <c r="E17" s="1189"/>
      <c r="F17" s="1248"/>
      <c r="G17" s="1249"/>
      <c r="H17" s="1250"/>
      <c r="I17" s="1239"/>
      <c r="J17" s="1206"/>
      <c r="K17" s="1240"/>
      <c r="L17" s="1246"/>
      <c r="M17" s="1206"/>
      <c r="N17" s="1241"/>
      <c r="O17" s="1241"/>
      <c r="P17" s="1241"/>
      <c r="Q17" s="1241"/>
      <c r="R17" s="1242"/>
      <c r="S17" s="1235"/>
      <c r="T17" s="1235"/>
      <c r="U17" s="1235"/>
      <c r="V17" s="1206"/>
      <c r="W17" s="1247"/>
      <c r="X17" s="1247"/>
      <c r="Y17" s="1247"/>
      <c r="Z17" s="1247"/>
      <c r="AA17" s="1247"/>
      <c r="AB17" s="1247"/>
      <c r="AC17" s="1189"/>
      <c r="AD17" s="1189"/>
      <c r="AE17" s="1208"/>
    </row>
    <row r="18" spans="1:31" s="1190" customFormat="1" ht="17.1" customHeight="1" thickBot="1">
      <c r="A18" s="1189"/>
      <c r="B18" s="1205"/>
      <c r="C18" s="1251">
        <v>3</v>
      </c>
      <c r="D18" s="1251">
        <v>4</v>
      </c>
      <c r="E18" s="1251">
        <v>5</v>
      </c>
      <c r="F18" s="1251">
        <v>6</v>
      </c>
      <c r="G18" s="1251">
        <v>7</v>
      </c>
      <c r="H18" s="1251">
        <v>8</v>
      </c>
      <c r="I18" s="1251">
        <v>9</v>
      </c>
      <c r="J18" s="1251">
        <v>10</v>
      </c>
      <c r="K18" s="1251">
        <v>11</v>
      </c>
      <c r="L18" s="1251">
        <v>12</v>
      </c>
      <c r="M18" s="1251">
        <v>13</v>
      </c>
      <c r="N18" s="1251">
        <v>14</v>
      </c>
      <c r="O18" s="1251">
        <v>15</v>
      </c>
      <c r="P18" s="1251">
        <v>16</v>
      </c>
      <c r="Q18" s="1251">
        <v>17</v>
      </c>
      <c r="R18" s="1251">
        <v>18</v>
      </c>
      <c r="S18" s="1251">
        <v>19</v>
      </c>
      <c r="T18" s="1251">
        <v>20</v>
      </c>
      <c r="U18" s="1251">
        <v>21</v>
      </c>
      <c r="V18" s="1251">
        <v>22</v>
      </c>
      <c r="W18" s="1251">
        <v>23</v>
      </c>
      <c r="X18" s="1251">
        <v>24</v>
      </c>
      <c r="Y18" s="1251">
        <v>25</v>
      </c>
      <c r="Z18" s="1251">
        <v>26</v>
      </c>
      <c r="AA18" s="1251">
        <v>27</v>
      </c>
      <c r="AB18" s="1251">
        <v>28</v>
      </c>
      <c r="AC18" s="1251">
        <v>29</v>
      </c>
      <c r="AD18" s="1251">
        <v>30</v>
      </c>
      <c r="AE18" s="1208"/>
    </row>
    <row r="19" spans="1:31" s="1190" customFormat="1" ht="33.95" customHeight="1" thickBot="1" thickTop="1">
      <c r="A19" s="1189"/>
      <c r="B19" s="1205"/>
      <c r="C19" s="1252" t="s">
        <v>13</v>
      </c>
      <c r="D19" s="1253" t="s">
        <v>242</v>
      </c>
      <c r="E19" s="1253" t="s">
        <v>243</v>
      </c>
      <c r="F19" s="1254" t="s">
        <v>27</v>
      </c>
      <c r="G19" s="1255" t="s">
        <v>28</v>
      </c>
      <c r="H19" s="1256" t="s">
        <v>29</v>
      </c>
      <c r="I19" s="1257" t="s">
        <v>14</v>
      </c>
      <c r="J19" s="1258" t="s">
        <v>16</v>
      </c>
      <c r="K19" s="1255" t="s">
        <v>17</v>
      </c>
      <c r="L19" s="1255" t="s">
        <v>18</v>
      </c>
      <c r="M19" s="1254" t="s">
        <v>30</v>
      </c>
      <c r="N19" s="1254" t="s">
        <v>31</v>
      </c>
      <c r="O19" s="1259" t="s">
        <v>19</v>
      </c>
      <c r="P19" s="1259" t="s">
        <v>58</v>
      </c>
      <c r="Q19" s="1260" t="s">
        <v>32</v>
      </c>
      <c r="R19" s="1260" t="s">
        <v>33</v>
      </c>
      <c r="S19" s="1261" t="s">
        <v>37</v>
      </c>
      <c r="T19" s="1262" t="s">
        <v>20</v>
      </c>
      <c r="U19" s="1263" t="s">
        <v>21</v>
      </c>
      <c r="V19" s="1264" t="s">
        <v>77</v>
      </c>
      <c r="W19" s="1265"/>
      <c r="X19" s="1266" t="s">
        <v>78</v>
      </c>
      <c r="Y19" s="1267"/>
      <c r="Z19" s="1268" t="s">
        <v>22</v>
      </c>
      <c r="AA19" s="1269" t="s">
        <v>73</v>
      </c>
      <c r="AB19" s="1270" t="s">
        <v>74</v>
      </c>
      <c r="AC19" s="1271" t="s">
        <v>79</v>
      </c>
      <c r="AD19" s="1257" t="s">
        <v>24</v>
      </c>
      <c r="AE19" s="1208"/>
    </row>
    <row r="20" spans="1:31" s="1190" customFormat="1" ht="17.1" customHeight="1" thickTop="1">
      <c r="A20" s="1189"/>
      <c r="B20" s="1205"/>
      <c r="C20" s="1272"/>
      <c r="D20" s="1272"/>
      <c r="E20" s="1272"/>
      <c r="F20" s="1273"/>
      <c r="G20" s="1273"/>
      <c r="H20" s="1273"/>
      <c r="I20" s="1274"/>
      <c r="J20" s="1275"/>
      <c r="K20" s="1273"/>
      <c r="L20" s="1273"/>
      <c r="M20" s="1273"/>
      <c r="N20" s="1273"/>
      <c r="O20" s="1273"/>
      <c r="P20" s="1276"/>
      <c r="Q20" s="1277"/>
      <c r="R20" s="1273"/>
      <c r="S20" s="1278"/>
      <c r="T20" s="1279"/>
      <c r="U20" s="1280"/>
      <c r="V20" s="1281"/>
      <c r="W20" s="1282"/>
      <c r="X20" s="1283"/>
      <c r="Y20" s="1284"/>
      <c r="Z20" s="1285"/>
      <c r="AA20" s="1286"/>
      <c r="AB20" s="1277"/>
      <c r="AC20" s="1287"/>
      <c r="AD20" s="1288"/>
      <c r="AE20" s="1208"/>
    </row>
    <row r="21" spans="1:31" s="1190" customFormat="1" ht="17.1" customHeight="1">
      <c r="A21" s="1189"/>
      <c r="B21" s="1205"/>
      <c r="C21" s="1289"/>
      <c r="D21" s="1289"/>
      <c r="E21" s="1289"/>
      <c r="F21" s="1289"/>
      <c r="G21" s="1289"/>
      <c r="H21" s="1289"/>
      <c r="I21" s="1290"/>
      <c r="J21" s="1291"/>
      <c r="K21" s="1289"/>
      <c r="L21" s="1289"/>
      <c r="M21" s="1289"/>
      <c r="N21" s="1289"/>
      <c r="O21" s="1289"/>
      <c r="P21" s="1292"/>
      <c r="Q21" s="1293"/>
      <c r="R21" s="1289"/>
      <c r="S21" s="1294"/>
      <c r="T21" s="1295"/>
      <c r="U21" s="1296"/>
      <c r="V21" s="1297"/>
      <c r="W21" s="1298"/>
      <c r="X21" s="1299"/>
      <c r="Y21" s="1300"/>
      <c r="Z21" s="1301"/>
      <c r="AA21" s="1302"/>
      <c r="AB21" s="1293"/>
      <c r="AC21" s="1303"/>
      <c r="AD21" s="1304"/>
      <c r="AE21" s="1208"/>
    </row>
    <row r="22" spans="1:31" s="1190" customFormat="1" ht="17.1" customHeight="1">
      <c r="A22" s="1189"/>
      <c r="B22" s="1205"/>
      <c r="C22" s="1289">
        <v>41</v>
      </c>
      <c r="D22" s="1289">
        <v>297378</v>
      </c>
      <c r="E22" s="1305">
        <v>5099</v>
      </c>
      <c r="F22" s="958" t="s">
        <v>367</v>
      </c>
      <c r="G22" s="959" t="s">
        <v>320</v>
      </c>
      <c r="H22" s="960">
        <v>300</v>
      </c>
      <c r="I22" s="961" t="s">
        <v>135</v>
      </c>
      <c r="J22" s="1306">
        <f>H22*$H$15</f>
        <v>250.38</v>
      </c>
      <c r="K22" s="964">
        <v>42383.09583333333</v>
      </c>
      <c r="L22" s="964">
        <v>42383.10138888889</v>
      </c>
      <c r="M22" s="1307">
        <f aca="true" t="shared" si="0" ref="M22:M41">IF(F22="","",(L22-K22)*24)</f>
        <v>0.13333333341870457</v>
      </c>
      <c r="N22" s="1308">
        <f aca="true" t="shared" si="1" ref="N22:N41">IF(F22="","",ROUND((L22-K22)*24*60,0))</f>
        <v>8</v>
      </c>
      <c r="O22" s="1309" t="s">
        <v>308</v>
      </c>
      <c r="P22" s="1310" t="str">
        <f aca="true" t="shared" si="2" ref="P22:P41">IF(F22="","","--")</f>
        <v>--</v>
      </c>
      <c r="Q22" s="1311" t="s">
        <v>213</v>
      </c>
      <c r="R22" s="1312" t="str">
        <f>IF(F22="","","NO")</f>
        <v>NO</v>
      </c>
      <c r="S22" s="1294">
        <f aca="true" t="shared" si="3" ref="S22:S41">$H$16*IF(OR(O22="P",O22="RP"),0.1,1)*IF(R22="SI",1,0.1)</f>
        <v>20</v>
      </c>
      <c r="T22" s="1313" t="str">
        <f aca="true" t="shared" si="4" ref="T22:T41">IF(O22="P",J22*S22*ROUND(N22/60,2),"--")</f>
        <v>--</v>
      </c>
      <c r="U22" s="1314" t="str">
        <f aca="true" t="shared" si="5" ref="U22:U41">IF(O22="RP",J22*S22*P22/100*ROUND(N22/60,2),"--")</f>
        <v>--</v>
      </c>
      <c r="V22" s="1315" t="str">
        <f aca="true" t="shared" si="6" ref="V22:V41">IF(AND(O22="F",Q22="NO"),J22*S22,"--")</f>
        <v>--</v>
      </c>
      <c r="W22" s="1316">
        <f aca="true" t="shared" si="7" ref="W22:W41">IF(O22="F",J22*S22*ROUND(N22/60,2),"--")</f>
        <v>650.988</v>
      </c>
      <c r="X22" s="1317" t="str">
        <f aca="true" t="shared" si="8" ref="X22:X41">IF(AND(O22="R",Q22="NO"),J22*S22*P22/100,"--")</f>
        <v>--</v>
      </c>
      <c r="Y22" s="1318" t="str">
        <f aca="true" t="shared" si="9" ref="Y22:Y41">IF(O22="R",J22*S22*P22/100*ROUND(N22/60,2),"--")</f>
        <v>--</v>
      </c>
      <c r="Z22" s="1319" t="str">
        <f aca="true" t="shared" si="10" ref="Z22:Z41">IF(O22="RF",J22*S22*ROUND(N22/60,2),"--")</f>
        <v>--</v>
      </c>
      <c r="AA22" s="1320" t="str">
        <f aca="true" t="shared" si="11" ref="AA22:AA41">IF(O22="RR",J22*S22*P22/100*ROUND(N22/60,2),"--")</f>
        <v>--</v>
      </c>
      <c r="AB22" s="1321" t="str">
        <f aca="true" t="shared" si="12" ref="AB22:AB41">IF(F22="","","SI")</f>
        <v>SI</v>
      </c>
      <c r="AC22" s="1322">
        <f aca="true" t="shared" si="13" ref="AC22:AC41">SUM(T22:AA22)*IF(AB22="SI",1,2)</f>
        <v>650.988</v>
      </c>
      <c r="AD22" s="1323">
        <f>IF(F22="","",AC22*IF(AND(P22&lt;&gt;"--",O22="RF"),P22/100,1))</f>
        <v>650.988</v>
      </c>
      <c r="AE22" s="1208"/>
    </row>
    <row r="23" spans="1:31" s="1190" customFormat="1" ht="17.1" customHeight="1">
      <c r="A23" s="1189"/>
      <c r="B23" s="1205"/>
      <c r="C23" s="1289">
        <v>42</v>
      </c>
      <c r="D23" s="1289">
        <v>297379</v>
      </c>
      <c r="E23" s="1305">
        <v>5099</v>
      </c>
      <c r="F23" s="958" t="s">
        <v>367</v>
      </c>
      <c r="G23" s="959" t="s">
        <v>320</v>
      </c>
      <c r="H23" s="960">
        <v>300</v>
      </c>
      <c r="I23" s="961" t="s">
        <v>135</v>
      </c>
      <c r="J23" s="1306">
        <f>H23*$H$15</f>
        <v>250.38</v>
      </c>
      <c r="K23" s="983">
        <v>42383.217361111114</v>
      </c>
      <c r="L23" s="983">
        <v>42383.25</v>
      </c>
      <c r="M23" s="1307">
        <f aca="true" t="shared" si="14" ref="M23">IF(F23="","",(L23-K23)*24)</f>
        <v>0.7833333332673647</v>
      </c>
      <c r="N23" s="1308">
        <f aca="true" t="shared" si="15" ref="N23">IF(F23="","",ROUND((L23-K23)*24*60,0))</f>
        <v>47</v>
      </c>
      <c r="O23" s="1324" t="s">
        <v>308</v>
      </c>
      <c r="P23" s="1310" t="str">
        <f t="shared" si="2"/>
        <v>--</v>
      </c>
      <c r="Q23" s="1311" t="s">
        <v>213</v>
      </c>
      <c r="R23" s="1312" t="str">
        <f>IF(F23="","","NO")</f>
        <v>NO</v>
      </c>
      <c r="S23" s="1294">
        <f aca="true" t="shared" si="16" ref="S23">$H$16*IF(OR(O23="P",O23="RP"),0.1,1)*IF(R23="SI",1,0.1)</f>
        <v>20</v>
      </c>
      <c r="T23" s="1313" t="str">
        <f aca="true" t="shared" si="17" ref="T23">IF(O23="P",J23*S23*ROUND(N23/60,2),"--")</f>
        <v>--</v>
      </c>
      <c r="U23" s="1314" t="str">
        <f aca="true" t="shared" si="18" ref="U23">IF(O23="RP",J23*S23*P23/100*ROUND(N23/60,2),"--")</f>
        <v>--</v>
      </c>
      <c r="V23" s="1315" t="str">
        <f aca="true" t="shared" si="19" ref="V23">IF(AND(O23="F",Q23="NO"),J23*S23,"--")</f>
        <v>--</v>
      </c>
      <c r="W23" s="1316">
        <f aca="true" t="shared" si="20" ref="W23">IF(O23="F",J23*S23*ROUND(N23/60,2),"--")</f>
        <v>3905.9280000000003</v>
      </c>
      <c r="X23" s="1317" t="str">
        <f aca="true" t="shared" si="21" ref="X23">IF(AND(O23="R",Q23="NO"),J23*S23*P23/100,"--")</f>
        <v>--</v>
      </c>
      <c r="Y23" s="1318" t="str">
        <f aca="true" t="shared" si="22" ref="Y23">IF(O23="R",J23*S23*P23/100*ROUND(N23/60,2),"--")</f>
        <v>--</v>
      </c>
      <c r="Z23" s="1319" t="str">
        <f aca="true" t="shared" si="23" ref="Z23">IF(O23="RF",J23*S23*ROUND(N23/60,2),"--")</f>
        <v>--</v>
      </c>
      <c r="AA23" s="1320" t="str">
        <f aca="true" t="shared" si="24" ref="AA23">IF(O23="RR",J23*S23*P23/100*ROUND(N23/60,2),"--")</f>
        <v>--</v>
      </c>
      <c r="AB23" s="1321" t="str">
        <f aca="true" t="shared" si="25" ref="AB23">IF(F23="","","SI")</f>
        <v>SI</v>
      </c>
      <c r="AC23" s="1322">
        <f aca="true" t="shared" si="26" ref="AC23">SUM(T23:AA23)*IF(AB23="SI",1,2)</f>
        <v>3905.9280000000003</v>
      </c>
      <c r="AD23" s="1323">
        <f>IF(F23="","",AC23*IF(AND(P23&lt;&gt;"--",O23="RF"),P23/100,1))</f>
        <v>3905.9280000000003</v>
      </c>
      <c r="AE23" s="1208"/>
    </row>
    <row r="24" spans="1:31" s="1190" customFormat="1" ht="17.1" customHeight="1">
      <c r="A24" s="1189"/>
      <c r="B24" s="1205"/>
      <c r="C24" s="1289"/>
      <c r="D24" s="1289"/>
      <c r="E24" s="1305"/>
      <c r="F24" s="958"/>
      <c r="G24" s="959"/>
      <c r="H24" s="960"/>
      <c r="I24" s="961"/>
      <c r="J24" s="1306">
        <f aca="true" t="shared" si="27" ref="J24:J41">IF(F24="RINCÓN",H24*$H$15,H24*$H$14)</f>
        <v>0</v>
      </c>
      <c r="K24" s="983"/>
      <c r="L24" s="983"/>
      <c r="M24" s="1307"/>
      <c r="N24" s="1308"/>
      <c r="O24" s="1324"/>
      <c r="P24" s="1310"/>
      <c r="Q24" s="1311"/>
      <c r="R24" s="1312" t="str">
        <f>IF(F24="","","NO")</f>
        <v/>
      </c>
      <c r="S24" s="1294">
        <f>$H$16*IF(OR(O24="P",O24="RP"),0.1,1)*IF(R24="SI",1,0.1)</f>
        <v>20</v>
      </c>
      <c r="T24" s="1313" t="str">
        <f>IF(O24="P",J24*S24*ROUND(N24/60,2),"--")</f>
        <v>--</v>
      </c>
      <c r="U24" s="1314" t="str">
        <f>IF(O24="RP",J24*S24*P24/100*ROUND(N24/60,2),"--")</f>
        <v>--</v>
      </c>
      <c r="V24" s="1315" t="str">
        <f>IF(AND(O24="F",Q24="NO"),J24*S24,"--")</f>
        <v>--</v>
      </c>
      <c r="W24" s="1316" t="str">
        <f>IF(O24="F",J24*S24*ROUND(N24/60,2),"--")</f>
        <v>--</v>
      </c>
      <c r="X24" s="1317" t="str">
        <f>IF(AND(O24="R",Q24="NO"),J24*S24*P24/100,"--")</f>
        <v>--</v>
      </c>
      <c r="Y24" s="1318" t="str">
        <f>IF(O24="R",J24*S24*P24/100*ROUND(N24/60,2),"--")</f>
        <v>--</v>
      </c>
      <c r="Z24" s="1319" t="str">
        <f>IF(O24="RF",J24*S24*ROUND(N24/60,2),"--")</f>
        <v>--</v>
      </c>
      <c r="AA24" s="1320" t="str">
        <f>IF(O24="RR",J24*S24*P24/100*ROUND(N24/60,2),"--")</f>
        <v>--</v>
      </c>
      <c r="AB24" s="1321" t="str">
        <f>IF(F24="","","SI")</f>
        <v/>
      </c>
      <c r="AC24" s="1322">
        <f>SUM(T24:AA24)*IF(AB24="SI",1,2)</f>
        <v>0</v>
      </c>
      <c r="AD24" s="1323" t="str">
        <f>IF(F24="","",AC24*$L$16*IF(AND(P24&lt;&gt;"--",O24="RF"),P24/100,1))</f>
        <v/>
      </c>
      <c r="AE24" s="1208"/>
    </row>
    <row r="25" spans="1:31" s="1190" customFormat="1" ht="17.1" customHeight="1">
      <c r="A25" s="1189"/>
      <c r="B25" s="1205"/>
      <c r="C25" s="1289"/>
      <c r="D25" s="1289"/>
      <c r="E25" s="1289"/>
      <c r="F25" s="958"/>
      <c r="G25" s="959"/>
      <c r="H25" s="960"/>
      <c r="I25" s="1325"/>
      <c r="J25" s="1306">
        <f t="shared" si="27"/>
        <v>0</v>
      </c>
      <c r="K25" s="983"/>
      <c r="L25" s="983"/>
      <c r="M25" s="1307" t="str">
        <f t="shared" si="0"/>
        <v/>
      </c>
      <c r="N25" s="1308" t="str">
        <f t="shared" si="1"/>
        <v/>
      </c>
      <c r="O25" s="1324"/>
      <c r="P25" s="1310" t="str">
        <f t="shared" si="2"/>
        <v/>
      </c>
      <c r="Q25" s="1311" t="str">
        <f aca="true" t="shared" si="28" ref="Q25:Q41">IF(F25="","",IF(OR(O25="P",O25="RP"),"--","NO"))</f>
        <v/>
      </c>
      <c r="R25" s="1312" t="str">
        <f aca="true" t="shared" si="29" ref="R25:R41">IF(F25="","","NO")</f>
        <v/>
      </c>
      <c r="S25" s="1294">
        <f t="shared" si="3"/>
        <v>20</v>
      </c>
      <c r="T25" s="1313" t="str">
        <f t="shared" si="4"/>
        <v>--</v>
      </c>
      <c r="U25" s="1314" t="str">
        <f t="shared" si="5"/>
        <v>--</v>
      </c>
      <c r="V25" s="1315" t="str">
        <f t="shared" si="6"/>
        <v>--</v>
      </c>
      <c r="W25" s="1316" t="str">
        <f t="shared" si="7"/>
        <v>--</v>
      </c>
      <c r="X25" s="1317" t="str">
        <f t="shared" si="8"/>
        <v>--</v>
      </c>
      <c r="Y25" s="1318" t="str">
        <f t="shared" si="9"/>
        <v>--</v>
      </c>
      <c r="Z25" s="1319" t="str">
        <f t="shared" si="10"/>
        <v>--</v>
      </c>
      <c r="AA25" s="1320" t="str">
        <f t="shared" si="11"/>
        <v>--</v>
      </c>
      <c r="AB25" s="1321" t="str">
        <f t="shared" si="12"/>
        <v/>
      </c>
      <c r="AC25" s="1322">
        <f t="shared" si="13"/>
        <v>0</v>
      </c>
      <c r="AD25" s="1323" t="str">
        <f aca="true" t="shared" si="30" ref="AD25:AD41">IF(F25="","",AC25*$L$16*IF(AND(P25&lt;&gt;"--",O25="RF"),P25/100,1))</f>
        <v/>
      </c>
      <c r="AE25" s="1208"/>
    </row>
    <row r="26" spans="1:31" s="1190" customFormat="1" ht="17.1" customHeight="1">
      <c r="A26" s="1189"/>
      <c r="B26" s="1205"/>
      <c r="C26" s="1289"/>
      <c r="D26" s="1289"/>
      <c r="E26" s="1305"/>
      <c r="F26" s="958"/>
      <c r="G26" s="959"/>
      <c r="H26" s="960"/>
      <c r="I26" s="1325"/>
      <c r="J26" s="1306">
        <f t="shared" si="27"/>
        <v>0</v>
      </c>
      <c r="K26" s="983"/>
      <c r="L26" s="983"/>
      <c r="M26" s="1307" t="str">
        <f t="shared" si="0"/>
        <v/>
      </c>
      <c r="N26" s="1308" t="str">
        <f t="shared" si="1"/>
        <v/>
      </c>
      <c r="O26" s="1324"/>
      <c r="P26" s="1310" t="str">
        <f t="shared" si="2"/>
        <v/>
      </c>
      <c r="Q26" s="1311" t="str">
        <f t="shared" si="28"/>
        <v/>
      </c>
      <c r="R26" s="1312" t="str">
        <f t="shared" si="29"/>
        <v/>
      </c>
      <c r="S26" s="1294">
        <f t="shared" si="3"/>
        <v>20</v>
      </c>
      <c r="T26" s="1313" t="str">
        <f t="shared" si="4"/>
        <v>--</v>
      </c>
      <c r="U26" s="1314" t="str">
        <f t="shared" si="5"/>
        <v>--</v>
      </c>
      <c r="V26" s="1315" t="str">
        <f t="shared" si="6"/>
        <v>--</v>
      </c>
      <c r="W26" s="1316" t="str">
        <f t="shared" si="7"/>
        <v>--</v>
      </c>
      <c r="X26" s="1317" t="str">
        <f t="shared" si="8"/>
        <v>--</v>
      </c>
      <c r="Y26" s="1318" t="str">
        <f t="shared" si="9"/>
        <v>--</v>
      </c>
      <c r="Z26" s="1319" t="str">
        <f t="shared" si="10"/>
        <v>--</v>
      </c>
      <c r="AA26" s="1320" t="str">
        <f t="shared" si="11"/>
        <v>--</v>
      </c>
      <c r="AB26" s="1321" t="str">
        <f t="shared" si="12"/>
        <v/>
      </c>
      <c r="AC26" s="1322">
        <f t="shared" si="13"/>
        <v>0</v>
      </c>
      <c r="AD26" s="1323" t="str">
        <f t="shared" si="30"/>
        <v/>
      </c>
      <c r="AE26" s="1208"/>
    </row>
    <row r="27" spans="1:31" s="1190" customFormat="1" ht="17.1" customHeight="1">
      <c r="A27" s="1189"/>
      <c r="B27" s="1205"/>
      <c r="C27" s="1289"/>
      <c r="D27" s="1289"/>
      <c r="E27" s="1289"/>
      <c r="F27" s="958"/>
      <c r="G27" s="959"/>
      <c r="H27" s="960"/>
      <c r="I27" s="1325"/>
      <c r="J27" s="1306">
        <f t="shared" si="27"/>
        <v>0</v>
      </c>
      <c r="K27" s="983"/>
      <c r="L27" s="983"/>
      <c r="M27" s="1307" t="str">
        <f t="shared" si="0"/>
        <v/>
      </c>
      <c r="N27" s="1308" t="str">
        <f t="shared" si="1"/>
        <v/>
      </c>
      <c r="O27" s="1324"/>
      <c r="P27" s="1310" t="str">
        <f t="shared" si="2"/>
        <v/>
      </c>
      <c r="Q27" s="1311" t="str">
        <f t="shared" si="28"/>
        <v/>
      </c>
      <c r="R27" s="1312" t="str">
        <f t="shared" si="29"/>
        <v/>
      </c>
      <c r="S27" s="1294">
        <f t="shared" si="3"/>
        <v>20</v>
      </c>
      <c r="T27" s="1313" t="str">
        <f t="shared" si="4"/>
        <v>--</v>
      </c>
      <c r="U27" s="1314" t="str">
        <f t="shared" si="5"/>
        <v>--</v>
      </c>
      <c r="V27" s="1315" t="str">
        <f t="shared" si="6"/>
        <v>--</v>
      </c>
      <c r="W27" s="1316" t="str">
        <f t="shared" si="7"/>
        <v>--</v>
      </c>
      <c r="X27" s="1317" t="str">
        <f t="shared" si="8"/>
        <v>--</v>
      </c>
      <c r="Y27" s="1318" t="str">
        <f t="shared" si="9"/>
        <v>--</v>
      </c>
      <c r="Z27" s="1319" t="str">
        <f t="shared" si="10"/>
        <v>--</v>
      </c>
      <c r="AA27" s="1320" t="str">
        <f t="shared" si="11"/>
        <v>--</v>
      </c>
      <c r="AB27" s="1321" t="str">
        <f t="shared" si="12"/>
        <v/>
      </c>
      <c r="AC27" s="1322">
        <f t="shared" si="13"/>
        <v>0</v>
      </c>
      <c r="AD27" s="1323" t="str">
        <f t="shared" si="30"/>
        <v/>
      </c>
      <c r="AE27" s="1208"/>
    </row>
    <row r="28" spans="1:32" s="1190" customFormat="1" ht="17.1" customHeight="1">
      <c r="A28" s="1189"/>
      <c r="B28" s="1205"/>
      <c r="C28" s="1289"/>
      <c r="D28" s="1289"/>
      <c r="E28" s="1305"/>
      <c r="F28" s="958"/>
      <c r="G28" s="959"/>
      <c r="H28" s="960"/>
      <c r="I28" s="1325"/>
      <c r="J28" s="1306">
        <f t="shared" si="27"/>
        <v>0</v>
      </c>
      <c r="K28" s="983"/>
      <c r="L28" s="983"/>
      <c r="M28" s="1307" t="str">
        <f t="shared" si="0"/>
        <v/>
      </c>
      <c r="N28" s="1308" t="str">
        <f t="shared" si="1"/>
        <v/>
      </c>
      <c r="O28" s="1324"/>
      <c r="P28" s="1310" t="str">
        <f t="shared" si="2"/>
        <v/>
      </c>
      <c r="Q28" s="1311" t="str">
        <f t="shared" si="28"/>
        <v/>
      </c>
      <c r="R28" s="1312" t="str">
        <f t="shared" si="29"/>
        <v/>
      </c>
      <c r="S28" s="1294">
        <f t="shared" si="3"/>
        <v>20</v>
      </c>
      <c r="T28" s="1313" t="str">
        <f t="shared" si="4"/>
        <v>--</v>
      </c>
      <c r="U28" s="1314" t="str">
        <f t="shared" si="5"/>
        <v>--</v>
      </c>
      <c r="V28" s="1315" t="str">
        <f t="shared" si="6"/>
        <v>--</v>
      </c>
      <c r="W28" s="1316" t="str">
        <f t="shared" si="7"/>
        <v>--</v>
      </c>
      <c r="X28" s="1317" t="str">
        <f t="shared" si="8"/>
        <v>--</v>
      </c>
      <c r="Y28" s="1318" t="str">
        <f t="shared" si="9"/>
        <v>--</v>
      </c>
      <c r="Z28" s="1319" t="str">
        <f t="shared" si="10"/>
        <v>--</v>
      </c>
      <c r="AA28" s="1320" t="str">
        <f t="shared" si="11"/>
        <v>--</v>
      </c>
      <c r="AB28" s="1321" t="str">
        <f t="shared" si="12"/>
        <v/>
      </c>
      <c r="AC28" s="1322">
        <f t="shared" si="13"/>
        <v>0</v>
      </c>
      <c r="AD28" s="1323" t="str">
        <f t="shared" si="30"/>
        <v/>
      </c>
      <c r="AE28" s="1208"/>
      <c r="AF28" s="1206"/>
    </row>
    <row r="29" spans="1:31" s="1190" customFormat="1" ht="17.1" customHeight="1">
      <c r="A29" s="1189"/>
      <c r="B29" s="1205"/>
      <c r="C29" s="1289"/>
      <c r="D29" s="1289"/>
      <c r="E29" s="1289"/>
      <c r="F29" s="958"/>
      <c r="G29" s="959"/>
      <c r="H29" s="960"/>
      <c r="I29" s="1325"/>
      <c r="J29" s="1306">
        <f t="shared" si="27"/>
        <v>0</v>
      </c>
      <c r="K29" s="983"/>
      <c r="L29" s="983"/>
      <c r="M29" s="1307" t="str">
        <f t="shared" si="0"/>
        <v/>
      </c>
      <c r="N29" s="1308" t="str">
        <f t="shared" si="1"/>
        <v/>
      </c>
      <c r="O29" s="1324"/>
      <c r="P29" s="1310" t="str">
        <f t="shared" si="2"/>
        <v/>
      </c>
      <c r="Q29" s="1311" t="str">
        <f t="shared" si="28"/>
        <v/>
      </c>
      <c r="R29" s="1312" t="str">
        <f t="shared" si="29"/>
        <v/>
      </c>
      <c r="S29" s="1294">
        <f t="shared" si="3"/>
        <v>20</v>
      </c>
      <c r="T29" s="1313" t="str">
        <f t="shared" si="4"/>
        <v>--</v>
      </c>
      <c r="U29" s="1314" t="str">
        <f t="shared" si="5"/>
        <v>--</v>
      </c>
      <c r="V29" s="1315" t="str">
        <f t="shared" si="6"/>
        <v>--</v>
      </c>
      <c r="W29" s="1316" t="str">
        <f t="shared" si="7"/>
        <v>--</v>
      </c>
      <c r="X29" s="1317" t="str">
        <f t="shared" si="8"/>
        <v>--</v>
      </c>
      <c r="Y29" s="1318" t="str">
        <f t="shared" si="9"/>
        <v>--</v>
      </c>
      <c r="Z29" s="1319" t="str">
        <f t="shared" si="10"/>
        <v>--</v>
      </c>
      <c r="AA29" s="1320" t="str">
        <f t="shared" si="11"/>
        <v>--</v>
      </c>
      <c r="AB29" s="1321" t="str">
        <f t="shared" si="12"/>
        <v/>
      </c>
      <c r="AC29" s="1322">
        <f t="shared" si="13"/>
        <v>0</v>
      </c>
      <c r="AD29" s="1323" t="str">
        <f t="shared" si="30"/>
        <v/>
      </c>
      <c r="AE29" s="1208"/>
    </row>
    <row r="30" spans="1:31" s="1190" customFormat="1" ht="17.1" customHeight="1">
      <c r="A30" s="1189"/>
      <c r="B30" s="1205"/>
      <c r="C30" s="1289"/>
      <c r="D30" s="1289"/>
      <c r="E30" s="1305"/>
      <c r="F30" s="958"/>
      <c r="G30" s="959"/>
      <c r="H30" s="960"/>
      <c r="I30" s="1325"/>
      <c r="J30" s="1306">
        <f t="shared" si="27"/>
        <v>0</v>
      </c>
      <c r="K30" s="983"/>
      <c r="L30" s="983"/>
      <c r="M30" s="1307" t="str">
        <f t="shared" si="0"/>
        <v/>
      </c>
      <c r="N30" s="1308" t="str">
        <f t="shared" si="1"/>
        <v/>
      </c>
      <c r="O30" s="1324"/>
      <c r="P30" s="1310" t="str">
        <f t="shared" si="2"/>
        <v/>
      </c>
      <c r="Q30" s="1311" t="str">
        <f t="shared" si="28"/>
        <v/>
      </c>
      <c r="R30" s="1312" t="str">
        <f t="shared" si="29"/>
        <v/>
      </c>
      <c r="S30" s="1294">
        <f t="shared" si="3"/>
        <v>20</v>
      </c>
      <c r="T30" s="1313" t="str">
        <f t="shared" si="4"/>
        <v>--</v>
      </c>
      <c r="U30" s="1314" t="str">
        <f t="shared" si="5"/>
        <v>--</v>
      </c>
      <c r="V30" s="1315" t="str">
        <f t="shared" si="6"/>
        <v>--</v>
      </c>
      <c r="W30" s="1316" t="str">
        <f t="shared" si="7"/>
        <v>--</v>
      </c>
      <c r="X30" s="1317" t="str">
        <f t="shared" si="8"/>
        <v>--</v>
      </c>
      <c r="Y30" s="1318" t="str">
        <f t="shared" si="9"/>
        <v>--</v>
      </c>
      <c r="Z30" s="1319" t="str">
        <f t="shared" si="10"/>
        <v>--</v>
      </c>
      <c r="AA30" s="1320" t="str">
        <f t="shared" si="11"/>
        <v>--</v>
      </c>
      <c r="AB30" s="1321" t="str">
        <f t="shared" si="12"/>
        <v/>
      </c>
      <c r="AC30" s="1322">
        <f t="shared" si="13"/>
        <v>0</v>
      </c>
      <c r="AD30" s="1323" t="str">
        <f t="shared" si="30"/>
        <v/>
      </c>
      <c r="AE30" s="1208"/>
    </row>
    <row r="31" spans="1:31" s="1190" customFormat="1" ht="17.1" customHeight="1">
      <c r="A31" s="1189"/>
      <c r="B31" s="1205"/>
      <c r="C31" s="1289"/>
      <c r="D31" s="1289"/>
      <c r="E31" s="1289"/>
      <c r="F31" s="958"/>
      <c r="G31" s="959"/>
      <c r="H31" s="960"/>
      <c r="I31" s="1325"/>
      <c r="J31" s="1306">
        <f t="shared" si="27"/>
        <v>0</v>
      </c>
      <c r="K31" s="983"/>
      <c r="L31" s="983"/>
      <c r="M31" s="1307" t="str">
        <f t="shared" si="0"/>
        <v/>
      </c>
      <c r="N31" s="1308" t="str">
        <f t="shared" si="1"/>
        <v/>
      </c>
      <c r="O31" s="1324"/>
      <c r="P31" s="1310" t="str">
        <f t="shared" si="2"/>
        <v/>
      </c>
      <c r="Q31" s="1311" t="str">
        <f t="shared" si="28"/>
        <v/>
      </c>
      <c r="R31" s="1312" t="str">
        <f t="shared" si="29"/>
        <v/>
      </c>
      <c r="S31" s="1294">
        <f t="shared" si="3"/>
        <v>20</v>
      </c>
      <c r="T31" s="1313" t="str">
        <f t="shared" si="4"/>
        <v>--</v>
      </c>
      <c r="U31" s="1314" t="str">
        <f t="shared" si="5"/>
        <v>--</v>
      </c>
      <c r="V31" s="1315" t="str">
        <f t="shared" si="6"/>
        <v>--</v>
      </c>
      <c r="W31" s="1316" t="str">
        <f t="shared" si="7"/>
        <v>--</v>
      </c>
      <c r="X31" s="1317" t="str">
        <f t="shared" si="8"/>
        <v>--</v>
      </c>
      <c r="Y31" s="1318" t="str">
        <f t="shared" si="9"/>
        <v>--</v>
      </c>
      <c r="Z31" s="1319" t="str">
        <f t="shared" si="10"/>
        <v>--</v>
      </c>
      <c r="AA31" s="1320" t="str">
        <f t="shared" si="11"/>
        <v>--</v>
      </c>
      <c r="AB31" s="1321" t="str">
        <f t="shared" si="12"/>
        <v/>
      </c>
      <c r="AC31" s="1322">
        <f t="shared" si="13"/>
        <v>0</v>
      </c>
      <c r="AD31" s="1323" t="str">
        <f t="shared" si="30"/>
        <v/>
      </c>
      <c r="AE31" s="1208"/>
    </row>
    <row r="32" spans="1:31" s="1190" customFormat="1" ht="17.1" customHeight="1">
      <c r="A32" s="1189"/>
      <c r="B32" s="1205"/>
      <c r="C32" s="1289"/>
      <c r="D32" s="1289"/>
      <c r="E32" s="1305"/>
      <c r="F32" s="958"/>
      <c r="G32" s="1326"/>
      <c r="H32" s="960"/>
      <c r="I32" s="1325"/>
      <c r="J32" s="1306">
        <f t="shared" si="27"/>
        <v>0</v>
      </c>
      <c r="K32" s="983"/>
      <c r="L32" s="983"/>
      <c r="M32" s="1307" t="str">
        <f t="shared" si="0"/>
        <v/>
      </c>
      <c r="N32" s="1308" t="str">
        <f t="shared" si="1"/>
        <v/>
      </c>
      <c r="O32" s="1324"/>
      <c r="P32" s="1310" t="str">
        <f t="shared" si="2"/>
        <v/>
      </c>
      <c r="Q32" s="1311" t="str">
        <f t="shared" si="28"/>
        <v/>
      </c>
      <c r="R32" s="1312" t="str">
        <f t="shared" si="29"/>
        <v/>
      </c>
      <c r="S32" s="1294">
        <f t="shared" si="3"/>
        <v>20</v>
      </c>
      <c r="T32" s="1313" t="str">
        <f t="shared" si="4"/>
        <v>--</v>
      </c>
      <c r="U32" s="1314" t="str">
        <f t="shared" si="5"/>
        <v>--</v>
      </c>
      <c r="V32" s="1315" t="str">
        <f t="shared" si="6"/>
        <v>--</v>
      </c>
      <c r="W32" s="1316" t="str">
        <f t="shared" si="7"/>
        <v>--</v>
      </c>
      <c r="X32" s="1317" t="str">
        <f t="shared" si="8"/>
        <v>--</v>
      </c>
      <c r="Y32" s="1318" t="str">
        <f t="shared" si="9"/>
        <v>--</v>
      </c>
      <c r="Z32" s="1319" t="str">
        <f t="shared" si="10"/>
        <v>--</v>
      </c>
      <c r="AA32" s="1320" t="str">
        <f t="shared" si="11"/>
        <v>--</v>
      </c>
      <c r="AB32" s="1321" t="str">
        <f t="shared" si="12"/>
        <v/>
      </c>
      <c r="AC32" s="1322">
        <f t="shared" si="13"/>
        <v>0</v>
      </c>
      <c r="AD32" s="1323" t="str">
        <f t="shared" si="30"/>
        <v/>
      </c>
      <c r="AE32" s="1208"/>
    </row>
    <row r="33" spans="1:31" s="1190" customFormat="1" ht="17.1" customHeight="1">
      <c r="A33" s="1189"/>
      <c r="B33" s="1205"/>
      <c r="C33" s="1289"/>
      <c r="D33" s="1289"/>
      <c r="E33" s="1289"/>
      <c r="F33" s="958"/>
      <c r="G33" s="1326"/>
      <c r="H33" s="960"/>
      <c r="I33" s="1325"/>
      <c r="J33" s="1306">
        <f t="shared" si="27"/>
        <v>0</v>
      </c>
      <c r="K33" s="983"/>
      <c r="L33" s="983"/>
      <c r="M33" s="1307" t="str">
        <f t="shared" si="0"/>
        <v/>
      </c>
      <c r="N33" s="1308" t="str">
        <f t="shared" si="1"/>
        <v/>
      </c>
      <c r="O33" s="1324"/>
      <c r="P33" s="1310" t="str">
        <f t="shared" si="2"/>
        <v/>
      </c>
      <c r="Q33" s="1311" t="str">
        <f t="shared" si="28"/>
        <v/>
      </c>
      <c r="R33" s="1312" t="str">
        <f t="shared" si="29"/>
        <v/>
      </c>
      <c r="S33" s="1294">
        <f t="shared" si="3"/>
        <v>20</v>
      </c>
      <c r="T33" s="1313" t="str">
        <f t="shared" si="4"/>
        <v>--</v>
      </c>
      <c r="U33" s="1314" t="str">
        <f t="shared" si="5"/>
        <v>--</v>
      </c>
      <c r="V33" s="1315" t="str">
        <f t="shared" si="6"/>
        <v>--</v>
      </c>
      <c r="W33" s="1316" t="str">
        <f t="shared" si="7"/>
        <v>--</v>
      </c>
      <c r="X33" s="1317" t="str">
        <f t="shared" si="8"/>
        <v>--</v>
      </c>
      <c r="Y33" s="1318" t="str">
        <f t="shared" si="9"/>
        <v>--</v>
      </c>
      <c r="Z33" s="1319" t="str">
        <f t="shared" si="10"/>
        <v>--</v>
      </c>
      <c r="AA33" s="1320" t="str">
        <f t="shared" si="11"/>
        <v>--</v>
      </c>
      <c r="AB33" s="1321" t="str">
        <f t="shared" si="12"/>
        <v/>
      </c>
      <c r="AC33" s="1322">
        <f t="shared" si="13"/>
        <v>0</v>
      </c>
      <c r="AD33" s="1323" t="str">
        <f t="shared" si="30"/>
        <v/>
      </c>
      <c r="AE33" s="1208"/>
    </row>
    <row r="34" spans="1:31" s="1190" customFormat="1" ht="17.1" customHeight="1">
      <c r="A34" s="1189"/>
      <c r="B34" s="1205"/>
      <c r="C34" s="1289"/>
      <c r="D34" s="1289"/>
      <c r="E34" s="1305"/>
      <c r="F34" s="958"/>
      <c r="G34" s="1326"/>
      <c r="H34" s="960"/>
      <c r="I34" s="1325"/>
      <c r="J34" s="1306">
        <f t="shared" si="27"/>
        <v>0</v>
      </c>
      <c r="K34" s="983"/>
      <c r="L34" s="983"/>
      <c r="M34" s="1307" t="str">
        <f t="shared" si="0"/>
        <v/>
      </c>
      <c r="N34" s="1308" t="str">
        <f t="shared" si="1"/>
        <v/>
      </c>
      <c r="O34" s="1324"/>
      <c r="P34" s="1310" t="str">
        <f t="shared" si="2"/>
        <v/>
      </c>
      <c r="Q34" s="1311" t="str">
        <f t="shared" si="28"/>
        <v/>
      </c>
      <c r="R34" s="1312" t="str">
        <f t="shared" si="29"/>
        <v/>
      </c>
      <c r="S34" s="1294">
        <f t="shared" si="3"/>
        <v>20</v>
      </c>
      <c r="T34" s="1313" t="str">
        <f t="shared" si="4"/>
        <v>--</v>
      </c>
      <c r="U34" s="1314" t="str">
        <f t="shared" si="5"/>
        <v>--</v>
      </c>
      <c r="V34" s="1315" t="str">
        <f t="shared" si="6"/>
        <v>--</v>
      </c>
      <c r="W34" s="1316" t="str">
        <f t="shared" si="7"/>
        <v>--</v>
      </c>
      <c r="X34" s="1317" t="str">
        <f t="shared" si="8"/>
        <v>--</v>
      </c>
      <c r="Y34" s="1318" t="str">
        <f t="shared" si="9"/>
        <v>--</v>
      </c>
      <c r="Z34" s="1319" t="str">
        <f t="shared" si="10"/>
        <v>--</v>
      </c>
      <c r="AA34" s="1320" t="str">
        <f t="shared" si="11"/>
        <v>--</v>
      </c>
      <c r="AB34" s="1321" t="str">
        <f t="shared" si="12"/>
        <v/>
      </c>
      <c r="AC34" s="1322">
        <f t="shared" si="13"/>
        <v>0</v>
      </c>
      <c r="AD34" s="1323" t="str">
        <f t="shared" si="30"/>
        <v/>
      </c>
      <c r="AE34" s="1208"/>
    </row>
    <row r="35" spans="1:31" s="1190" customFormat="1" ht="17.1" customHeight="1">
      <c r="A35" s="1189"/>
      <c r="B35" s="1205"/>
      <c r="C35" s="1289"/>
      <c r="D35" s="1289"/>
      <c r="E35" s="1289"/>
      <c r="F35" s="958"/>
      <c r="G35" s="1326"/>
      <c r="H35" s="960"/>
      <c r="I35" s="1325"/>
      <c r="J35" s="1306">
        <f t="shared" si="27"/>
        <v>0</v>
      </c>
      <c r="K35" s="983"/>
      <c r="L35" s="983"/>
      <c r="M35" s="1307" t="str">
        <f t="shared" si="0"/>
        <v/>
      </c>
      <c r="N35" s="1308" t="str">
        <f t="shared" si="1"/>
        <v/>
      </c>
      <c r="O35" s="1324"/>
      <c r="P35" s="1310" t="str">
        <f t="shared" si="2"/>
        <v/>
      </c>
      <c r="Q35" s="1311" t="str">
        <f t="shared" si="28"/>
        <v/>
      </c>
      <c r="R35" s="1312" t="str">
        <f t="shared" si="29"/>
        <v/>
      </c>
      <c r="S35" s="1294">
        <f t="shared" si="3"/>
        <v>20</v>
      </c>
      <c r="T35" s="1313" t="str">
        <f t="shared" si="4"/>
        <v>--</v>
      </c>
      <c r="U35" s="1314" t="str">
        <f t="shared" si="5"/>
        <v>--</v>
      </c>
      <c r="V35" s="1315" t="str">
        <f t="shared" si="6"/>
        <v>--</v>
      </c>
      <c r="W35" s="1316" t="str">
        <f t="shared" si="7"/>
        <v>--</v>
      </c>
      <c r="X35" s="1317" t="str">
        <f t="shared" si="8"/>
        <v>--</v>
      </c>
      <c r="Y35" s="1318" t="str">
        <f t="shared" si="9"/>
        <v>--</v>
      </c>
      <c r="Z35" s="1319" t="str">
        <f t="shared" si="10"/>
        <v>--</v>
      </c>
      <c r="AA35" s="1320" t="str">
        <f t="shared" si="11"/>
        <v>--</v>
      </c>
      <c r="AB35" s="1321" t="str">
        <f t="shared" si="12"/>
        <v/>
      </c>
      <c r="AC35" s="1322">
        <f t="shared" si="13"/>
        <v>0</v>
      </c>
      <c r="AD35" s="1323" t="str">
        <f t="shared" si="30"/>
        <v/>
      </c>
      <c r="AE35" s="1208"/>
    </row>
    <row r="36" spans="1:31" s="1190" customFormat="1" ht="17.1" customHeight="1">
      <c r="A36" s="1189"/>
      <c r="B36" s="1205"/>
      <c r="C36" s="1289"/>
      <c r="D36" s="1289"/>
      <c r="E36" s="1305"/>
      <c r="F36" s="958"/>
      <c r="G36" s="1326"/>
      <c r="H36" s="960"/>
      <c r="I36" s="1325"/>
      <c r="J36" s="1306">
        <f t="shared" si="27"/>
        <v>0</v>
      </c>
      <c r="K36" s="983"/>
      <c r="L36" s="983"/>
      <c r="M36" s="1307" t="str">
        <f t="shared" si="0"/>
        <v/>
      </c>
      <c r="N36" s="1308" t="str">
        <f t="shared" si="1"/>
        <v/>
      </c>
      <c r="O36" s="1324"/>
      <c r="P36" s="1310" t="str">
        <f t="shared" si="2"/>
        <v/>
      </c>
      <c r="Q36" s="1311" t="str">
        <f t="shared" si="28"/>
        <v/>
      </c>
      <c r="R36" s="1312" t="str">
        <f t="shared" si="29"/>
        <v/>
      </c>
      <c r="S36" s="1294">
        <f t="shared" si="3"/>
        <v>20</v>
      </c>
      <c r="T36" s="1313" t="str">
        <f t="shared" si="4"/>
        <v>--</v>
      </c>
      <c r="U36" s="1314" t="str">
        <f t="shared" si="5"/>
        <v>--</v>
      </c>
      <c r="V36" s="1315" t="str">
        <f t="shared" si="6"/>
        <v>--</v>
      </c>
      <c r="W36" s="1316" t="str">
        <f t="shared" si="7"/>
        <v>--</v>
      </c>
      <c r="X36" s="1317" t="str">
        <f t="shared" si="8"/>
        <v>--</v>
      </c>
      <c r="Y36" s="1318" t="str">
        <f t="shared" si="9"/>
        <v>--</v>
      </c>
      <c r="Z36" s="1319" t="str">
        <f t="shared" si="10"/>
        <v>--</v>
      </c>
      <c r="AA36" s="1320" t="str">
        <f t="shared" si="11"/>
        <v>--</v>
      </c>
      <c r="AB36" s="1321" t="str">
        <f t="shared" si="12"/>
        <v/>
      </c>
      <c r="AC36" s="1322">
        <f t="shared" si="13"/>
        <v>0</v>
      </c>
      <c r="AD36" s="1323" t="str">
        <f t="shared" si="30"/>
        <v/>
      </c>
      <c r="AE36" s="1208"/>
    </row>
    <row r="37" spans="1:31" s="1190" customFormat="1" ht="17.1" customHeight="1">
      <c r="A37" s="1189"/>
      <c r="B37" s="1205"/>
      <c r="C37" s="1289"/>
      <c r="D37" s="1289"/>
      <c r="E37" s="1289"/>
      <c r="F37" s="958"/>
      <c r="G37" s="1326"/>
      <c r="H37" s="960"/>
      <c r="I37" s="1325"/>
      <c r="J37" s="1306">
        <f t="shared" si="27"/>
        <v>0</v>
      </c>
      <c r="K37" s="983"/>
      <c r="L37" s="983"/>
      <c r="M37" s="1307" t="str">
        <f t="shared" si="0"/>
        <v/>
      </c>
      <c r="N37" s="1308" t="str">
        <f t="shared" si="1"/>
        <v/>
      </c>
      <c r="O37" s="1324"/>
      <c r="P37" s="1310" t="str">
        <f t="shared" si="2"/>
        <v/>
      </c>
      <c r="Q37" s="1311" t="str">
        <f t="shared" si="28"/>
        <v/>
      </c>
      <c r="R37" s="1312" t="str">
        <f t="shared" si="29"/>
        <v/>
      </c>
      <c r="S37" s="1294">
        <f t="shared" si="3"/>
        <v>20</v>
      </c>
      <c r="T37" s="1313" t="str">
        <f t="shared" si="4"/>
        <v>--</v>
      </c>
      <c r="U37" s="1314" t="str">
        <f t="shared" si="5"/>
        <v>--</v>
      </c>
      <c r="V37" s="1315" t="str">
        <f t="shared" si="6"/>
        <v>--</v>
      </c>
      <c r="W37" s="1316" t="str">
        <f t="shared" si="7"/>
        <v>--</v>
      </c>
      <c r="X37" s="1317" t="str">
        <f t="shared" si="8"/>
        <v>--</v>
      </c>
      <c r="Y37" s="1318" t="str">
        <f t="shared" si="9"/>
        <v>--</v>
      </c>
      <c r="Z37" s="1319" t="str">
        <f t="shared" si="10"/>
        <v>--</v>
      </c>
      <c r="AA37" s="1320" t="str">
        <f t="shared" si="11"/>
        <v>--</v>
      </c>
      <c r="AB37" s="1321" t="str">
        <f t="shared" si="12"/>
        <v/>
      </c>
      <c r="AC37" s="1322">
        <f t="shared" si="13"/>
        <v>0</v>
      </c>
      <c r="AD37" s="1323" t="str">
        <f t="shared" si="30"/>
        <v/>
      </c>
      <c r="AE37" s="1208"/>
    </row>
    <row r="38" spans="1:31" s="1190" customFormat="1" ht="17.1" customHeight="1">
      <c r="A38" s="1189"/>
      <c r="B38" s="1205"/>
      <c r="C38" s="1289"/>
      <c r="D38" s="1289"/>
      <c r="E38" s="1305"/>
      <c r="F38" s="958"/>
      <c r="G38" s="1326"/>
      <c r="H38" s="960"/>
      <c r="I38" s="1325"/>
      <c r="J38" s="1306">
        <f t="shared" si="27"/>
        <v>0</v>
      </c>
      <c r="K38" s="983"/>
      <c r="L38" s="983"/>
      <c r="M38" s="1307" t="str">
        <f t="shared" si="0"/>
        <v/>
      </c>
      <c r="N38" s="1308" t="str">
        <f t="shared" si="1"/>
        <v/>
      </c>
      <c r="O38" s="1324"/>
      <c r="P38" s="1310" t="str">
        <f t="shared" si="2"/>
        <v/>
      </c>
      <c r="Q38" s="1311" t="str">
        <f t="shared" si="28"/>
        <v/>
      </c>
      <c r="R38" s="1312" t="str">
        <f t="shared" si="29"/>
        <v/>
      </c>
      <c r="S38" s="1294">
        <f t="shared" si="3"/>
        <v>20</v>
      </c>
      <c r="T38" s="1313" t="str">
        <f t="shared" si="4"/>
        <v>--</v>
      </c>
      <c r="U38" s="1314" t="str">
        <f t="shared" si="5"/>
        <v>--</v>
      </c>
      <c r="V38" s="1315" t="str">
        <f t="shared" si="6"/>
        <v>--</v>
      </c>
      <c r="W38" s="1316" t="str">
        <f t="shared" si="7"/>
        <v>--</v>
      </c>
      <c r="X38" s="1317" t="str">
        <f t="shared" si="8"/>
        <v>--</v>
      </c>
      <c r="Y38" s="1318" t="str">
        <f t="shared" si="9"/>
        <v>--</v>
      </c>
      <c r="Z38" s="1319" t="str">
        <f t="shared" si="10"/>
        <v>--</v>
      </c>
      <c r="AA38" s="1320" t="str">
        <f t="shared" si="11"/>
        <v>--</v>
      </c>
      <c r="AB38" s="1321" t="str">
        <f t="shared" si="12"/>
        <v/>
      </c>
      <c r="AC38" s="1322">
        <f t="shared" si="13"/>
        <v>0</v>
      </c>
      <c r="AD38" s="1323" t="str">
        <f t="shared" si="30"/>
        <v/>
      </c>
      <c r="AE38" s="1208"/>
    </row>
    <row r="39" spans="1:31" s="1190" customFormat="1" ht="17.1" customHeight="1">
      <c r="A39" s="1189"/>
      <c r="B39" s="1205"/>
      <c r="C39" s="1289"/>
      <c r="D39" s="1289"/>
      <c r="E39" s="1289"/>
      <c r="F39" s="958"/>
      <c r="G39" s="1326"/>
      <c r="H39" s="960"/>
      <c r="I39" s="1325"/>
      <c r="J39" s="1306">
        <f t="shared" si="27"/>
        <v>0</v>
      </c>
      <c r="K39" s="983"/>
      <c r="L39" s="983"/>
      <c r="M39" s="1307" t="str">
        <f t="shared" si="0"/>
        <v/>
      </c>
      <c r="N39" s="1308" t="str">
        <f t="shared" si="1"/>
        <v/>
      </c>
      <c r="O39" s="1324"/>
      <c r="P39" s="1310" t="str">
        <f t="shared" si="2"/>
        <v/>
      </c>
      <c r="Q39" s="1311" t="str">
        <f t="shared" si="28"/>
        <v/>
      </c>
      <c r="R39" s="1312" t="str">
        <f t="shared" si="29"/>
        <v/>
      </c>
      <c r="S39" s="1294">
        <f t="shared" si="3"/>
        <v>20</v>
      </c>
      <c r="T39" s="1313" t="str">
        <f t="shared" si="4"/>
        <v>--</v>
      </c>
      <c r="U39" s="1314" t="str">
        <f t="shared" si="5"/>
        <v>--</v>
      </c>
      <c r="V39" s="1315" t="str">
        <f t="shared" si="6"/>
        <v>--</v>
      </c>
      <c r="W39" s="1316" t="str">
        <f t="shared" si="7"/>
        <v>--</v>
      </c>
      <c r="X39" s="1317" t="str">
        <f t="shared" si="8"/>
        <v>--</v>
      </c>
      <c r="Y39" s="1318" t="str">
        <f t="shared" si="9"/>
        <v>--</v>
      </c>
      <c r="Z39" s="1319" t="str">
        <f t="shared" si="10"/>
        <v>--</v>
      </c>
      <c r="AA39" s="1320" t="str">
        <f t="shared" si="11"/>
        <v>--</v>
      </c>
      <c r="AB39" s="1321" t="str">
        <f t="shared" si="12"/>
        <v/>
      </c>
      <c r="AC39" s="1322">
        <f t="shared" si="13"/>
        <v>0</v>
      </c>
      <c r="AD39" s="1323" t="str">
        <f t="shared" si="30"/>
        <v/>
      </c>
      <c r="AE39" s="1208"/>
    </row>
    <row r="40" spans="1:31" s="1190" customFormat="1" ht="17.1" customHeight="1">
      <c r="A40" s="1189"/>
      <c r="B40" s="1205"/>
      <c r="C40" s="1289"/>
      <c r="D40" s="1289"/>
      <c r="E40" s="1305"/>
      <c r="F40" s="958"/>
      <c r="G40" s="1326"/>
      <c r="H40" s="960"/>
      <c r="I40" s="1325"/>
      <c r="J40" s="1306">
        <f t="shared" si="27"/>
        <v>0</v>
      </c>
      <c r="K40" s="983"/>
      <c r="L40" s="983"/>
      <c r="M40" s="1307" t="str">
        <f t="shared" si="0"/>
        <v/>
      </c>
      <c r="N40" s="1308" t="str">
        <f t="shared" si="1"/>
        <v/>
      </c>
      <c r="O40" s="1324"/>
      <c r="P40" s="1310" t="str">
        <f t="shared" si="2"/>
        <v/>
      </c>
      <c r="Q40" s="1311" t="str">
        <f t="shared" si="28"/>
        <v/>
      </c>
      <c r="R40" s="1312" t="str">
        <f t="shared" si="29"/>
        <v/>
      </c>
      <c r="S40" s="1294">
        <f t="shared" si="3"/>
        <v>20</v>
      </c>
      <c r="T40" s="1313" t="str">
        <f t="shared" si="4"/>
        <v>--</v>
      </c>
      <c r="U40" s="1314" t="str">
        <f t="shared" si="5"/>
        <v>--</v>
      </c>
      <c r="V40" s="1315" t="str">
        <f t="shared" si="6"/>
        <v>--</v>
      </c>
      <c r="W40" s="1316" t="str">
        <f t="shared" si="7"/>
        <v>--</v>
      </c>
      <c r="X40" s="1317" t="str">
        <f t="shared" si="8"/>
        <v>--</v>
      </c>
      <c r="Y40" s="1318" t="str">
        <f t="shared" si="9"/>
        <v>--</v>
      </c>
      <c r="Z40" s="1319" t="str">
        <f t="shared" si="10"/>
        <v>--</v>
      </c>
      <c r="AA40" s="1320" t="str">
        <f t="shared" si="11"/>
        <v>--</v>
      </c>
      <c r="AB40" s="1321" t="str">
        <f t="shared" si="12"/>
        <v/>
      </c>
      <c r="AC40" s="1322">
        <f t="shared" si="13"/>
        <v>0</v>
      </c>
      <c r="AD40" s="1323" t="str">
        <f t="shared" si="30"/>
        <v/>
      </c>
      <c r="AE40" s="1208"/>
    </row>
    <row r="41" spans="1:31" s="1190" customFormat="1" ht="17.1" customHeight="1">
      <c r="A41" s="1189"/>
      <c r="B41" s="1205"/>
      <c r="C41" s="1289"/>
      <c r="D41" s="1289"/>
      <c r="E41" s="1289"/>
      <c r="F41" s="958"/>
      <c r="G41" s="1326"/>
      <c r="H41" s="960"/>
      <c r="I41" s="1325"/>
      <c r="J41" s="1306">
        <f t="shared" si="27"/>
        <v>0</v>
      </c>
      <c r="K41" s="983"/>
      <c r="L41" s="983"/>
      <c r="M41" s="1307" t="str">
        <f t="shared" si="0"/>
        <v/>
      </c>
      <c r="N41" s="1308" t="str">
        <f t="shared" si="1"/>
        <v/>
      </c>
      <c r="O41" s="1324"/>
      <c r="P41" s="1310" t="str">
        <f t="shared" si="2"/>
        <v/>
      </c>
      <c r="Q41" s="1311" t="str">
        <f t="shared" si="28"/>
        <v/>
      </c>
      <c r="R41" s="1312" t="str">
        <f t="shared" si="29"/>
        <v/>
      </c>
      <c r="S41" s="1294">
        <f t="shared" si="3"/>
        <v>20</v>
      </c>
      <c r="T41" s="1313" t="str">
        <f t="shared" si="4"/>
        <v>--</v>
      </c>
      <c r="U41" s="1314" t="str">
        <f t="shared" si="5"/>
        <v>--</v>
      </c>
      <c r="V41" s="1315" t="str">
        <f t="shared" si="6"/>
        <v>--</v>
      </c>
      <c r="W41" s="1316" t="str">
        <f t="shared" si="7"/>
        <v>--</v>
      </c>
      <c r="X41" s="1317" t="str">
        <f t="shared" si="8"/>
        <v>--</v>
      </c>
      <c r="Y41" s="1318" t="str">
        <f t="shared" si="9"/>
        <v>--</v>
      </c>
      <c r="Z41" s="1319" t="str">
        <f t="shared" si="10"/>
        <v>--</v>
      </c>
      <c r="AA41" s="1320" t="str">
        <f t="shared" si="11"/>
        <v>--</v>
      </c>
      <c r="AB41" s="1321" t="str">
        <f t="shared" si="12"/>
        <v/>
      </c>
      <c r="AC41" s="1322">
        <f t="shared" si="13"/>
        <v>0</v>
      </c>
      <c r="AD41" s="1323" t="str">
        <f t="shared" si="30"/>
        <v/>
      </c>
      <c r="AE41" s="1208"/>
    </row>
    <row r="42" spans="1:31" s="1190" customFormat="1" ht="17.1" customHeight="1" thickBot="1">
      <c r="A42" s="1189"/>
      <c r="B42" s="1205"/>
      <c r="C42" s="1327"/>
      <c r="D42" s="1327"/>
      <c r="E42" s="1327"/>
      <c r="F42" s="1327"/>
      <c r="G42" s="1327"/>
      <c r="H42" s="1327"/>
      <c r="I42" s="1328"/>
      <c r="J42" s="1329"/>
      <c r="K42" s="1330"/>
      <c r="L42" s="1331"/>
      <c r="M42" s="1332"/>
      <c r="N42" s="1333"/>
      <c r="O42" s="1334"/>
      <c r="P42" s="1335"/>
      <c r="Q42" s="1336"/>
      <c r="R42" s="1336"/>
      <c r="S42" s="1337"/>
      <c r="T42" s="1338"/>
      <c r="U42" s="1339"/>
      <c r="V42" s="1340"/>
      <c r="W42" s="1341"/>
      <c r="X42" s="1342"/>
      <c r="Y42" s="1343"/>
      <c r="Z42" s="1344"/>
      <c r="AA42" s="1345"/>
      <c r="AB42" s="1346"/>
      <c r="AC42" s="1347"/>
      <c r="AD42" s="1348"/>
      <c r="AE42" s="1208"/>
    </row>
    <row r="43" spans="1:31" s="1190" customFormat="1" ht="17.1" customHeight="1" thickBot="1" thickTop="1">
      <c r="A43" s="1189"/>
      <c r="B43" s="1205"/>
      <c r="C43" s="1349" t="s">
        <v>368</v>
      </c>
      <c r="D43" s="1350" t="s">
        <v>414</v>
      </c>
      <c r="E43" s="1351"/>
      <c r="F43" s="1352"/>
      <c r="G43" s="1206"/>
      <c r="H43" s="1206"/>
      <c r="I43" s="1206"/>
      <c r="J43" s="1206"/>
      <c r="K43" s="1206"/>
      <c r="L43" s="1247"/>
      <c r="M43" s="1206"/>
      <c r="N43" s="1206"/>
      <c r="O43" s="1206"/>
      <c r="P43" s="1206"/>
      <c r="Q43" s="1206"/>
      <c r="R43" s="1206"/>
      <c r="S43" s="1353"/>
      <c r="T43" s="1354">
        <f aca="true" t="shared" si="31" ref="T43:AA43">SUM(T20:T42)</f>
        <v>0</v>
      </c>
      <c r="U43" s="1355">
        <f t="shared" si="31"/>
        <v>0</v>
      </c>
      <c r="V43" s="1356">
        <f t="shared" si="31"/>
        <v>0</v>
      </c>
      <c r="W43" s="1357">
        <f t="shared" si="31"/>
        <v>4556.916</v>
      </c>
      <c r="X43" s="1358">
        <f t="shared" si="31"/>
        <v>0</v>
      </c>
      <c r="Y43" s="1359">
        <f t="shared" si="31"/>
        <v>0</v>
      </c>
      <c r="Z43" s="1360">
        <f t="shared" si="31"/>
        <v>0</v>
      </c>
      <c r="AA43" s="1361">
        <f t="shared" si="31"/>
        <v>0</v>
      </c>
      <c r="AB43" s="1189"/>
      <c r="AC43" s="1362">
        <f>ROUND(SUM(AC20:AC42),2)</f>
        <v>4556.92</v>
      </c>
      <c r="AD43" s="1363">
        <f>ROUND(SUM(AD20:AD42),2)</f>
        <v>4556.92</v>
      </c>
      <c r="AE43" s="1208"/>
    </row>
    <row r="44" spans="1:31" s="1190" customFormat="1" ht="17.1" customHeight="1" thickBot="1" thickTop="1">
      <c r="A44" s="1189"/>
      <c r="B44" s="1364"/>
      <c r="C44" s="1365"/>
      <c r="D44" s="1365"/>
      <c r="E44" s="1365"/>
      <c r="F44" s="1365"/>
      <c r="G44" s="1365"/>
      <c r="H44" s="1365"/>
      <c r="I44" s="1365"/>
      <c r="J44" s="1365"/>
      <c r="K44" s="1365"/>
      <c r="L44" s="1365"/>
      <c r="M44" s="1365"/>
      <c r="N44" s="1365"/>
      <c r="O44" s="1365"/>
      <c r="P44" s="1365"/>
      <c r="Q44" s="1365"/>
      <c r="R44" s="1365"/>
      <c r="S44" s="1365"/>
      <c r="T44" s="1365"/>
      <c r="U44" s="1365"/>
      <c r="V44" s="1365"/>
      <c r="W44" s="1365"/>
      <c r="X44" s="1365"/>
      <c r="Y44" s="1365"/>
      <c r="Z44" s="1365"/>
      <c r="AA44" s="1365"/>
      <c r="AB44" s="1365"/>
      <c r="AC44" s="1365"/>
      <c r="AD44" s="1365"/>
      <c r="AE44" s="1366"/>
    </row>
    <row r="45" spans="1:32" ht="17.1" customHeight="1" thickTop="1">
      <c r="A45" s="1367"/>
      <c r="F45" s="1368"/>
      <c r="G45" s="1368"/>
      <c r="H45" s="1368"/>
      <c r="I45" s="1368"/>
      <c r="J45" s="1368"/>
      <c r="K45" s="1368"/>
      <c r="L45" s="1368"/>
      <c r="M45" s="1368"/>
      <c r="N45" s="1368"/>
      <c r="O45" s="1368"/>
      <c r="P45" s="1368"/>
      <c r="Q45" s="1368"/>
      <c r="R45" s="1368"/>
      <c r="S45" s="1368"/>
      <c r="T45" s="1368"/>
      <c r="U45" s="1368"/>
      <c r="V45" s="1368"/>
      <c r="W45" s="1368"/>
      <c r="X45" s="1368"/>
      <c r="Y45" s="1368"/>
      <c r="Z45" s="1368"/>
      <c r="AA45" s="1368"/>
      <c r="AB45" s="1368"/>
      <c r="AC45" s="1368"/>
      <c r="AD45" s="1368"/>
      <c r="AE45" s="1368"/>
      <c r="AF45" s="1368"/>
    </row>
    <row r="46" spans="1:32" ht="17.1" customHeight="1">
      <c r="A46" s="1367"/>
      <c r="F46" s="1368"/>
      <c r="G46" s="1368"/>
      <c r="H46" s="1368"/>
      <c r="I46" s="1368"/>
      <c r="J46" s="1368"/>
      <c r="K46" s="1368"/>
      <c r="L46" s="1368"/>
      <c r="M46" s="1368"/>
      <c r="N46" s="1368"/>
      <c r="O46" s="1368"/>
      <c r="P46" s="1368"/>
      <c r="Q46" s="1368"/>
      <c r="R46" s="1368"/>
      <c r="S46" s="1368"/>
      <c r="T46" s="1368"/>
      <c r="U46" s="1368"/>
      <c r="V46" s="1368"/>
      <c r="W46" s="1368"/>
      <c r="X46" s="1368"/>
      <c r="Y46" s="1368"/>
      <c r="Z46" s="1368"/>
      <c r="AA46" s="1368"/>
      <c r="AB46" s="1368"/>
      <c r="AC46" s="1368"/>
      <c r="AD46" s="1368"/>
      <c r="AE46" s="1368"/>
      <c r="AF46" s="1368"/>
    </row>
    <row r="47" spans="1:32" ht="17.1" customHeight="1">
      <c r="A47" s="1367"/>
      <c r="F47" s="1368"/>
      <c r="G47" s="1368"/>
      <c r="H47" s="1368"/>
      <c r="I47" s="1368"/>
      <c r="J47" s="1368"/>
      <c r="K47" s="1368"/>
      <c r="L47" s="1368"/>
      <c r="M47" s="1368"/>
      <c r="N47" s="1368"/>
      <c r="O47" s="1368"/>
      <c r="P47" s="1368"/>
      <c r="Q47" s="1368"/>
      <c r="R47" s="1368"/>
      <c r="S47" s="1368"/>
      <c r="T47" s="1368"/>
      <c r="U47" s="1368"/>
      <c r="V47" s="1368"/>
      <c r="W47" s="1368"/>
      <c r="X47" s="1368"/>
      <c r="Y47" s="1368"/>
      <c r="Z47" s="1368"/>
      <c r="AA47" s="1368"/>
      <c r="AB47" s="1368"/>
      <c r="AC47" s="1368"/>
      <c r="AD47" s="1368"/>
      <c r="AE47" s="1368"/>
      <c r="AF47" s="1368"/>
    </row>
    <row r="48" spans="1:32" ht="17.1" customHeight="1">
      <c r="A48" s="1367"/>
      <c r="F48" s="1368"/>
      <c r="G48" s="1368"/>
      <c r="H48" s="1368"/>
      <c r="I48" s="1368"/>
      <c r="J48" s="1368"/>
      <c r="K48" s="1368"/>
      <c r="L48" s="1368"/>
      <c r="M48" s="1368"/>
      <c r="N48" s="1368"/>
      <c r="O48" s="1368"/>
      <c r="P48" s="1368"/>
      <c r="Q48" s="1368"/>
      <c r="R48" s="1368"/>
      <c r="S48" s="1368"/>
      <c r="T48" s="1368"/>
      <c r="U48" s="1368"/>
      <c r="V48" s="1368"/>
      <c r="W48" s="1368"/>
      <c r="X48" s="1368"/>
      <c r="Y48" s="1368"/>
      <c r="Z48" s="1368"/>
      <c r="AA48" s="1368"/>
      <c r="AB48" s="1368"/>
      <c r="AC48" s="1368"/>
      <c r="AD48" s="1368"/>
      <c r="AE48" s="1368"/>
      <c r="AF48" s="1368"/>
    </row>
    <row r="49" spans="6:32" ht="17.1" customHeight="1">
      <c r="F49" s="1368"/>
      <c r="G49" s="1368"/>
      <c r="H49" s="1368"/>
      <c r="I49" s="1368"/>
      <c r="J49" s="1368"/>
      <c r="K49" s="1368"/>
      <c r="L49" s="1368"/>
      <c r="M49" s="1368"/>
      <c r="N49" s="1368"/>
      <c r="O49" s="1368"/>
      <c r="P49" s="1368"/>
      <c r="Q49" s="1368"/>
      <c r="R49" s="1368"/>
      <c r="S49" s="1368"/>
      <c r="T49" s="1368"/>
      <c r="U49" s="1368"/>
      <c r="V49" s="1368"/>
      <c r="W49" s="1368"/>
      <c r="X49" s="1368"/>
      <c r="Y49" s="1368"/>
      <c r="Z49" s="1368"/>
      <c r="AA49" s="1368"/>
      <c r="AB49" s="1368"/>
      <c r="AC49" s="1368"/>
      <c r="AD49" s="1368"/>
      <c r="AE49" s="1368"/>
      <c r="AF49" s="1368"/>
    </row>
    <row r="50" spans="6:32" ht="17.1" customHeight="1">
      <c r="F50" s="1368"/>
      <c r="G50" s="1368"/>
      <c r="H50" s="1368"/>
      <c r="I50" s="1368"/>
      <c r="J50" s="1368"/>
      <c r="K50" s="1368"/>
      <c r="L50" s="1368"/>
      <c r="M50" s="1368"/>
      <c r="N50" s="1368"/>
      <c r="O50" s="1368"/>
      <c r="P50" s="1368"/>
      <c r="Q50" s="1368"/>
      <c r="R50" s="1368"/>
      <c r="S50" s="1368"/>
      <c r="T50" s="1368"/>
      <c r="U50" s="1368"/>
      <c r="V50" s="1368"/>
      <c r="W50" s="1368"/>
      <c r="X50" s="1368"/>
      <c r="Y50" s="1368"/>
      <c r="Z50" s="1368"/>
      <c r="AA50" s="1368"/>
      <c r="AB50" s="1368"/>
      <c r="AC50" s="1368"/>
      <c r="AD50" s="1368"/>
      <c r="AE50" s="1368"/>
      <c r="AF50" s="1368"/>
    </row>
    <row r="51" spans="6:32" ht="17.1" customHeight="1">
      <c r="F51" s="1368"/>
      <c r="G51" s="1368"/>
      <c r="H51" s="1368"/>
      <c r="I51" s="1368"/>
      <c r="J51" s="1368"/>
      <c r="K51" s="1368"/>
      <c r="L51" s="1368"/>
      <c r="M51" s="1368"/>
      <c r="N51" s="1368"/>
      <c r="O51" s="1368"/>
      <c r="P51" s="1368"/>
      <c r="Q51" s="1368"/>
      <c r="R51" s="1368"/>
      <c r="S51" s="1368"/>
      <c r="T51" s="1368"/>
      <c r="U51" s="1368"/>
      <c r="V51" s="1368"/>
      <c r="W51" s="1368"/>
      <c r="X51" s="1368"/>
      <c r="Y51" s="1368"/>
      <c r="Z51" s="1368"/>
      <c r="AA51" s="1368"/>
      <c r="AB51" s="1368"/>
      <c r="AC51" s="1368"/>
      <c r="AD51" s="1368"/>
      <c r="AE51" s="1368"/>
      <c r="AF51" s="1368"/>
    </row>
    <row r="52" spans="6:32" ht="17.1" customHeight="1">
      <c r="F52" s="1368"/>
      <c r="G52" s="1368"/>
      <c r="H52" s="1368"/>
      <c r="I52" s="1368"/>
      <c r="J52" s="1368"/>
      <c r="K52" s="1368"/>
      <c r="L52" s="1368"/>
      <c r="M52" s="1368"/>
      <c r="N52" s="1368"/>
      <c r="O52" s="1368"/>
      <c r="P52" s="1368"/>
      <c r="Q52" s="1368"/>
      <c r="R52" s="1368"/>
      <c r="S52" s="1368"/>
      <c r="T52" s="1368"/>
      <c r="U52" s="1368"/>
      <c r="V52" s="1368"/>
      <c r="W52" s="1368"/>
      <c r="X52" s="1368"/>
      <c r="Y52" s="1368"/>
      <c r="Z52" s="1368"/>
      <c r="AA52" s="1368"/>
      <c r="AB52" s="1368"/>
      <c r="AC52" s="1368"/>
      <c r="AD52" s="1368"/>
      <c r="AE52" s="1368"/>
      <c r="AF52" s="1368"/>
    </row>
    <row r="53" spans="6:32" ht="17.1" customHeight="1">
      <c r="F53" s="1368"/>
      <c r="G53" s="1368"/>
      <c r="H53" s="1368"/>
      <c r="I53" s="1368"/>
      <c r="J53" s="1368"/>
      <c r="K53" s="1368"/>
      <c r="L53" s="1368"/>
      <c r="M53" s="1368"/>
      <c r="N53" s="1368"/>
      <c r="O53" s="1368"/>
      <c r="P53" s="1368"/>
      <c r="Q53" s="1368"/>
      <c r="R53" s="1368"/>
      <c r="S53" s="1368"/>
      <c r="T53" s="1368"/>
      <c r="U53" s="1368"/>
      <c r="V53" s="1368"/>
      <c r="W53" s="1368"/>
      <c r="X53" s="1368"/>
      <c r="Y53" s="1368"/>
      <c r="Z53" s="1368"/>
      <c r="AA53" s="1368"/>
      <c r="AB53" s="1368"/>
      <c r="AC53" s="1368"/>
      <c r="AD53" s="1368"/>
      <c r="AE53" s="1368"/>
      <c r="AF53" s="1368"/>
    </row>
    <row r="54" spans="6:32" ht="17.1" customHeight="1">
      <c r="F54" s="1368"/>
      <c r="G54" s="1368"/>
      <c r="H54" s="1368"/>
      <c r="I54" s="1368"/>
      <c r="J54" s="1368"/>
      <c r="K54" s="1368"/>
      <c r="L54" s="1368"/>
      <c r="M54" s="1368"/>
      <c r="N54" s="1368"/>
      <c r="O54" s="1368"/>
      <c r="P54" s="1368"/>
      <c r="Q54" s="1368"/>
      <c r="R54" s="1368"/>
      <c r="S54" s="1368"/>
      <c r="T54" s="1368"/>
      <c r="U54" s="1368"/>
      <c r="V54" s="1368"/>
      <c r="W54" s="1368"/>
      <c r="X54" s="1368"/>
      <c r="Y54" s="1368"/>
      <c r="Z54" s="1368"/>
      <c r="AA54" s="1368"/>
      <c r="AB54" s="1368"/>
      <c r="AC54" s="1368"/>
      <c r="AD54" s="1368"/>
      <c r="AE54" s="1368"/>
      <c r="AF54" s="1368"/>
    </row>
    <row r="55" spans="6:32" ht="17.1" customHeight="1">
      <c r="F55" s="1368"/>
      <c r="G55" s="1368"/>
      <c r="H55" s="1368"/>
      <c r="I55" s="1368"/>
      <c r="J55" s="1368"/>
      <c r="K55" s="1368"/>
      <c r="L55" s="1368"/>
      <c r="M55" s="1368"/>
      <c r="N55" s="1368"/>
      <c r="O55" s="1368"/>
      <c r="P55" s="1368"/>
      <c r="Q55" s="1368"/>
      <c r="R55" s="1368"/>
      <c r="S55" s="1368"/>
      <c r="T55" s="1368"/>
      <c r="U55" s="1368"/>
      <c r="V55" s="1368"/>
      <c r="W55" s="1368"/>
      <c r="X55" s="1368"/>
      <c r="Y55" s="1368"/>
      <c r="Z55" s="1368"/>
      <c r="AA55" s="1368"/>
      <c r="AB55" s="1368"/>
      <c r="AC55" s="1368"/>
      <c r="AD55" s="1368"/>
      <c r="AE55" s="1368"/>
      <c r="AF55" s="1368"/>
    </row>
    <row r="56" spans="6:32" ht="17.1" customHeight="1">
      <c r="F56" s="1368"/>
      <c r="G56" s="1368"/>
      <c r="H56" s="1368"/>
      <c r="I56" s="1368"/>
      <c r="J56" s="1368"/>
      <c r="K56" s="1368"/>
      <c r="L56" s="1368"/>
      <c r="M56" s="1368"/>
      <c r="N56" s="1368"/>
      <c r="O56" s="1368"/>
      <c r="P56" s="1368"/>
      <c r="Q56" s="1368"/>
      <c r="R56" s="1368"/>
      <c r="S56" s="1368"/>
      <c r="T56" s="1368"/>
      <c r="U56" s="1368"/>
      <c r="V56" s="1368"/>
      <c r="W56" s="1368"/>
      <c r="X56" s="1368"/>
      <c r="Y56" s="1368"/>
      <c r="Z56" s="1368"/>
      <c r="AA56" s="1368"/>
      <c r="AB56" s="1368"/>
      <c r="AC56" s="1368"/>
      <c r="AD56" s="1368"/>
      <c r="AE56" s="1368"/>
      <c r="AF56" s="1368"/>
    </row>
    <row r="57" spans="6:32" ht="17.1" customHeight="1">
      <c r="F57" s="1368"/>
      <c r="G57" s="1368"/>
      <c r="H57" s="1368"/>
      <c r="I57" s="1368"/>
      <c r="J57" s="1368"/>
      <c r="K57" s="1368"/>
      <c r="L57" s="1368"/>
      <c r="M57" s="1368"/>
      <c r="N57" s="1368"/>
      <c r="O57" s="1368"/>
      <c r="P57" s="1368"/>
      <c r="Q57" s="1368"/>
      <c r="R57" s="1368"/>
      <c r="S57" s="1368"/>
      <c r="T57" s="1368"/>
      <c r="U57" s="1368"/>
      <c r="V57" s="1368"/>
      <c r="W57" s="1368"/>
      <c r="X57" s="1368"/>
      <c r="Y57" s="1368"/>
      <c r="Z57" s="1368"/>
      <c r="AA57" s="1368"/>
      <c r="AB57" s="1368"/>
      <c r="AC57" s="1368"/>
      <c r="AD57" s="1368"/>
      <c r="AE57" s="1368"/>
      <c r="AF57" s="1368"/>
    </row>
    <row r="58" spans="6:32" ht="17.1" customHeight="1">
      <c r="F58" s="1368"/>
      <c r="G58" s="1368"/>
      <c r="H58" s="1368"/>
      <c r="I58" s="1368"/>
      <c r="J58" s="1368"/>
      <c r="K58" s="1368"/>
      <c r="L58" s="1368"/>
      <c r="M58" s="1368"/>
      <c r="N58" s="1368"/>
      <c r="O58" s="1368"/>
      <c r="P58" s="1368"/>
      <c r="Q58" s="1368"/>
      <c r="R58" s="1368"/>
      <c r="S58" s="1368"/>
      <c r="T58" s="1368"/>
      <c r="U58" s="1368"/>
      <c r="V58" s="1368"/>
      <c r="W58" s="1368"/>
      <c r="X58" s="1368"/>
      <c r="Y58" s="1368"/>
      <c r="Z58" s="1368"/>
      <c r="AA58" s="1368"/>
      <c r="AB58" s="1368"/>
      <c r="AC58" s="1368"/>
      <c r="AD58" s="1368"/>
      <c r="AE58" s="1368"/>
      <c r="AF58" s="1368"/>
    </row>
    <row r="59" spans="6:32" ht="17.1" customHeight="1">
      <c r="F59" s="1368"/>
      <c r="G59" s="1368"/>
      <c r="H59" s="1368"/>
      <c r="I59" s="1368"/>
      <c r="J59" s="1368"/>
      <c r="K59" s="1368"/>
      <c r="L59" s="1368"/>
      <c r="M59" s="1368"/>
      <c r="N59" s="1368"/>
      <c r="O59" s="1368"/>
      <c r="P59" s="1368"/>
      <c r="Q59" s="1368"/>
      <c r="R59" s="1368"/>
      <c r="S59" s="1368"/>
      <c r="T59" s="1368"/>
      <c r="U59" s="1368"/>
      <c r="V59" s="1368"/>
      <c r="W59" s="1368"/>
      <c r="X59" s="1368"/>
      <c r="Y59" s="1368"/>
      <c r="Z59" s="1368"/>
      <c r="AA59" s="1368"/>
      <c r="AB59" s="1368"/>
      <c r="AC59" s="1368"/>
      <c r="AD59" s="1368"/>
      <c r="AE59" s="1368"/>
      <c r="AF59" s="1368"/>
    </row>
    <row r="60" spans="6:32" ht="17.1" customHeight="1">
      <c r="F60" s="1368"/>
      <c r="G60" s="1368"/>
      <c r="H60" s="1368"/>
      <c r="I60" s="1368"/>
      <c r="J60" s="1368"/>
      <c r="K60" s="1368"/>
      <c r="L60" s="1368"/>
      <c r="M60" s="1368"/>
      <c r="N60" s="1368"/>
      <c r="O60" s="1368"/>
      <c r="P60" s="1368"/>
      <c r="Q60" s="1368"/>
      <c r="R60" s="1368"/>
      <c r="S60" s="1368"/>
      <c r="T60" s="1368"/>
      <c r="U60" s="1368"/>
      <c r="V60" s="1368"/>
      <c r="W60" s="1368"/>
      <c r="X60" s="1368"/>
      <c r="Y60" s="1368"/>
      <c r="Z60" s="1368"/>
      <c r="AA60" s="1368"/>
      <c r="AB60" s="1368"/>
      <c r="AC60" s="1368"/>
      <c r="AD60" s="1368"/>
      <c r="AE60" s="1368"/>
      <c r="AF60" s="1368"/>
    </row>
    <row r="61" spans="6:32" ht="17.1" customHeight="1">
      <c r="F61" s="1368"/>
      <c r="G61" s="1368"/>
      <c r="H61" s="1368"/>
      <c r="I61" s="1368"/>
      <c r="J61" s="1368"/>
      <c r="K61" s="1368"/>
      <c r="L61" s="1368"/>
      <c r="M61" s="1368"/>
      <c r="N61" s="1368"/>
      <c r="O61" s="1368"/>
      <c r="P61" s="1368"/>
      <c r="Q61" s="1368"/>
      <c r="R61" s="1368"/>
      <c r="S61" s="1368"/>
      <c r="T61" s="1368"/>
      <c r="U61" s="1368"/>
      <c r="V61" s="1368"/>
      <c r="W61" s="1368"/>
      <c r="X61" s="1368"/>
      <c r="Y61" s="1368"/>
      <c r="Z61" s="1368"/>
      <c r="AA61" s="1368"/>
      <c r="AB61" s="1368"/>
      <c r="AC61" s="1368"/>
      <c r="AD61" s="1368"/>
      <c r="AE61" s="1368"/>
      <c r="AF61" s="1368"/>
    </row>
    <row r="62" spans="6:32" ht="17.1" customHeight="1">
      <c r="F62" s="1368"/>
      <c r="G62" s="1368"/>
      <c r="H62" s="1368"/>
      <c r="I62" s="1368"/>
      <c r="J62" s="1368"/>
      <c r="K62" s="1368"/>
      <c r="L62" s="1368"/>
      <c r="M62" s="1368"/>
      <c r="N62" s="1368"/>
      <c r="O62" s="1368"/>
      <c r="P62" s="1368"/>
      <c r="Q62" s="1368"/>
      <c r="R62" s="1368"/>
      <c r="S62" s="1368"/>
      <c r="T62" s="1368"/>
      <c r="U62" s="1368"/>
      <c r="V62" s="1368"/>
      <c r="W62" s="1368"/>
      <c r="X62" s="1368"/>
      <c r="Y62" s="1368"/>
      <c r="Z62" s="1368"/>
      <c r="AA62" s="1368"/>
      <c r="AB62" s="1368"/>
      <c r="AC62" s="1368"/>
      <c r="AD62" s="1368"/>
      <c r="AE62" s="1368"/>
      <c r="AF62" s="1368"/>
    </row>
    <row r="63" spans="6:32" ht="17.1" customHeight="1">
      <c r="F63" s="1368"/>
      <c r="G63" s="1368"/>
      <c r="H63" s="1368"/>
      <c r="I63" s="1368"/>
      <c r="J63" s="1368"/>
      <c r="K63" s="1368"/>
      <c r="L63" s="1368"/>
      <c r="M63" s="1368"/>
      <c r="N63" s="1368"/>
      <c r="O63" s="1368"/>
      <c r="P63" s="1368"/>
      <c r="Q63" s="1368"/>
      <c r="R63" s="1368"/>
      <c r="S63" s="1368"/>
      <c r="T63" s="1368"/>
      <c r="U63" s="1368"/>
      <c r="V63" s="1368"/>
      <c r="W63" s="1368"/>
      <c r="X63" s="1368"/>
      <c r="Y63" s="1368"/>
      <c r="Z63" s="1368"/>
      <c r="AA63" s="1368"/>
      <c r="AB63" s="1368"/>
      <c r="AC63" s="1368"/>
      <c r="AD63" s="1368"/>
      <c r="AE63" s="1368"/>
      <c r="AF63" s="1368"/>
    </row>
    <row r="64" spans="6:32" ht="17.1" customHeight="1">
      <c r="F64" s="1368"/>
      <c r="G64" s="1368"/>
      <c r="H64" s="1368"/>
      <c r="I64" s="1368"/>
      <c r="J64" s="1368"/>
      <c r="K64" s="1368"/>
      <c r="L64" s="1368"/>
      <c r="M64" s="1368"/>
      <c r="N64" s="1368"/>
      <c r="O64" s="1368"/>
      <c r="P64" s="1368"/>
      <c r="Q64" s="1368"/>
      <c r="R64" s="1368"/>
      <c r="S64" s="1368"/>
      <c r="T64" s="1368"/>
      <c r="U64" s="1368"/>
      <c r="V64" s="1368"/>
      <c r="W64" s="1368"/>
      <c r="X64" s="1368"/>
      <c r="Y64" s="1368"/>
      <c r="Z64" s="1368"/>
      <c r="AA64" s="1368"/>
      <c r="AB64" s="1368"/>
      <c r="AC64" s="1368"/>
      <c r="AD64" s="1368"/>
      <c r="AE64" s="1368"/>
      <c r="AF64" s="1368"/>
    </row>
    <row r="65" spans="6:32" ht="17.1" customHeight="1">
      <c r="F65" s="1368"/>
      <c r="G65" s="1368"/>
      <c r="H65" s="1368"/>
      <c r="I65" s="1368"/>
      <c r="J65" s="1368"/>
      <c r="K65" s="1368"/>
      <c r="L65" s="1368"/>
      <c r="M65" s="1368"/>
      <c r="N65" s="1368"/>
      <c r="O65" s="1368"/>
      <c r="P65" s="1368"/>
      <c r="Q65" s="1368"/>
      <c r="R65" s="1368"/>
      <c r="S65" s="1368"/>
      <c r="T65" s="1368"/>
      <c r="U65" s="1368"/>
      <c r="V65" s="1368"/>
      <c r="W65" s="1368"/>
      <c r="X65" s="1368"/>
      <c r="Y65" s="1368"/>
      <c r="Z65" s="1368"/>
      <c r="AA65" s="1368"/>
      <c r="AB65" s="1368"/>
      <c r="AC65" s="1368"/>
      <c r="AD65" s="1368"/>
      <c r="AE65" s="1368"/>
      <c r="AF65" s="1368"/>
    </row>
    <row r="66" spans="6:32" ht="17.1" customHeight="1">
      <c r="F66" s="1368"/>
      <c r="G66" s="1368"/>
      <c r="H66" s="1368"/>
      <c r="I66" s="1368"/>
      <c r="J66" s="1368"/>
      <c r="K66" s="1368"/>
      <c r="L66" s="1368"/>
      <c r="M66" s="1368"/>
      <c r="N66" s="1368"/>
      <c r="O66" s="1368"/>
      <c r="P66" s="1368"/>
      <c r="Q66" s="1368"/>
      <c r="R66" s="1368"/>
      <c r="S66" s="1368"/>
      <c r="T66" s="1368"/>
      <c r="U66" s="1368"/>
      <c r="V66" s="1368"/>
      <c r="W66" s="1368"/>
      <c r="X66" s="1368"/>
      <c r="Y66" s="1368"/>
      <c r="Z66" s="1368"/>
      <c r="AA66" s="1368"/>
      <c r="AB66" s="1368"/>
      <c r="AC66" s="1368"/>
      <c r="AD66" s="1368"/>
      <c r="AE66" s="1368"/>
      <c r="AF66" s="1368"/>
    </row>
    <row r="67" spans="6:32" ht="17.1" customHeight="1">
      <c r="F67" s="1368"/>
      <c r="G67" s="1368"/>
      <c r="H67" s="1368"/>
      <c r="I67" s="1368"/>
      <c r="J67" s="1368"/>
      <c r="K67" s="1368"/>
      <c r="L67" s="1368"/>
      <c r="M67" s="1368"/>
      <c r="N67" s="1368"/>
      <c r="O67" s="1368"/>
      <c r="P67" s="1368"/>
      <c r="Q67" s="1368"/>
      <c r="R67" s="1368"/>
      <c r="S67" s="1368"/>
      <c r="T67" s="1368"/>
      <c r="U67" s="1368"/>
      <c r="V67" s="1368"/>
      <c r="W67" s="1368"/>
      <c r="X67" s="1368"/>
      <c r="Y67" s="1368"/>
      <c r="Z67" s="1368"/>
      <c r="AA67" s="1368"/>
      <c r="AB67" s="1368"/>
      <c r="AC67" s="1368"/>
      <c r="AD67" s="1368"/>
      <c r="AE67" s="1368"/>
      <c r="AF67" s="1368"/>
    </row>
    <row r="68" spans="6:32" ht="17.1" customHeight="1">
      <c r="F68" s="1368"/>
      <c r="G68" s="1368"/>
      <c r="H68" s="1368"/>
      <c r="I68" s="1368"/>
      <c r="J68" s="1368"/>
      <c r="K68" s="1368"/>
      <c r="L68" s="1368"/>
      <c r="M68" s="1368"/>
      <c r="N68" s="1368"/>
      <c r="O68" s="1368"/>
      <c r="P68" s="1368"/>
      <c r="Q68" s="1368"/>
      <c r="R68" s="1368"/>
      <c r="S68" s="1368"/>
      <c r="T68" s="1368"/>
      <c r="U68" s="1368"/>
      <c r="V68" s="1368"/>
      <c r="W68" s="1368"/>
      <c r="X68" s="1368"/>
      <c r="Y68" s="1368"/>
      <c r="Z68" s="1368"/>
      <c r="AA68" s="1368"/>
      <c r="AB68" s="1368"/>
      <c r="AC68" s="1368"/>
      <c r="AD68" s="1368"/>
      <c r="AE68" s="1368"/>
      <c r="AF68" s="1368"/>
    </row>
    <row r="69" spans="6:32" ht="17.1" customHeight="1">
      <c r="F69" s="1368"/>
      <c r="G69" s="1368"/>
      <c r="H69" s="1368"/>
      <c r="I69" s="1368"/>
      <c r="J69" s="1368"/>
      <c r="K69" s="1368"/>
      <c r="L69" s="1368"/>
      <c r="M69" s="1368"/>
      <c r="N69" s="1368"/>
      <c r="O69" s="1368"/>
      <c r="P69" s="1368"/>
      <c r="Q69" s="1368"/>
      <c r="R69" s="1368"/>
      <c r="S69" s="1368"/>
      <c r="T69" s="1368"/>
      <c r="U69" s="1368"/>
      <c r="V69" s="1368"/>
      <c r="W69" s="1368"/>
      <c r="X69" s="1368"/>
      <c r="Y69" s="1368"/>
      <c r="Z69" s="1368"/>
      <c r="AA69" s="1368"/>
      <c r="AB69" s="1368"/>
      <c r="AC69" s="1368"/>
      <c r="AD69" s="1368"/>
      <c r="AE69" s="1368"/>
      <c r="AF69" s="1368"/>
    </row>
    <row r="70" spans="6:32" ht="17.1" customHeight="1">
      <c r="F70" s="1368"/>
      <c r="G70" s="1368"/>
      <c r="H70" s="1368"/>
      <c r="I70" s="1368"/>
      <c r="J70" s="1368"/>
      <c r="K70" s="1368"/>
      <c r="L70" s="1368"/>
      <c r="M70" s="1368"/>
      <c r="N70" s="1368"/>
      <c r="O70" s="1368"/>
      <c r="P70" s="1368"/>
      <c r="Q70" s="1368"/>
      <c r="R70" s="1368"/>
      <c r="S70" s="1368"/>
      <c r="T70" s="1368"/>
      <c r="U70" s="1368"/>
      <c r="V70" s="1368"/>
      <c r="W70" s="1368"/>
      <c r="X70" s="1368"/>
      <c r="Y70" s="1368"/>
      <c r="Z70" s="1368"/>
      <c r="AA70" s="1368"/>
      <c r="AB70" s="1368"/>
      <c r="AC70" s="1368"/>
      <c r="AD70" s="1368"/>
      <c r="AE70" s="1368"/>
      <c r="AF70" s="1368"/>
    </row>
    <row r="71" spans="6:32" ht="17.1" customHeight="1">
      <c r="F71" s="1368"/>
      <c r="G71" s="1368"/>
      <c r="H71" s="1368"/>
      <c r="I71" s="1368"/>
      <c r="J71" s="1368"/>
      <c r="K71" s="1368"/>
      <c r="L71" s="1368"/>
      <c r="M71" s="1368"/>
      <c r="N71" s="1368"/>
      <c r="O71" s="1368"/>
      <c r="P71" s="1368"/>
      <c r="Q71" s="1368"/>
      <c r="R71" s="1368"/>
      <c r="S71" s="1368"/>
      <c r="T71" s="1368"/>
      <c r="U71" s="1368"/>
      <c r="V71" s="1368"/>
      <c r="W71" s="1368"/>
      <c r="X71" s="1368"/>
      <c r="Y71" s="1368"/>
      <c r="Z71" s="1368"/>
      <c r="AA71" s="1368"/>
      <c r="AB71" s="1368"/>
      <c r="AC71" s="1368"/>
      <c r="AD71" s="1368"/>
      <c r="AE71" s="1368"/>
      <c r="AF71" s="1368"/>
    </row>
    <row r="72" spans="6:32" ht="17.1" customHeight="1">
      <c r="F72" s="1368"/>
      <c r="G72" s="1368"/>
      <c r="H72" s="1368"/>
      <c r="I72" s="1368"/>
      <c r="J72" s="1368"/>
      <c r="K72" s="1368"/>
      <c r="L72" s="1368"/>
      <c r="M72" s="1368"/>
      <c r="N72" s="1368"/>
      <c r="O72" s="1368"/>
      <c r="P72" s="1368"/>
      <c r="Q72" s="1368"/>
      <c r="R72" s="1368"/>
      <c r="S72" s="1368"/>
      <c r="T72" s="1368"/>
      <c r="U72" s="1368"/>
      <c r="V72" s="1368"/>
      <c r="W72" s="1368"/>
      <c r="X72" s="1368"/>
      <c r="Y72" s="1368"/>
      <c r="Z72" s="1368"/>
      <c r="AA72" s="1368"/>
      <c r="AB72" s="1368"/>
      <c r="AC72" s="1368"/>
      <c r="AD72" s="1368"/>
      <c r="AE72" s="1368"/>
      <c r="AF72" s="1368"/>
    </row>
    <row r="73" spans="6:32" ht="17.1" customHeight="1">
      <c r="F73" s="1368"/>
      <c r="G73" s="1368"/>
      <c r="H73" s="1368"/>
      <c r="I73" s="1368"/>
      <c r="J73" s="1368"/>
      <c r="K73" s="1368"/>
      <c r="L73" s="1368"/>
      <c r="M73" s="1368"/>
      <c r="N73" s="1368"/>
      <c r="O73" s="1368"/>
      <c r="P73" s="1368"/>
      <c r="Q73" s="1368"/>
      <c r="R73" s="1368"/>
      <c r="S73" s="1368"/>
      <c r="T73" s="1368"/>
      <c r="U73" s="1368"/>
      <c r="V73" s="1368"/>
      <c r="W73" s="1368"/>
      <c r="X73" s="1368"/>
      <c r="Y73" s="1368"/>
      <c r="Z73" s="1368"/>
      <c r="AA73" s="1368"/>
      <c r="AB73" s="1368"/>
      <c r="AC73" s="1368"/>
      <c r="AD73" s="1368"/>
      <c r="AE73" s="1368"/>
      <c r="AF73" s="1368"/>
    </row>
    <row r="74" spans="6:32" ht="17.1" customHeight="1">
      <c r="F74" s="1368"/>
      <c r="G74" s="1368"/>
      <c r="H74" s="1368"/>
      <c r="I74" s="1368"/>
      <c r="J74" s="1368"/>
      <c r="K74" s="1368"/>
      <c r="L74" s="1368"/>
      <c r="M74" s="1368"/>
      <c r="N74" s="1368"/>
      <c r="O74" s="1368"/>
      <c r="P74" s="1368"/>
      <c r="Q74" s="1368"/>
      <c r="R74" s="1368"/>
      <c r="S74" s="1368"/>
      <c r="T74" s="1368"/>
      <c r="U74" s="1368"/>
      <c r="V74" s="1368"/>
      <c r="W74" s="1368"/>
      <c r="X74" s="1368"/>
      <c r="Y74" s="1368"/>
      <c r="Z74" s="1368"/>
      <c r="AA74" s="1368"/>
      <c r="AB74" s="1368"/>
      <c r="AC74" s="1368"/>
      <c r="AD74" s="1368"/>
      <c r="AE74" s="1368"/>
      <c r="AF74" s="1368"/>
    </row>
    <row r="75" spans="6:32" ht="17.1" customHeight="1">
      <c r="F75" s="1368"/>
      <c r="G75" s="1368"/>
      <c r="H75" s="1368"/>
      <c r="I75" s="1368"/>
      <c r="J75" s="1368"/>
      <c r="K75" s="1368"/>
      <c r="L75" s="1368"/>
      <c r="M75" s="1368"/>
      <c r="N75" s="1368"/>
      <c r="O75" s="1368"/>
      <c r="P75" s="1368"/>
      <c r="Q75" s="1368"/>
      <c r="R75" s="1368"/>
      <c r="S75" s="1368"/>
      <c r="T75" s="1368"/>
      <c r="U75" s="1368"/>
      <c r="V75" s="1368"/>
      <c r="W75" s="1368"/>
      <c r="X75" s="1368"/>
      <c r="Y75" s="1368"/>
      <c r="Z75" s="1368"/>
      <c r="AA75" s="1368"/>
      <c r="AB75" s="1368"/>
      <c r="AC75" s="1368"/>
      <c r="AD75" s="1368"/>
      <c r="AE75" s="1368"/>
      <c r="AF75" s="1368"/>
    </row>
    <row r="76" spans="6:32" ht="17.1" customHeight="1">
      <c r="F76" s="1368"/>
      <c r="G76" s="1368"/>
      <c r="H76" s="1368"/>
      <c r="I76" s="1368"/>
      <c r="J76" s="1368"/>
      <c r="K76" s="1368"/>
      <c r="L76" s="1368"/>
      <c r="M76" s="1368"/>
      <c r="N76" s="1368"/>
      <c r="O76" s="1368"/>
      <c r="P76" s="1368"/>
      <c r="Q76" s="1368"/>
      <c r="R76" s="1368"/>
      <c r="S76" s="1368"/>
      <c r="T76" s="1368"/>
      <c r="U76" s="1368"/>
      <c r="V76" s="1368"/>
      <c r="W76" s="1368"/>
      <c r="X76" s="1368"/>
      <c r="Y76" s="1368"/>
      <c r="Z76" s="1368"/>
      <c r="AA76" s="1368"/>
      <c r="AB76" s="1368"/>
      <c r="AC76" s="1368"/>
      <c r="AD76" s="1368"/>
      <c r="AE76" s="1368"/>
      <c r="AF76" s="1368"/>
    </row>
    <row r="77" spans="6:32" ht="17.1" customHeight="1">
      <c r="F77" s="1368"/>
      <c r="G77" s="1368"/>
      <c r="H77" s="1368"/>
      <c r="I77" s="1368"/>
      <c r="J77" s="1368"/>
      <c r="K77" s="1368"/>
      <c r="L77" s="1368"/>
      <c r="M77" s="1368"/>
      <c r="N77" s="1368"/>
      <c r="O77" s="1368"/>
      <c r="P77" s="1368"/>
      <c r="Q77" s="1368"/>
      <c r="R77" s="1368"/>
      <c r="S77" s="1368"/>
      <c r="T77" s="1368"/>
      <c r="U77" s="1368"/>
      <c r="V77" s="1368"/>
      <c r="W77" s="1368"/>
      <c r="X77" s="1368"/>
      <c r="Y77" s="1368"/>
      <c r="Z77" s="1368"/>
      <c r="AA77" s="1368"/>
      <c r="AB77" s="1368"/>
      <c r="AC77" s="1368"/>
      <c r="AD77" s="1368"/>
      <c r="AE77" s="1368"/>
      <c r="AF77" s="1368"/>
    </row>
    <row r="78" spans="6:32" ht="17.1" customHeight="1">
      <c r="F78" s="1368"/>
      <c r="G78" s="1368"/>
      <c r="H78" s="1368"/>
      <c r="I78" s="1368"/>
      <c r="J78" s="1368"/>
      <c r="K78" s="1368"/>
      <c r="L78" s="1368"/>
      <c r="M78" s="1368"/>
      <c r="N78" s="1368"/>
      <c r="O78" s="1368"/>
      <c r="P78" s="1368"/>
      <c r="Q78" s="1368"/>
      <c r="R78" s="1368"/>
      <c r="S78" s="1368"/>
      <c r="T78" s="1368"/>
      <c r="U78" s="1368"/>
      <c r="V78" s="1368"/>
      <c r="W78" s="1368"/>
      <c r="X78" s="1368"/>
      <c r="Y78" s="1368"/>
      <c r="Z78" s="1368"/>
      <c r="AA78" s="1368"/>
      <c r="AB78" s="1368"/>
      <c r="AC78" s="1368"/>
      <c r="AD78" s="1368"/>
      <c r="AE78" s="1368"/>
      <c r="AF78" s="1368"/>
    </row>
    <row r="79" spans="6:32" ht="17.1" customHeight="1">
      <c r="F79" s="1368"/>
      <c r="G79" s="1368"/>
      <c r="H79" s="1368"/>
      <c r="I79" s="1368"/>
      <c r="J79" s="1368"/>
      <c r="K79" s="1368"/>
      <c r="L79" s="1368"/>
      <c r="M79" s="1368"/>
      <c r="N79" s="1368"/>
      <c r="O79" s="1368"/>
      <c r="P79" s="1368"/>
      <c r="Q79" s="1368"/>
      <c r="R79" s="1368"/>
      <c r="S79" s="1368"/>
      <c r="T79" s="1368"/>
      <c r="U79" s="1368"/>
      <c r="V79" s="1368"/>
      <c r="W79" s="1368"/>
      <c r="X79" s="1368"/>
      <c r="Y79" s="1368"/>
      <c r="Z79" s="1368"/>
      <c r="AA79" s="1368"/>
      <c r="AB79" s="1368"/>
      <c r="AC79" s="1368"/>
      <c r="AD79" s="1368"/>
      <c r="AE79" s="1368"/>
      <c r="AF79" s="1368"/>
    </row>
    <row r="80" spans="6:32" ht="17.1" customHeight="1">
      <c r="F80" s="1368"/>
      <c r="G80" s="1368"/>
      <c r="H80" s="1368"/>
      <c r="I80" s="1368"/>
      <c r="J80" s="1368"/>
      <c r="K80" s="1368"/>
      <c r="L80" s="1368"/>
      <c r="M80" s="1368"/>
      <c r="N80" s="1368"/>
      <c r="O80" s="1368"/>
      <c r="P80" s="1368"/>
      <c r="Q80" s="1368"/>
      <c r="R80" s="1368"/>
      <c r="S80" s="1368"/>
      <c r="T80" s="1368"/>
      <c r="U80" s="1368"/>
      <c r="V80" s="1368"/>
      <c r="W80" s="1368"/>
      <c r="X80" s="1368"/>
      <c r="Y80" s="1368"/>
      <c r="Z80" s="1368"/>
      <c r="AA80" s="1368"/>
      <c r="AB80" s="1368"/>
      <c r="AC80" s="1368"/>
      <c r="AD80" s="1368"/>
      <c r="AE80" s="1368"/>
      <c r="AF80" s="1368"/>
    </row>
    <row r="81" spans="6:32" ht="17.1" customHeight="1">
      <c r="F81" s="1368"/>
      <c r="G81" s="1368"/>
      <c r="H81" s="1368"/>
      <c r="I81" s="1368"/>
      <c r="J81" s="1368"/>
      <c r="K81" s="1368"/>
      <c r="L81" s="1368"/>
      <c r="M81" s="1368"/>
      <c r="N81" s="1368"/>
      <c r="O81" s="1368"/>
      <c r="P81" s="1368"/>
      <c r="Q81" s="1368"/>
      <c r="R81" s="1368"/>
      <c r="S81" s="1368"/>
      <c r="T81" s="1368"/>
      <c r="U81" s="1368"/>
      <c r="V81" s="1368"/>
      <c r="W81" s="1368"/>
      <c r="X81" s="1368"/>
      <c r="Y81" s="1368"/>
      <c r="Z81" s="1368"/>
      <c r="AA81" s="1368"/>
      <c r="AB81" s="1368"/>
      <c r="AC81" s="1368"/>
      <c r="AD81" s="1368"/>
      <c r="AE81" s="1368"/>
      <c r="AF81" s="1368"/>
    </row>
    <row r="82" spans="6:32" ht="17.1" customHeight="1">
      <c r="F82" s="1368"/>
      <c r="G82" s="1368"/>
      <c r="H82" s="1368"/>
      <c r="I82" s="1368"/>
      <c r="J82" s="1368"/>
      <c r="K82" s="1368"/>
      <c r="L82" s="1368"/>
      <c r="M82" s="1368"/>
      <c r="N82" s="1368"/>
      <c r="O82" s="1368"/>
      <c r="P82" s="1368"/>
      <c r="Q82" s="1368"/>
      <c r="R82" s="1368"/>
      <c r="S82" s="1368"/>
      <c r="T82" s="1368"/>
      <c r="U82" s="1368"/>
      <c r="V82" s="1368"/>
      <c r="W82" s="1368"/>
      <c r="X82" s="1368"/>
      <c r="Y82" s="1368"/>
      <c r="Z82" s="1368"/>
      <c r="AA82" s="1368"/>
      <c r="AB82" s="1368"/>
      <c r="AC82" s="1368"/>
      <c r="AD82" s="1368"/>
      <c r="AE82" s="1368"/>
      <c r="AF82" s="1368"/>
    </row>
    <row r="83" spans="6:32" ht="17.1" customHeight="1">
      <c r="F83" s="1368"/>
      <c r="G83" s="1368"/>
      <c r="H83" s="1368"/>
      <c r="I83" s="1368"/>
      <c r="J83" s="1368"/>
      <c r="K83" s="1368"/>
      <c r="L83" s="1368"/>
      <c r="M83" s="1368"/>
      <c r="N83" s="1368"/>
      <c r="O83" s="1368"/>
      <c r="P83" s="1368"/>
      <c r="Q83" s="1368"/>
      <c r="R83" s="1368"/>
      <c r="S83" s="1368"/>
      <c r="T83" s="1368"/>
      <c r="U83" s="1368"/>
      <c r="V83" s="1368"/>
      <c r="W83" s="1368"/>
      <c r="X83" s="1368"/>
      <c r="Y83" s="1368"/>
      <c r="Z83" s="1368"/>
      <c r="AA83" s="1368"/>
      <c r="AB83" s="1368"/>
      <c r="AC83" s="1368"/>
      <c r="AD83" s="1368"/>
      <c r="AE83" s="1368"/>
      <c r="AF83" s="1368"/>
    </row>
    <row r="84" spans="6:32" ht="17.1" customHeight="1">
      <c r="F84" s="1368"/>
      <c r="G84" s="1368"/>
      <c r="H84" s="1368"/>
      <c r="I84" s="1368"/>
      <c r="J84" s="1368"/>
      <c r="K84" s="1368"/>
      <c r="L84" s="1368"/>
      <c r="M84" s="1368"/>
      <c r="N84" s="1368"/>
      <c r="O84" s="1368"/>
      <c r="P84" s="1368"/>
      <c r="Q84" s="1368"/>
      <c r="R84" s="1368"/>
      <c r="S84" s="1368"/>
      <c r="T84" s="1368"/>
      <c r="U84" s="1368"/>
      <c r="V84" s="1368"/>
      <c r="W84" s="1368"/>
      <c r="X84" s="1368"/>
      <c r="Y84" s="1368"/>
      <c r="Z84" s="1368"/>
      <c r="AA84" s="1368"/>
      <c r="AB84" s="1368"/>
      <c r="AC84" s="1368"/>
      <c r="AD84" s="1368"/>
      <c r="AE84" s="1368"/>
      <c r="AF84" s="1368"/>
    </row>
    <row r="85" spans="6:32" ht="17.1" customHeight="1">
      <c r="F85" s="1368"/>
      <c r="G85" s="1368"/>
      <c r="H85" s="1368"/>
      <c r="I85" s="1368"/>
      <c r="J85" s="1368"/>
      <c r="K85" s="1368"/>
      <c r="L85" s="1368"/>
      <c r="M85" s="1368"/>
      <c r="N85" s="1368"/>
      <c r="O85" s="1368"/>
      <c r="P85" s="1368"/>
      <c r="Q85" s="1368"/>
      <c r="R85" s="1368"/>
      <c r="S85" s="1368"/>
      <c r="T85" s="1368"/>
      <c r="U85" s="1368"/>
      <c r="V85" s="1368"/>
      <c r="W85" s="1368"/>
      <c r="X85" s="1368"/>
      <c r="Y85" s="1368"/>
      <c r="Z85" s="1368"/>
      <c r="AA85" s="1368"/>
      <c r="AB85" s="1368"/>
      <c r="AC85" s="1368"/>
      <c r="AD85" s="1368"/>
      <c r="AE85" s="1368"/>
      <c r="AF85" s="1368"/>
    </row>
    <row r="86" spans="6:32" ht="17.1" customHeight="1">
      <c r="F86" s="1368"/>
      <c r="G86" s="1368"/>
      <c r="H86" s="1368"/>
      <c r="I86" s="1368"/>
      <c r="J86" s="1368"/>
      <c r="K86" s="1368"/>
      <c r="L86" s="1368"/>
      <c r="M86" s="1368"/>
      <c r="N86" s="1368"/>
      <c r="O86" s="1368"/>
      <c r="P86" s="1368"/>
      <c r="Q86" s="1368"/>
      <c r="R86" s="1368"/>
      <c r="S86" s="1368"/>
      <c r="T86" s="1368"/>
      <c r="U86" s="1368"/>
      <c r="V86" s="1368"/>
      <c r="W86" s="1368"/>
      <c r="X86" s="1368"/>
      <c r="Y86" s="1368"/>
      <c r="Z86" s="1368"/>
      <c r="AA86" s="1368"/>
      <c r="AB86" s="1368"/>
      <c r="AC86" s="1368"/>
      <c r="AD86" s="1368"/>
      <c r="AE86" s="1368"/>
      <c r="AF86" s="1368"/>
    </row>
    <row r="87" spans="6:32" ht="17.1" customHeight="1">
      <c r="F87" s="1368"/>
      <c r="G87" s="1368"/>
      <c r="H87" s="1368"/>
      <c r="I87" s="1368"/>
      <c r="J87" s="1368"/>
      <c r="K87" s="1368"/>
      <c r="L87" s="1368"/>
      <c r="M87" s="1368"/>
      <c r="N87" s="1368"/>
      <c r="O87" s="1368"/>
      <c r="P87" s="1368"/>
      <c r="Q87" s="1368"/>
      <c r="R87" s="1368"/>
      <c r="S87" s="1368"/>
      <c r="T87" s="1368"/>
      <c r="U87" s="1368"/>
      <c r="V87" s="1368"/>
      <c r="W87" s="1368"/>
      <c r="X87" s="1368"/>
      <c r="Y87" s="1368"/>
      <c r="Z87" s="1368"/>
      <c r="AA87" s="1368"/>
      <c r="AB87" s="1368"/>
      <c r="AC87" s="1368"/>
      <c r="AD87" s="1368"/>
      <c r="AE87" s="1368"/>
      <c r="AF87" s="1368"/>
    </row>
    <row r="88" spans="6:32" ht="17.1" customHeight="1">
      <c r="F88" s="1368"/>
      <c r="G88" s="1368"/>
      <c r="H88" s="1368"/>
      <c r="I88" s="1368"/>
      <c r="J88" s="1368"/>
      <c r="K88" s="1368"/>
      <c r="L88" s="1368"/>
      <c r="M88" s="1368"/>
      <c r="N88" s="1368"/>
      <c r="O88" s="1368"/>
      <c r="P88" s="1368"/>
      <c r="Q88" s="1368"/>
      <c r="R88" s="1368"/>
      <c r="S88" s="1368"/>
      <c r="T88" s="1368"/>
      <c r="U88" s="1368"/>
      <c r="V88" s="1368"/>
      <c r="W88" s="1368"/>
      <c r="X88" s="1368"/>
      <c r="Y88" s="1368"/>
      <c r="Z88" s="1368"/>
      <c r="AA88" s="1368"/>
      <c r="AB88" s="1368"/>
      <c r="AC88" s="1368"/>
      <c r="AD88" s="1368"/>
      <c r="AE88" s="1368"/>
      <c r="AF88" s="1368"/>
    </row>
    <row r="89" spans="6:32" ht="17.1" customHeight="1">
      <c r="F89" s="1368"/>
      <c r="G89" s="1368"/>
      <c r="H89" s="1368"/>
      <c r="I89" s="1368"/>
      <c r="J89" s="1368"/>
      <c r="K89" s="1368"/>
      <c r="L89" s="1368"/>
      <c r="M89" s="1368"/>
      <c r="N89" s="1368"/>
      <c r="O89" s="1368"/>
      <c r="P89" s="1368"/>
      <c r="Q89" s="1368"/>
      <c r="R89" s="1368"/>
      <c r="S89" s="1368"/>
      <c r="T89" s="1368"/>
      <c r="U89" s="1368"/>
      <c r="V89" s="1368"/>
      <c r="W89" s="1368"/>
      <c r="X89" s="1368"/>
      <c r="Y89" s="1368"/>
      <c r="Z89" s="1368"/>
      <c r="AA89" s="1368"/>
      <c r="AB89" s="1368"/>
      <c r="AC89" s="1368"/>
      <c r="AD89" s="1368"/>
      <c r="AE89" s="1368"/>
      <c r="AF89" s="1368"/>
    </row>
    <row r="90" spans="6:32" ht="17.1" customHeight="1">
      <c r="F90" s="1368"/>
      <c r="G90" s="1368"/>
      <c r="H90" s="1368"/>
      <c r="I90" s="1368"/>
      <c r="J90" s="1368"/>
      <c r="K90" s="1368"/>
      <c r="L90" s="1368"/>
      <c r="M90" s="1368"/>
      <c r="N90" s="1368"/>
      <c r="O90" s="1368"/>
      <c r="P90" s="1368"/>
      <c r="Q90" s="1368"/>
      <c r="R90" s="1368"/>
      <c r="S90" s="1368"/>
      <c r="T90" s="1368"/>
      <c r="U90" s="1368"/>
      <c r="V90" s="1368"/>
      <c r="W90" s="1368"/>
      <c r="X90" s="1368"/>
      <c r="Y90" s="1368"/>
      <c r="Z90" s="1368"/>
      <c r="AA90" s="1368"/>
      <c r="AB90" s="1368"/>
      <c r="AC90" s="1368"/>
      <c r="AD90" s="1368"/>
      <c r="AE90" s="1368"/>
      <c r="AF90" s="1368"/>
    </row>
    <row r="91" spans="6:32" ht="17.1" customHeight="1">
      <c r="F91" s="1368"/>
      <c r="G91" s="1368"/>
      <c r="H91" s="1368"/>
      <c r="I91" s="1368"/>
      <c r="J91" s="1368"/>
      <c r="K91" s="1368"/>
      <c r="L91" s="1368"/>
      <c r="M91" s="1368"/>
      <c r="N91" s="1368"/>
      <c r="O91" s="1368"/>
      <c r="P91" s="1368"/>
      <c r="Q91" s="1368"/>
      <c r="R91" s="1368"/>
      <c r="S91" s="1368"/>
      <c r="T91" s="1368"/>
      <c r="U91" s="1368"/>
      <c r="V91" s="1368"/>
      <c r="W91" s="1368"/>
      <c r="X91" s="1368"/>
      <c r="Y91" s="1368"/>
      <c r="Z91" s="1368"/>
      <c r="AA91" s="1368"/>
      <c r="AB91" s="1368"/>
      <c r="AC91" s="1368"/>
      <c r="AD91" s="1368"/>
      <c r="AE91" s="1368"/>
      <c r="AF91" s="1368"/>
    </row>
    <row r="92" spans="6:32" ht="17.1" customHeight="1">
      <c r="F92" s="1368"/>
      <c r="G92" s="1368"/>
      <c r="H92" s="1368"/>
      <c r="I92" s="1368"/>
      <c r="J92" s="1368"/>
      <c r="K92" s="1368"/>
      <c r="L92" s="1368"/>
      <c r="M92" s="1368"/>
      <c r="N92" s="1368"/>
      <c r="O92" s="1368"/>
      <c r="P92" s="1368"/>
      <c r="Q92" s="1368"/>
      <c r="R92" s="1368"/>
      <c r="S92" s="1368"/>
      <c r="T92" s="1368"/>
      <c r="U92" s="1368"/>
      <c r="V92" s="1368"/>
      <c r="W92" s="1368"/>
      <c r="X92" s="1368"/>
      <c r="Y92" s="1368"/>
      <c r="Z92" s="1368"/>
      <c r="AA92" s="1368"/>
      <c r="AB92" s="1368"/>
      <c r="AC92" s="1368"/>
      <c r="AD92" s="1368"/>
      <c r="AE92" s="1368"/>
      <c r="AF92" s="1368"/>
    </row>
    <row r="93" spans="6:32" ht="17.1" customHeight="1">
      <c r="F93" s="1368"/>
      <c r="G93" s="1368"/>
      <c r="H93" s="1368"/>
      <c r="I93" s="1368"/>
      <c r="J93" s="1368"/>
      <c r="K93" s="1368"/>
      <c r="L93" s="1368"/>
      <c r="M93" s="1368"/>
      <c r="N93" s="1368"/>
      <c r="O93" s="1368"/>
      <c r="P93" s="1368"/>
      <c r="Q93" s="1368"/>
      <c r="R93" s="1368"/>
      <c r="S93" s="1368"/>
      <c r="T93" s="1368"/>
      <c r="U93" s="1368"/>
      <c r="V93" s="1368"/>
      <c r="W93" s="1368"/>
      <c r="X93" s="1368"/>
      <c r="Y93" s="1368"/>
      <c r="Z93" s="1368"/>
      <c r="AA93" s="1368"/>
      <c r="AB93" s="1368"/>
      <c r="AC93" s="1368"/>
      <c r="AD93" s="1368"/>
      <c r="AE93" s="1368"/>
      <c r="AF93" s="1368"/>
    </row>
    <row r="94" spans="6:32" ht="17.1" customHeight="1">
      <c r="F94" s="1368"/>
      <c r="G94" s="1368"/>
      <c r="H94" s="1368"/>
      <c r="I94" s="1368"/>
      <c r="J94" s="1368"/>
      <c r="K94" s="1368"/>
      <c r="L94" s="1368"/>
      <c r="M94" s="1368"/>
      <c r="N94" s="1368"/>
      <c r="O94" s="1368"/>
      <c r="P94" s="1368"/>
      <c r="Q94" s="1368"/>
      <c r="R94" s="1368"/>
      <c r="S94" s="1368"/>
      <c r="T94" s="1368"/>
      <c r="U94" s="1368"/>
      <c r="V94" s="1368"/>
      <c r="W94" s="1368"/>
      <c r="X94" s="1368"/>
      <c r="Y94" s="1368"/>
      <c r="Z94" s="1368"/>
      <c r="AA94" s="1368"/>
      <c r="AB94" s="1368"/>
      <c r="AC94" s="1368"/>
      <c r="AD94" s="1368"/>
      <c r="AE94" s="1368"/>
      <c r="AF94" s="1368"/>
    </row>
    <row r="95" spans="6:32" ht="17.1" customHeight="1">
      <c r="F95" s="1368"/>
      <c r="G95" s="1368"/>
      <c r="H95" s="1368"/>
      <c r="I95" s="1368"/>
      <c r="J95" s="1368"/>
      <c r="K95" s="1368"/>
      <c r="L95" s="1368"/>
      <c r="M95" s="1368"/>
      <c r="N95" s="1368"/>
      <c r="O95" s="1368"/>
      <c r="P95" s="1368"/>
      <c r="Q95" s="1368"/>
      <c r="R95" s="1368"/>
      <c r="S95" s="1368"/>
      <c r="T95" s="1368"/>
      <c r="U95" s="1368"/>
      <c r="V95" s="1368"/>
      <c r="W95" s="1368"/>
      <c r="X95" s="1368"/>
      <c r="Y95" s="1368"/>
      <c r="Z95" s="1368"/>
      <c r="AA95" s="1368"/>
      <c r="AB95" s="1368"/>
      <c r="AC95" s="1368"/>
      <c r="AD95" s="1368"/>
      <c r="AE95" s="1368"/>
      <c r="AF95" s="1368"/>
    </row>
    <row r="96" spans="6:32" ht="17.1" customHeight="1">
      <c r="F96" s="1368"/>
      <c r="G96" s="1368"/>
      <c r="H96" s="1368"/>
      <c r="I96" s="1368"/>
      <c r="J96" s="1368"/>
      <c r="K96" s="1368"/>
      <c r="L96" s="1368"/>
      <c r="M96" s="1368"/>
      <c r="N96" s="1368"/>
      <c r="O96" s="1368"/>
      <c r="P96" s="1368"/>
      <c r="Q96" s="1368"/>
      <c r="R96" s="1368"/>
      <c r="S96" s="1368"/>
      <c r="T96" s="1368"/>
      <c r="U96" s="1368"/>
      <c r="V96" s="1368"/>
      <c r="W96" s="1368"/>
      <c r="X96" s="1368"/>
      <c r="Y96" s="1368"/>
      <c r="Z96" s="1368"/>
      <c r="AA96" s="1368"/>
      <c r="AB96" s="1368"/>
      <c r="AC96" s="1368"/>
      <c r="AD96" s="1368"/>
      <c r="AE96" s="1368"/>
      <c r="AF96" s="1368"/>
    </row>
    <row r="97" spans="6:32" ht="17.1" customHeight="1">
      <c r="F97" s="1368"/>
      <c r="G97" s="1368"/>
      <c r="H97" s="1368"/>
      <c r="I97" s="1368"/>
      <c r="J97" s="1368"/>
      <c r="K97" s="1368"/>
      <c r="L97" s="1368"/>
      <c r="M97" s="1368"/>
      <c r="N97" s="1368"/>
      <c r="O97" s="1368"/>
      <c r="P97" s="1368"/>
      <c r="Q97" s="1368"/>
      <c r="R97" s="1368"/>
      <c r="S97" s="1368"/>
      <c r="T97" s="1368"/>
      <c r="U97" s="1368"/>
      <c r="V97" s="1368"/>
      <c r="W97" s="1368"/>
      <c r="X97" s="1368"/>
      <c r="Y97" s="1368"/>
      <c r="Z97" s="1368"/>
      <c r="AA97" s="1368"/>
      <c r="AB97" s="1368"/>
      <c r="AC97" s="1368"/>
      <c r="AD97" s="1368"/>
      <c r="AE97" s="1368"/>
      <c r="AF97" s="1368"/>
    </row>
    <row r="98" spans="6:32" ht="17.1" customHeight="1">
      <c r="F98" s="1368"/>
      <c r="G98" s="1368"/>
      <c r="H98" s="1368"/>
      <c r="I98" s="1368"/>
      <c r="J98" s="1368"/>
      <c r="K98" s="1368"/>
      <c r="L98" s="1368"/>
      <c r="M98" s="1368"/>
      <c r="N98" s="1368"/>
      <c r="O98" s="1368"/>
      <c r="P98" s="1368"/>
      <c r="Q98" s="1368"/>
      <c r="R98" s="1368"/>
      <c r="S98" s="1368"/>
      <c r="T98" s="1368"/>
      <c r="U98" s="1368"/>
      <c r="V98" s="1368"/>
      <c r="W98" s="1368"/>
      <c r="X98" s="1368"/>
      <c r="Y98" s="1368"/>
      <c r="Z98" s="1368"/>
      <c r="AA98" s="1368"/>
      <c r="AB98" s="1368"/>
      <c r="AC98" s="1368"/>
      <c r="AD98" s="1368"/>
      <c r="AE98" s="1368"/>
      <c r="AF98" s="1368"/>
    </row>
    <row r="99" spans="6:32" ht="17.1" customHeight="1">
      <c r="F99" s="1368"/>
      <c r="G99" s="1368"/>
      <c r="H99" s="1368"/>
      <c r="I99" s="1368"/>
      <c r="J99" s="1368"/>
      <c r="K99" s="1368"/>
      <c r="L99" s="1368"/>
      <c r="M99" s="1368"/>
      <c r="N99" s="1368"/>
      <c r="O99" s="1368"/>
      <c r="P99" s="1368"/>
      <c r="Q99" s="1368"/>
      <c r="R99" s="1368"/>
      <c r="S99" s="1368"/>
      <c r="T99" s="1368"/>
      <c r="U99" s="1368"/>
      <c r="V99" s="1368"/>
      <c r="W99" s="1368"/>
      <c r="X99" s="1368"/>
      <c r="Y99" s="1368"/>
      <c r="Z99" s="1368"/>
      <c r="AA99" s="1368"/>
      <c r="AB99" s="1368"/>
      <c r="AC99" s="1368"/>
      <c r="AD99" s="1368"/>
      <c r="AE99" s="1368"/>
      <c r="AF99" s="1368"/>
    </row>
    <row r="100" spans="6:32" ht="17.1" customHeight="1">
      <c r="F100" s="1368"/>
      <c r="G100" s="1368"/>
      <c r="H100" s="1368"/>
      <c r="I100" s="1368"/>
      <c r="J100" s="1368"/>
      <c r="K100" s="1368"/>
      <c r="L100" s="1368"/>
      <c r="M100" s="1368"/>
      <c r="N100" s="1368"/>
      <c r="O100" s="1368"/>
      <c r="P100" s="1368"/>
      <c r="Q100" s="1368"/>
      <c r="R100" s="1368"/>
      <c r="S100" s="1368"/>
      <c r="T100" s="1368"/>
      <c r="U100" s="1368"/>
      <c r="V100" s="1368"/>
      <c r="W100" s="1368"/>
      <c r="X100" s="1368"/>
      <c r="Y100" s="1368"/>
      <c r="Z100" s="1368"/>
      <c r="AA100" s="1368"/>
      <c r="AB100" s="1368"/>
      <c r="AC100" s="1368"/>
      <c r="AD100" s="1368"/>
      <c r="AE100" s="1368"/>
      <c r="AF100" s="1368"/>
    </row>
    <row r="101" spans="6:32" ht="17.1" customHeight="1">
      <c r="F101" s="1368"/>
      <c r="G101" s="1368"/>
      <c r="H101" s="1368"/>
      <c r="I101" s="1368"/>
      <c r="J101" s="1368"/>
      <c r="K101" s="1368"/>
      <c r="L101" s="1368"/>
      <c r="M101" s="1368"/>
      <c r="N101" s="1368"/>
      <c r="O101" s="1368"/>
      <c r="P101" s="1368"/>
      <c r="Q101" s="1368"/>
      <c r="R101" s="1368"/>
      <c r="S101" s="1368"/>
      <c r="T101" s="1368"/>
      <c r="U101" s="1368"/>
      <c r="V101" s="1368"/>
      <c r="W101" s="1368"/>
      <c r="X101" s="1368"/>
      <c r="Y101" s="1368"/>
      <c r="Z101" s="1368"/>
      <c r="AA101" s="1368"/>
      <c r="AB101" s="1368"/>
      <c r="AC101" s="1368"/>
      <c r="AD101" s="1368"/>
      <c r="AE101" s="1368"/>
      <c r="AF101" s="1368"/>
    </row>
    <row r="102" spans="6:32" ht="17.1" customHeight="1">
      <c r="F102" s="1368"/>
      <c r="G102" s="1368"/>
      <c r="H102" s="1368"/>
      <c r="I102" s="1368"/>
      <c r="J102" s="1368"/>
      <c r="K102" s="1368"/>
      <c r="L102" s="1368"/>
      <c r="M102" s="1368"/>
      <c r="N102" s="1368"/>
      <c r="O102" s="1368"/>
      <c r="P102" s="1368"/>
      <c r="Q102" s="1368"/>
      <c r="R102" s="1368"/>
      <c r="S102" s="1368"/>
      <c r="T102" s="1368"/>
      <c r="U102" s="1368"/>
      <c r="V102" s="1368"/>
      <c r="W102" s="1368"/>
      <c r="X102" s="1368"/>
      <c r="Y102" s="1368"/>
      <c r="Z102" s="1368"/>
      <c r="AA102" s="1368"/>
      <c r="AB102" s="1368"/>
      <c r="AC102" s="1368"/>
      <c r="AD102" s="1368"/>
      <c r="AE102" s="1368"/>
      <c r="AF102" s="1368"/>
    </row>
    <row r="103" spans="6:32" ht="17.1" customHeight="1">
      <c r="F103" s="1368"/>
      <c r="G103" s="1368"/>
      <c r="H103" s="1368"/>
      <c r="I103" s="1368"/>
      <c r="J103" s="1368"/>
      <c r="K103" s="1368"/>
      <c r="L103" s="1368"/>
      <c r="M103" s="1368"/>
      <c r="N103" s="1368"/>
      <c r="O103" s="1368"/>
      <c r="P103" s="1368"/>
      <c r="Q103" s="1368"/>
      <c r="R103" s="1368"/>
      <c r="S103" s="1368"/>
      <c r="T103" s="1368"/>
      <c r="U103" s="1368"/>
      <c r="V103" s="1368"/>
      <c r="W103" s="1368"/>
      <c r="X103" s="1368"/>
      <c r="Y103" s="1368"/>
      <c r="Z103" s="1368"/>
      <c r="AA103" s="1368"/>
      <c r="AB103" s="1368"/>
      <c r="AC103" s="1368"/>
      <c r="AD103" s="1368"/>
      <c r="AE103" s="1368"/>
      <c r="AF103" s="1368"/>
    </row>
    <row r="104" spans="6:32" ht="17.1" customHeight="1">
      <c r="F104" s="1368"/>
      <c r="G104" s="1368"/>
      <c r="H104" s="1368"/>
      <c r="I104" s="1368"/>
      <c r="J104" s="1368"/>
      <c r="K104" s="1368"/>
      <c r="L104" s="1368"/>
      <c r="M104" s="1368"/>
      <c r="N104" s="1368"/>
      <c r="O104" s="1368"/>
      <c r="P104" s="1368"/>
      <c r="Q104" s="1368"/>
      <c r="R104" s="1368"/>
      <c r="S104" s="1368"/>
      <c r="T104" s="1368"/>
      <c r="U104" s="1368"/>
      <c r="V104" s="1368"/>
      <c r="W104" s="1368"/>
      <c r="X104" s="1368"/>
      <c r="Y104" s="1368"/>
      <c r="Z104" s="1368"/>
      <c r="AA104" s="1368"/>
      <c r="AB104" s="1368"/>
      <c r="AC104" s="1368"/>
      <c r="AD104" s="1368"/>
      <c r="AE104" s="1368"/>
      <c r="AF104" s="1368"/>
    </row>
    <row r="105" spans="6:32" ht="17.1" customHeight="1">
      <c r="F105" s="1368"/>
      <c r="G105" s="1368"/>
      <c r="H105" s="1368"/>
      <c r="I105" s="1368"/>
      <c r="J105" s="1368"/>
      <c r="K105" s="1368"/>
      <c r="L105" s="1368"/>
      <c r="M105" s="1368"/>
      <c r="N105" s="1368"/>
      <c r="O105" s="1368"/>
      <c r="P105" s="1368"/>
      <c r="Q105" s="1368"/>
      <c r="R105" s="1368"/>
      <c r="S105" s="1368"/>
      <c r="T105" s="1368"/>
      <c r="U105" s="1368"/>
      <c r="V105" s="1368"/>
      <c r="W105" s="1368"/>
      <c r="X105" s="1368"/>
      <c r="Y105" s="1368"/>
      <c r="Z105" s="1368"/>
      <c r="AA105" s="1368"/>
      <c r="AB105" s="1368"/>
      <c r="AC105" s="1368"/>
      <c r="AD105" s="1368"/>
      <c r="AE105" s="1368"/>
      <c r="AF105" s="1368"/>
    </row>
    <row r="106" spans="6:32" ht="17.1" customHeight="1">
      <c r="F106" s="1368"/>
      <c r="G106" s="1368"/>
      <c r="H106" s="1368"/>
      <c r="I106" s="1368"/>
      <c r="J106" s="1368"/>
      <c r="K106" s="1368"/>
      <c r="L106" s="1368"/>
      <c r="M106" s="1368"/>
      <c r="N106" s="1368"/>
      <c r="O106" s="1368"/>
      <c r="P106" s="1368"/>
      <c r="Q106" s="1368"/>
      <c r="R106" s="1368"/>
      <c r="S106" s="1368"/>
      <c r="T106" s="1368"/>
      <c r="U106" s="1368"/>
      <c r="V106" s="1368"/>
      <c r="W106" s="1368"/>
      <c r="X106" s="1368"/>
      <c r="Y106" s="1368"/>
      <c r="Z106" s="1368"/>
      <c r="AA106" s="1368"/>
      <c r="AB106" s="1368"/>
      <c r="AC106" s="1368"/>
      <c r="AD106" s="1368"/>
      <c r="AE106" s="1368"/>
      <c r="AF106" s="1368"/>
    </row>
    <row r="107" spans="6:32" ht="17.1" customHeight="1">
      <c r="F107" s="1368"/>
      <c r="G107" s="1368"/>
      <c r="H107" s="1368"/>
      <c r="I107" s="1368"/>
      <c r="J107" s="1368"/>
      <c r="K107" s="1368"/>
      <c r="L107" s="1368"/>
      <c r="M107" s="1368"/>
      <c r="N107" s="1368"/>
      <c r="O107" s="1368"/>
      <c r="P107" s="1368"/>
      <c r="Q107" s="1368"/>
      <c r="R107" s="1368"/>
      <c r="S107" s="1368"/>
      <c r="T107" s="1368"/>
      <c r="U107" s="1368"/>
      <c r="V107" s="1368"/>
      <c r="W107" s="1368"/>
      <c r="X107" s="1368"/>
      <c r="Y107" s="1368"/>
      <c r="Z107" s="1368"/>
      <c r="AA107" s="1368"/>
      <c r="AB107" s="1368"/>
      <c r="AC107" s="1368"/>
      <c r="AD107" s="1368"/>
      <c r="AE107" s="1368"/>
      <c r="AF107" s="1368"/>
    </row>
    <row r="108" spans="6:32" ht="17.1" customHeight="1">
      <c r="F108" s="1368"/>
      <c r="G108" s="1368"/>
      <c r="H108" s="1368"/>
      <c r="I108" s="1368"/>
      <c r="J108" s="1368"/>
      <c r="K108" s="1368"/>
      <c r="L108" s="1368"/>
      <c r="M108" s="1368"/>
      <c r="N108" s="1368"/>
      <c r="O108" s="1368"/>
      <c r="P108" s="1368"/>
      <c r="Q108" s="1368"/>
      <c r="R108" s="1368"/>
      <c r="S108" s="1368"/>
      <c r="T108" s="1368"/>
      <c r="U108" s="1368"/>
      <c r="V108" s="1368"/>
      <c r="W108" s="1368"/>
      <c r="X108" s="1368"/>
      <c r="Y108" s="1368"/>
      <c r="Z108" s="1368"/>
      <c r="AA108" s="1368"/>
      <c r="AB108" s="1368"/>
      <c r="AC108" s="1368"/>
      <c r="AD108" s="1368"/>
      <c r="AE108" s="1368"/>
      <c r="AF108" s="1368"/>
    </row>
    <row r="109" spans="6:32" ht="17.1" customHeight="1">
      <c r="F109" s="1368"/>
      <c r="G109" s="1368"/>
      <c r="H109" s="1368"/>
      <c r="I109" s="1368"/>
      <c r="J109" s="1368"/>
      <c r="K109" s="1368"/>
      <c r="L109" s="1368"/>
      <c r="M109" s="1368"/>
      <c r="N109" s="1368"/>
      <c r="O109" s="1368"/>
      <c r="P109" s="1368"/>
      <c r="Q109" s="1368"/>
      <c r="R109" s="1368"/>
      <c r="S109" s="1368"/>
      <c r="T109" s="1368"/>
      <c r="U109" s="1368"/>
      <c r="V109" s="1368"/>
      <c r="W109" s="1368"/>
      <c r="X109" s="1368"/>
      <c r="Y109" s="1368"/>
      <c r="Z109" s="1368"/>
      <c r="AA109" s="1368"/>
      <c r="AB109" s="1368"/>
      <c r="AC109" s="1368"/>
      <c r="AD109" s="1368"/>
      <c r="AE109" s="1368"/>
      <c r="AF109" s="1368"/>
    </row>
    <row r="110" spans="6:32" ht="17.1" customHeight="1">
      <c r="F110" s="1368"/>
      <c r="G110" s="1368"/>
      <c r="H110" s="1368"/>
      <c r="I110" s="1368"/>
      <c r="J110" s="1368"/>
      <c r="K110" s="1368"/>
      <c r="L110" s="1368"/>
      <c r="M110" s="1368"/>
      <c r="N110" s="1368"/>
      <c r="O110" s="1368"/>
      <c r="P110" s="1368"/>
      <c r="Q110" s="1368"/>
      <c r="R110" s="1368"/>
      <c r="S110" s="1368"/>
      <c r="T110" s="1368"/>
      <c r="U110" s="1368"/>
      <c r="V110" s="1368"/>
      <c r="W110" s="1368"/>
      <c r="X110" s="1368"/>
      <c r="Y110" s="1368"/>
      <c r="Z110" s="1368"/>
      <c r="AA110" s="1368"/>
      <c r="AB110" s="1368"/>
      <c r="AC110" s="1368"/>
      <c r="AD110" s="1368"/>
      <c r="AE110" s="1368"/>
      <c r="AF110" s="1368"/>
    </row>
    <row r="111" spans="6:32" ht="17.1" customHeight="1">
      <c r="F111" s="1368"/>
      <c r="G111" s="1368"/>
      <c r="H111" s="1368"/>
      <c r="I111" s="1368"/>
      <c r="J111" s="1368"/>
      <c r="K111" s="1368"/>
      <c r="L111" s="1368"/>
      <c r="M111" s="1368"/>
      <c r="N111" s="1368"/>
      <c r="O111" s="1368"/>
      <c r="P111" s="1368"/>
      <c r="Q111" s="1368"/>
      <c r="R111" s="1368"/>
      <c r="S111" s="1368"/>
      <c r="T111" s="1368"/>
      <c r="U111" s="1368"/>
      <c r="V111" s="1368"/>
      <c r="W111" s="1368"/>
      <c r="X111" s="1368"/>
      <c r="Y111" s="1368"/>
      <c r="Z111" s="1368"/>
      <c r="AA111" s="1368"/>
      <c r="AB111" s="1368"/>
      <c r="AC111" s="1368"/>
      <c r="AD111" s="1368"/>
      <c r="AE111" s="1368"/>
      <c r="AF111" s="1368"/>
    </row>
    <row r="112" spans="6:32" ht="17.1" customHeight="1">
      <c r="F112" s="1368"/>
      <c r="G112" s="1368"/>
      <c r="H112" s="1368"/>
      <c r="I112" s="1368"/>
      <c r="J112" s="1368"/>
      <c r="K112" s="1368"/>
      <c r="L112" s="1368"/>
      <c r="M112" s="1368"/>
      <c r="N112" s="1368"/>
      <c r="O112" s="1368"/>
      <c r="P112" s="1368"/>
      <c r="Q112" s="1368"/>
      <c r="R112" s="1368"/>
      <c r="S112" s="1368"/>
      <c r="T112" s="1368"/>
      <c r="U112" s="1368"/>
      <c r="V112" s="1368"/>
      <c r="W112" s="1368"/>
      <c r="X112" s="1368"/>
      <c r="Y112" s="1368"/>
      <c r="Z112" s="1368"/>
      <c r="AA112" s="1368"/>
      <c r="AB112" s="1368"/>
      <c r="AC112" s="1368"/>
      <c r="AD112" s="1368"/>
      <c r="AE112" s="1368"/>
      <c r="AF112" s="1368"/>
    </row>
    <row r="113" spans="6:32" ht="17.1" customHeight="1">
      <c r="F113" s="1368"/>
      <c r="G113" s="1368"/>
      <c r="H113" s="1368"/>
      <c r="I113" s="1368"/>
      <c r="J113" s="1368"/>
      <c r="K113" s="1368"/>
      <c r="L113" s="1368"/>
      <c r="M113" s="1368"/>
      <c r="N113" s="1368"/>
      <c r="O113" s="1368"/>
      <c r="P113" s="1368"/>
      <c r="Q113" s="1368"/>
      <c r="R113" s="1368"/>
      <c r="S113" s="1368"/>
      <c r="T113" s="1368"/>
      <c r="U113" s="1368"/>
      <c r="V113" s="1368"/>
      <c r="W113" s="1368"/>
      <c r="X113" s="1368"/>
      <c r="Y113" s="1368"/>
      <c r="Z113" s="1368"/>
      <c r="AA113" s="1368"/>
      <c r="AB113" s="1368"/>
      <c r="AC113" s="1368"/>
      <c r="AD113" s="1368"/>
      <c r="AE113" s="1368"/>
      <c r="AF113" s="1368"/>
    </row>
    <row r="114" spans="6:32" ht="17.1" customHeight="1">
      <c r="F114" s="1368"/>
      <c r="G114" s="1368"/>
      <c r="H114" s="1368"/>
      <c r="I114" s="1368"/>
      <c r="J114" s="1368"/>
      <c r="K114" s="1368"/>
      <c r="L114" s="1368"/>
      <c r="M114" s="1368"/>
      <c r="N114" s="1368"/>
      <c r="O114" s="1368"/>
      <c r="P114" s="1368"/>
      <c r="Q114" s="1368"/>
      <c r="R114" s="1368"/>
      <c r="S114" s="1368"/>
      <c r="T114" s="1368"/>
      <c r="U114" s="1368"/>
      <c r="V114" s="1368"/>
      <c r="W114" s="1368"/>
      <c r="X114" s="1368"/>
      <c r="Y114" s="1368"/>
      <c r="Z114" s="1368"/>
      <c r="AA114" s="1368"/>
      <c r="AB114" s="1368"/>
      <c r="AC114" s="1368"/>
      <c r="AD114" s="1368"/>
      <c r="AE114" s="1368"/>
      <c r="AF114" s="1368"/>
    </row>
    <row r="115" spans="6:32" ht="17.1" customHeight="1">
      <c r="F115" s="1368"/>
      <c r="G115" s="1368"/>
      <c r="H115" s="1368"/>
      <c r="I115" s="1368"/>
      <c r="J115" s="1368"/>
      <c r="K115" s="1368"/>
      <c r="L115" s="1368"/>
      <c r="M115" s="1368"/>
      <c r="N115" s="1368"/>
      <c r="O115" s="1368"/>
      <c r="P115" s="1368"/>
      <c r="Q115" s="1368"/>
      <c r="R115" s="1368"/>
      <c r="S115" s="1368"/>
      <c r="T115" s="1368"/>
      <c r="U115" s="1368"/>
      <c r="V115" s="1368"/>
      <c r="W115" s="1368"/>
      <c r="X115" s="1368"/>
      <c r="Y115" s="1368"/>
      <c r="Z115" s="1368"/>
      <c r="AA115" s="1368"/>
      <c r="AB115" s="1368"/>
      <c r="AC115" s="1368"/>
      <c r="AD115" s="1368"/>
      <c r="AE115" s="1368"/>
      <c r="AF115" s="1368"/>
    </row>
    <row r="116" spans="6:32" ht="17.1" customHeight="1">
      <c r="F116" s="1368"/>
      <c r="G116" s="1368"/>
      <c r="H116" s="1368"/>
      <c r="I116" s="1368"/>
      <c r="J116" s="1368"/>
      <c r="K116" s="1368"/>
      <c r="L116" s="1368"/>
      <c r="M116" s="1368"/>
      <c r="N116" s="1368"/>
      <c r="O116" s="1368"/>
      <c r="P116" s="1368"/>
      <c r="Q116" s="1368"/>
      <c r="R116" s="1368"/>
      <c r="S116" s="1368"/>
      <c r="T116" s="1368"/>
      <c r="U116" s="1368"/>
      <c r="V116" s="1368"/>
      <c r="W116" s="1368"/>
      <c r="X116" s="1368"/>
      <c r="Y116" s="1368"/>
      <c r="Z116" s="1368"/>
      <c r="AA116" s="1368"/>
      <c r="AB116" s="1368"/>
      <c r="AC116" s="1368"/>
      <c r="AD116" s="1368"/>
      <c r="AE116" s="1368"/>
      <c r="AF116" s="1368"/>
    </row>
    <row r="117" spans="6:32" ht="17.1" customHeight="1">
      <c r="F117" s="1368"/>
      <c r="G117" s="1368"/>
      <c r="H117" s="1368"/>
      <c r="I117" s="1368"/>
      <c r="J117" s="1368"/>
      <c r="K117" s="1368"/>
      <c r="L117" s="1368"/>
      <c r="M117" s="1368"/>
      <c r="N117" s="1368"/>
      <c r="O117" s="1368"/>
      <c r="P117" s="1368"/>
      <c r="Q117" s="1368"/>
      <c r="R117" s="1368"/>
      <c r="S117" s="1368"/>
      <c r="T117" s="1368"/>
      <c r="U117" s="1368"/>
      <c r="V117" s="1368"/>
      <c r="W117" s="1368"/>
      <c r="X117" s="1368"/>
      <c r="Y117" s="1368"/>
      <c r="Z117" s="1368"/>
      <c r="AA117" s="1368"/>
      <c r="AB117" s="1368"/>
      <c r="AC117" s="1368"/>
      <c r="AD117" s="1368"/>
      <c r="AE117" s="1368"/>
      <c r="AF117" s="1368"/>
    </row>
    <row r="118" spans="6:32" ht="17.1" customHeight="1">
      <c r="F118" s="1368"/>
      <c r="G118" s="1368"/>
      <c r="H118" s="1368"/>
      <c r="I118" s="1368"/>
      <c r="J118" s="1368"/>
      <c r="K118" s="1368"/>
      <c r="L118" s="1368"/>
      <c r="M118" s="1368"/>
      <c r="N118" s="1368"/>
      <c r="O118" s="1368"/>
      <c r="P118" s="1368"/>
      <c r="Q118" s="1368"/>
      <c r="R118" s="1368"/>
      <c r="S118" s="1368"/>
      <c r="T118" s="1368"/>
      <c r="U118" s="1368"/>
      <c r="V118" s="1368"/>
      <c r="W118" s="1368"/>
      <c r="X118" s="1368"/>
      <c r="Y118" s="1368"/>
      <c r="Z118" s="1368"/>
      <c r="AA118" s="1368"/>
      <c r="AB118" s="1368"/>
      <c r="AC118" s="1368"/>
      <c r="AD118" s="1368"/>
      <c r="AE118" s="1368"/>
      <c r="AF118" s="1368"/>
    </row>
    <row r="119" spans="6:32" ht="17.1" customHeight="1">
      <c r="F119" s="1368"/>
      <c r="G119" s="1368"/>
      <c r="H119" s="1368"/>
      <c r="I119" s="1368"/>
      <c r="J119" s="1368"/>
      <c r="K119" s="1368"/>
      <c r="L119" s="1368"/>
      <c r="M119" s="1368"/>
      <c r="N119" s="1368"/>
      <c r="O119" s="1368"/>
      <c r="P119" s="1368"/>
      <c r="Q119" s="1368"/>
      <c r="R119" s="1368"/>
      <c r="S119" s="1368"/>
      <c r="T119" s="1368"/>
      <c r="U119" s="1368"/>
      <c r="V119" s="1368"/>
      <c r="W119" s="1368"/>
      <c r="X119" s="1368"/>
      <c r="Y119" s="1368"/>
      <c r="Z119" s="1368"/>
      <c r="AA119" s="1368"/>
      <c r="AB119" s="1368"/>
      <c r="AC119" s="1368"/>
      <c r="AD119" s="1368"/>
      <c r="AE119" s="1368"/>
      <c r="AF119" s="1368"/>
    </row>
    <row r="120" spans="6:32" ht="17.1" customHeight="1">
      <c r="F120" s="1368"/>
      <c r="G120" s="1368"/>
      <c r="H120" s="1368"/>
      <c r="I120" s="1368"/>
      <c r="J120" s="1368"/>
      <c r="K120" s="1368"/>
      <c r="L120" s="1368"/>
      <c r="M120" s="1368"/>
      <c r="N120" s="1368"/>
      <c r="O120" s="1368"/>
      <c r="P120" s="1368"/>
      <c r="Q120" s="1368"/>
      <c r="R120" s="1368"/>
      <c r="S120" s="1368"/>
      <c r="T120" s="1368"/>
      <c r="U120" s="1368"/>
      <c r="V120" s="1368"/>
      <c r="W120" s="1368"/>
      <c r="X120" s="1368"/>
      <c r="Y120" s="1368"/>
      <c r="Z120" s="1368"/>
      <c r="AA120" s="1368"/>
      <c r="AB120" s="1368"/>
      <c r="AC120" s="1368"/>
      <c r="AD120" s="1368"/>
      <c r="AE120" s="1368"/>
      <c r="AF120" s="1368"/>
    </row>
    <row r="121" spans="6:32" ht="17.1" customHeight="1">
      <c r="F121" s="1368"/>
      <c r="G121" s="1368"/>
      <c r="H121" s="1368"/>
      <c r="I121" s="1368"/>
      <c r="J121" s="1368"/>
      <c r="K121" s="1368"/>
      <c r="L121" s="1368"/>
      <c r="M121" s="1368"/>
      <c r="N121" s="1368"/>
      <c r="O121" s="1368"/>
      <c r="P121" s="1368"/>
      <c r="Q121" s="1368"/>
      <c r="R121" s="1368"/>
      <c r="S121" s="1368"/>
      <c r="T121" s="1368"/>
      <c r="U121" s="1368"/>
      <c r="V121" s="1368"/>
      <c r="W121" s="1368"/>
      <c r="X121" s="1368"/>
      <c r="Y121" s="1368"/>
      <c r="Z121" s="1368"/>
      <c r="AA121" s="1368"/>
      <c r="AB121" s="1368"/>
      <c r="AC121" s="1368"/>
      <c r="AD121" s="1368"/>
      <c r="AE121" s="1368"/>
      <c r="AF121" s="1368"/>
    </row>
    <row r="122" spans="6:32" ht="17.1" customHeight="1">
      <c r="F122" s="1368"/>
      <c r="G122" s="1368"/>
      <c r="H122" s="1368"/>
      <c r="I122" s="1368"/>
      <c r="J122" s="1368"/>
      <c r="K122" s="1368"/>
      <c r="L122" s="1368"/>
      <c r="M122" s="1368"/>
      <c r="N122" s="1368"/>
      <c r="O122" s="1368"/>
      <c r="P122" s="1368"/>
      <c r="Q122" s="1368"/>
      <c r="R122" s="1368"/>
      <c r="S122" s="1368"/>
      <c r="T122" s="1368"/>
      <c r="U122" s="1368"/>
      <c r="V122" s="1368"/>
      <c r="W122" s="1368"/>
      <c r="X122" s="1368"/>
      <c r="Y122" s="1368"/>
      <c r="Z122" s="1368"/>
      <c r="AA122" s="1368"/>
      <c r="AB122" s="1368"/>
      <c r="AC122" s="1368"/>
      <c r="AD122" s="1368"/>
      <c r="AE122" s="1368"/>
      <c r="AF122" s="1368"/>
    </row>
    <row r="123" spans="6:32" ht="17.1" customHeight="1">
      <c r="F123" s="1368"/>
      <c r="G123" s="1368"/>
      <c r="H123" s="1368"/>
      <c r="I123" s="1368"/>
      <c r="J123" s="1368"/>
      <c r="K123" s="1368"/>
      <c r="L123" s="1368"/>
      <c r="M123" s="1368"/>
      <c r="N123" s="1368"/>
      <c r="O123" s="1368"/>
      <c r="P123" s="1368"/>
      <c r="Q123" s="1368"/>
      <c r="R123" s="1368"/>
      <c r="S123" s="1368"/>
      <c r="T123" s="1368"/>
      <c r="U123" s="1368"/>
      <c r="V123" s="1368"/>
      <c r="W123" s="1368"/>
      <c r="X123" s="1368"/>
      <c r="Y123" s="1368"/>
      <c r="Z123" s="1368"/>
      <c r="AA123" s="1368"/>
      <c r="AB123" s="1368"/>
      <c r="AC123" s="1368"/>
      <c r="AD123" s="1368"/>
      <c r="AE123" s="1368"/>
      <c r="AF123" s="1368"/>
    </row>
    <row r="124" spans="6:32" ht="17.1" customHeight="1">
      <c r="F124" s="1368"/>
      <c r="G124" s="1368"/>
      <c r="H124" s="1368"/>
      <c r="I124" s="1368"/>
      <c r="J124" s="1368"/>
      <c r="K124" s="1368"/>
      <c r="L124" s="1368"/>
      <c r="M124" s="1368"/>
      <c r="N124" s="1368"/>
      <c r="O124" s="1368"/>
      <c r="P124" s="1368"/>
      <c r="Q124" s="1368"/>
      <c r="R124" s="1368"/>
      <c r="S124" s="1368"/>
      <c r="T124" s="1368"/>
      <c r="U124" s="1368"/>
      <c r="V124" s="1368"/>
      <c r="W124" s="1368"/>
      <c r="X124" s="1368"/>
      <c r="Y124" s="1368"/>
      <c r="Z124" s="1368"/>
      <c r="AA124" s="1368"/>
      <c r="AB124" s="1368"/>
      <c r="AC124" s="1368"/>
      <c r="AD124" s="1368"/>
      <c r="AE124" s="1368"/>
      <c r="AF124" s="1368"/>
    </row>
    <row r="125" spans="6:32" ht="17.1" customHeight="1">
      <c r="F125" s="1368"/>
      <c r="G125" s="1368"/>
      <c r="H125" s="1368"/>
      <c r="I125" s="1368"/>
      <c r="J125" s="1368"/>
      <c r="K125" s="1368"/>
      <c r="L125" s="1368"/>
      <c r="M125" s="1368"/>
      <c r="N125" s="1368"/>
      <c r="O125" s="1368"/>
      <c r="P125" s="1368"/>
      <c r="Q125" s="1368"/>
      <c r="R125" s="1368"/>
      <c r="S125" s="1368"/>
      <c r="T125" s="1368"/>
      <c r="U125" s="1368"/>
      <c r="V125" s="1368"/>
      <c r="W125" s="1368"/>
      <c r="X125" s="1368"/>
      <c r="Y125" s="1368"/>
      <c r="Z125" s="1368"/>
      <c r="AA125" s="1368"/>
      <c r="AB125" s="1368"/>
      <c r="AC125" s="1368"/>
      <c r="AD125" s="1368"/>
      <c r="AE125" s="1368"/>
      <c r="AF125" s="1368"/>
    </row>
    <row r="126" spans="6:32" ht="17.1" customHeight="1">
      <c r="F126" s="1368"/>
      <c r="G126" s="1368"/>
      <c r="H126" s="1368"/>
      <c r="I126" s="1368"/>
      <c r="J126" s="1368"/>
      <c r="K126" s="1368"/>
      <c r="L126" s="1368"/>
      <c r="M126" s="1368"/>
      <c r="N126" s="1368"/>
      <c r="O126" s="1368"/>
      <c r="P126" s="1368"/>
      <c r="Q126" s="1368"/>
      <c r="R126" s="1368"/>
      <c r="S126" s="1368"/>
      <c r="T126" s="1368"/>
      <c r="U126" s="1368"/>
      <c r="V126" s="1368"/>
      <c r="W126" s="1368"/>
      <c r="X126" s="1368"/>
      <c r="Y126" s="1368"/>
      <c r="Z126" s="1368"/>
      <c r="AA126" s="1368"/>
      <c r="AB126" s="1368"/>
      <c r="AC126" s="1368"/>
      <c r="AD126" s="1368"/>
      <c r="AE126" s="1368"/>
      <c r="AF126" s="1368"/>
    </row>
    <row r="127" spans="6:32" ht="17.1" customHeight="1">
      <c r="F127" s="1368"/>
      <c r="G127" s="1368"/>
      <c r="H127" s="1368"/>
      <c r="I127" s="1368"/>
      <c r="J127" s="1368"/>
      <c r="K127" s="1368"/>
      <c r="L127" s="1368"/>
      <c r="M127" s="1368"/>
      <c r="N127" s="1368"/>
      <c r="O127" s="1368"/>
      <c r="P127" s="1368"/>
      <c r="Q127" s="1368"/>
      <c r="R127" s="1368"/>
      <c r="S127" s="1368"/>
      <c r="T127" s="1368"/>
      <c r="U127" s="1368"/>
      <c r="V127" s="1368"/>
      <c r="W127" s="1368"/>
      <c r="X127" s="1368"/>
      <c r="Y127" s="1368"/>
      <c r="Z127" s="1368"/>
      <c r="AA127" s="1368"/>
      <c r="AB127" s="1368"/>
      <c r="AC127" s="1368"/>
      <c r="AD127" s="1368"/>
      <c r="AE127" s="1368"/>
      <c r="AF127" s="1368"/>
    </row>
    <row r="128" spans="6:32" ht="17.1" customHeight="1">
      <c r="F128" s="1368"/>
      <c r="G128" s="1368"/>
      <c r="H128" s="1368"/>
      <c r="I128" s="1368"/>
      <c r="J128" s="1368"/>
      <c r="K128" s="1368"/>
      <c r="L128" s="1368"/>
      <c r="M128" s="1368"/>
      <c r="N128" s="1368"/>
      <c r="O128" s="1368"/>
      <c r="P128" s="1368"/>
      <c r="Q128" s="1368"/>
      <c r="R128" s="1368"/>
      <c r="S128" s="1368"/>
      <c r="T128" s="1368"/>
      <c r="U128" s="1368"/>
      <c r="V128" s="1368"/>
      <c r="W128" s="1368"/>
      <c r="X128" s="1368"/>
      <c r="Y128" s="1368"/>
      <c r="Z128" s="1368"/>
      <c r="AA128" s="1368"/>
      <c r="AB128" s="1368"/>
      <c r="AC128" s="1368"/>
      <c r="AD128" s="1368"/>
      <c r="AE128" s="1368"/>
      <c r="AF128" s="1368"/>
    </row>
    <row r="129" spans="6:32" ht="17.1" customHeight="1">
      <c r="F129" s="1368"/>
      <c r="G129" s="1368"/>
      <c r="H129" s="1368"/>
      <c r="I129" s="1368"/>
      <c r="J129" s="1368"/>
      <c r="K129" s="1368"/>
      <c r="L129" s="1368"/>
      <c r="M129" s="1368"/>
      <c r="N129" s="1368"/>
      <c r="O129" s="1368"/>
      <c r="P129" s="1368"/>
      <c r="Q129" s="1368"/>
      <c r="R129" s="1368"/>
      <c r="S129" s="1368"/>
      <c r="T129" s="1368"/>
      <c r="U129" s="1368"/>
      <c r="V129" s="1368"/>
      <c r="W129" s="1368"/>
      <c r="X129" s="1368"/>
      <c r="Y129" s="1368"/>
      <c r="Z129" s="1368"/>
      <c r="AA129" s="1368"/>
      <c r="AB129" s="1368"/>
      <c r="AC129" s="1368"/>
      <c r="AD129" s="1368"/>
      <c r="AE129" s="1368"/>
      <c r="AF129" s="1368"/>
    </row>
    <row r="130" spans="6:32" ht="17.1" customHeight="1">
      <c r="F130" s="1368"/>
      <c r="G130" s="1368"/>
      <c r="H130" s="1368"/>
      <c r="I130" s="1368"/>
      <c r="J130" s="1368"/>
      <c r="K130" s="1368"/>
      <c r="L130" s="1368"/>
      <c r="M130" s="1368"/>
      <c r="N130" s="1368"/>
      <c r="O130" s="1368"/>
      <c r="P130" s="1368"/>
      <c r="Q130" s="1368"/>
      <c r="R130" s="1368"/>
      <c r="S130" s="1368"/>
      <c r="T130" s="1368"/>
      <c r="U130" s="1368"/>
      <c r="V130" s="1368"/>
      <c r="W130" s="1368"/>
      <c r="X130" s="1368"/>
      <c r="Y130" s="1368"/>
      <c r="Z130" s="1368"/>
      <c r="AA130" s="1368"/>
      <c r="AB130" s="1368"/>
      <c r="AC130" s="1368"/>
      <c r="AD130" s="1368"/>
      <c r="AE130" s="1368"/>
      <c r="AF130" s="1368"/>
    </row>
    <row r="131" spans="6:32" ht="17.1" customHeight="1">
      <c r="F131" s="1368"/>
      <c r="G131" s="1368"/>
      <c r="H131" s="1368"/>
      <c r="I131" s="1368"/>
      <c r="J131" s="1368"/>
      <c r="K131" s="1368"/>
      <c r="L131" s="1368"/>
      <c r="M131" s="1368"/>
      <c r="N131" s="1368"/>
      <c r="O131" s="1368"/>
      <c r="P131" s="1368"/>
      <c r="Q131" s="1368"/>
      <c r="R131" s="1368"/>
      <c r="S131" s="1368"/>
      <c r="T131" s="1368"/>
      <c r="U131" s="1368"/>
      <c r="V131" s="1368"/>
      <c r="W131" s="1368"/>
      <c r="X131" s="1368"/>
      <c r="Y131" s="1368"/>
      <c r="Z131" s="1368"/>
      <c r="AA131" s="1368"/>
      <c r="AB131" s="1368"/>
      <c r="AC131" s="1368"/>
      <c r="AD131" s="1368"/>
      <c r="AE131" s="1368"/>
      <c r="AF131" s="1368"/>
    </row>
    <row r="132" spans="6:32" ht="17.1" customHeight="1">
      <c r="F132" s="1368"/>
      <c r="G132" s="1368"/>
      <c r="H132" s="1368"/>
      <c r="I132" s="1368"/>
      <c r="J132" s="1368"/>
      <c r="K132" s="1368"/>
      <c r="L132" s="1368"/>
      <c r="M132" s="1368"/>
      <c r="N132" s="1368"/>
      <c r="O132" s="1368"/>
      <c r="P132" s="1368"/>
      <c r="Q132" s="1368"/>
      <c r="R132" s="1368"/>
      <c r="S132" s="1368"/>
      <c r="T132" s="1368"/>
      <c r="U132" s="1368"/>
      <c r="V132" s="1368"/>
      <c r="W132" s="1368"/>
      <c r="X132" s="1368"/>
      <c r="Y132" s="1368"/>
      <c r="Z132" s="1368"/>
      <c r="AA132" s="1368"/>
      <c r="AB132" s="1368"/>
      <c r="AC132" s="1368"/>
      <c r="AD132" s="1368"/>
      <c r="AE132" s="1368"/>
      <c r="AF132" s="1368"/>
    </row>
    <row r="133" spans="6:32" ht="17.1" customHeight="1">
      <c r="F133" s="1368"/>
      <c r="G133" s="1368"/>
      <c r="H133" s="1368"/>
      <c r="I133" s="1368"/>
      <c r="J133" s="1368"/>
      <c r="K133" s="1368"/>
      <c r="L133" s="1368"/>
      <c r="M133" s="1368"/>
      <c r="N133" s="1368"/>
      <c r="O133" s="1368"/>
      <c r="P133" s="1368"/>
      <c r="Q133" s="1368"/>
      <c r="R133" s="1368"/>
      <c r="S133" s="1368"/>
      <c r="T133" s="1368"/>
      <c r="U133" s="1368"/>
      <c r="V133" s="1368"/>
      <c r="W133" s="1368"/>
      <c r="X133" s="1368"/>
      <c r="Y133" s="1368"/>
      <c r="Z133" s="1368"/>
      <c r="AA133" s="1368"/>
      <c r="AB133" s="1368"/>
      <c r="AC133" s="1368"/>
      <c r="AD133" s="1368"/>
      <c r="AE133" s="1368"/>
      <c r="AF133" s="1368"/>
    </row>
    <row r="134" spans="6:32" ht="17.1" customHeight="1">
      <c r="F134" s="1368"/>
      <c r="G134" s="1368"/>
      <c r="H134" s="1368"/>
      <c r="I134" s="1368"/>
      <c r="J134" s="1368"/>
      <c r="K134" s="1368"/>
      <c r="L134" s="1368"/>
      <c r="M134" s="1368"/>
      <c r="N134" s="1368"/>
      <c r="O134" s="1368"/>
      <c r="P134" s="1368"/>
      <c r="Q134" s="1368"/>
      <c r="R134" s="1368"/>
      <c r="S134" s="1368"/>
      <c r="T134" s="1368"/>
      <c r="U134" s="1368"/>
      <c r="V134" s="1368"/>
      <c r="W134" s="1368"/>
      <c r="X134" s="1368"/>
      <c r="Y134" s="1368"/>
      <c r="Z134" s="1368"/>
      <c r="AA134" s="1368"/>
      <c r="AB134" s="1368"/>
      <c r="AC134" s="1368"/>
      <c r="AD134" s="1368"/>
      <c r="AE134" s="1368"/>
      <c r="AF134" s="1368"/>
    </row>
    <row r="135" spans="6:32" ht="17.1" customHeight="1">
      <c r="F135" s="1368"/>
      <c r="G135" s="1368"/>
      <c r="H135" s="1368"/>
      <c r="I135" s="1368"/>
      <c r="J135" s="1368"/>
      <c r="K135" s="1368"/>
      <c r="L135" s="1368"/>
      <c r="M135" s="1368"/>
      <c r="N135" s="1368"/>
      <c r="O135" s="1368"/>
      <c r="P135" s="1368"/>
      <c r="Q135" s="1368"/>
      <c r="R135" s="1368"/>
      <c r="S135" s="1368"/>
      <c r="T135" s="1368"/>
      <c r="U135" s="1368"/>
      <c r="V135" s="1368"/>
      <c r="W135" s="1368"/>
      <c r="X135" s="1368"/>
      <c r="Y135" s="1368"/>
      <c r="Z135" s="1368"/>
      <c r="AA135" s="1368"/>
      <c r="AB135" s="1368"/>
      <c r="AC135" s="1368"/>
      <c r="AD135" s="1368"/>
      <c r="AE135" s="1368"/>
      <c r="AF135" s="1368"/>
    </row>
    <row r="136" spans="6:32" ht="17.1" customHeight="1">
      <c r="F136" s="1368"/>
      <c r="G136" s="1368"/>
      <c r="H136" s="1368"/>
      <c r="I136" s="1368"/>
      <c r="J136" s="1368"/>
      <c r="K136" s="1368"/>
      <c r="L136" s="1368"/>
      <c r="M136" s="1368"/>
      <c r="N136" s="1368"/>
      <c r="O136" s="1368"/>
      <c r="P136" s="1368"/>
      <c r="Q136" s="1368"/>
      <c r="R136" s="1368"/>
      <c r="S136" s="1368"/>
      <c r="T136" s="1368"/>
      <c r="U136" s="1368"/>
      <c r="V136" s="1368"/>
      <c r="W136" s="1368"/>
      <c r="X136" s="1368"/>
      <c r="Y136" s="1368"/>
      <c r="Z136" s="1368"/>
      <c r="AA136" s="1368"/>
      <c r="AB136" s="1368"/>
      <c r="AC136" s="1368"/>
      <c r="AD136" s="1368"/>
      <c r="AE136" s="1368"/>
      <c r="AF136" s="1368"/>
    </row>
    <row r="137" spans="6:32" ht="17.1" customHeight="1">
      <c r="F137" s="1368"/>
      <c r="G137" s="1368"/>
      <c r="H137" s="1368"/>
      <c r="I137" s="1368"/>
      <c r="J137" s="1368"/>
      <c r="K137" s="1368"/>
      <c r="L137" s="1368"/>
      <c r="M137" s="1368"/>
      <c r="N137" s="1368"/>
      <c r="O137" s="1368"/>
      <c r="P137" s="1368"/>
      <c r="Q137" s="1368"/>
      <c r="R137" s="1368"/>
      <c r="S137" s="1368"/>
      <c r="T137" s="1368"/>
      <c r="U137" s="1368"/>
      <c r="V137" s="1368"/>
      <c r="W137" s="1368"/>
      <c r="X137" s="1368"/>
      <c r="Y137" s="1368"/>
      <c r="Z137" s="1368"/>
      <c r="AA137" s="1368"/>
      <c r="AB137" s="1368"/>
      <c r="AC137" s="1368"/>
      <c r="AD137" s="1368"/>
      <c r="AE137" s="1368"/>
      <c r="AF137" s="1368"/>
    </row>
    <row r="138" spans="6:32" ht="17.1" customHeight="1">
      <c r="F138" s="1368"/>
      <c r="G138" s="1368"/>
      <c r="H138" s="1368"/>
      <c r="I138" s="1368"/>
      <c r="J138" s="1368"/>
      <c r="K138" s="1368"/>
      <c r="L138" s="1368"/>
      <c r="M138" s="1368"/>
      <c r="N138" s="1368"/>
      <c r="O138" s="1368"/>
      <c r="P138" s="1368"/>
      <c r="Q138" s="1368"/>
      <c r="R138" s="1368"/>
      <c r="S138" s="1368"/>
      <c r="T138" s="1368"/>
      <c r="U138" s="1368"/>
      <c r="V138" s="1368"/>
      <c r="W138" s="1368"/>
      <c r="X138" s="1368"/>
      <c r="Y138" s="1368"/>
      <c r="Z138" s="1368"/>
      <c r="AA138" s="1368"/>
      <c r="AB138" s="1368"/>
      <c r="AC138" s="1368"/>
      <c r="AD138" s="1368"/>
      <c r="AE138" s="1368"/>
      <c r="AF138" s="1368"/>
    </row>
    <row r="139" spans="6:32" ht="17.1" customHeight="1">
      <c r="F139" s="1368"/>
      <c r="G139" s="1368"/>
      <c r="H139" s="1368"/>
      <c r="I139" s="1368"/>
      <c r="J139" s="1368"/>
      <c r="K139" s="1368"/>
      <c r="L139" s="1368"/>
      <c r="M139" s="1368"/>
      <c r="N139" s="1368"/>
      <c r="O139" s="1368"/>
      <c r="P139" s="1368"/>
      <c r="Q139" s="1368"/>
      <c r="R139" s="1368"/>
      <c r="S139" s="1368"/>
      <c r="T139" s="1368"/>
      <c r="U139" s="1368"/>
      <c r="V139" s="1368"/>
      <c r="W139" s="1368"/>
      <c r="X139" s="1368"/>
      <c r="Y139" s="1368"/>
      <c r="Z139" s="1368"/>
      <c r="AA139" s="1368"/>
      <c r="AB139" s="1368"/>
      <c r="AC139" s="1368"/>
      <c r="AD139" s="1368"/>
      <c r="AE139" s="1368"/>
      <c r="AF139" s="1368"/>
    </row>
    <row r="140" spans="6:32" ht="17.1" customHeight="1">
      <c r="F140" s="1368"/>
      <c r="G140" s="1368"/>
      <c r="H140" s="1368"/>
      <c r="I140" s="1368"/>
      <c r="J140" s="1368"/>
      <c r="K140" s="1368"/>
      <c r="L140" s="1368"/>
      <c r="M140" s="1368"/>
      <c r="N140" s="1368"/>
      <c r="O140" s="1368"/>
      <c r="P140" s="1368"/>
      <c r="Q140" s="1368"/>
      <c r="R140" s="1368"/>
      <c r="S140" s="1368"/>
      <c r="T140" s="1368"/>
      <c r="U140" s="1368"/>
      <c r="V140" s="1368"/>
      <c r="W140" s="1368"/>
      <c r="X140" s="1368"/>
      <c r="Y140" s="1368"/>
      <c r="Z140" s="1368"/>
      <c r="AA140" s="1368"/>
      <c r="AB140" s="1368"/>
      <c r="AC140" s="1368"/>
      <c r="AD140" s="1368"/>
      <c r="AE140" s="1368"/>
      <c r="AF140" s="1368"/>
    </row>
    <row r="141" spans="6:32" ht="17.1" customHeight="1">
      <c r="F141" s="1368"/>
      <c r="G141" s="1368"/>
      <c r="H141" s="1368"/>
      <c r="I141" s="1368"/>
      <c r="J141" s="1368"/>
      <c r="K141" s="1368"/>
      <c r="L141" s="1368"/>
      <c r="M141" s="1368"/>
      <c r="N141" s="1368"/>
      <c r="O141" s="1368"/>
      <c r="P141" s="1368"/>
      <c r="Q141" s="1368"/>
      <c r="R141" s="1368"/>
      <c r="S141" s="1368"/>
      <c r="T141" s="1368"/>
      <c r="U141" s="1368"/>
      <c r="V141" s="1368"/>
      <c r="W141" s="1368"/>
      <c r="X141" s="1368"/>
      <c r="Y141" s="1368"/>
      <c r="Z141" s="1368"/>
      <c r="AA141" s="1368"/>
      <c r="AB141" s="1368"/>
      <c r="AC141" s="1368"/>
      <c r="AD141" s="1368"/>
      <c r="AE141" s="1368"/>
      <c r="AF141" s="1368"/>
    </row>
    <row r="142" spans="6:32" ht="17.1" customHeight="1">
      <c r="F142" s="1368"/>
      <c r="G142" s="1368"/>
      <c r="H142" s="1368"/>
      <c r="I142" s="1368"/>
      <c r="J142" s="1368"/>
      <c r="K142" s="1368"/>
      <c r="L142" s="1368"/>
      <c r="M142" s="1368"/>
      <c r="N142" s="1368"/>
      <c r="O142" s="1368"/>
      <c r="P142" s="1368"/>
      <c r="Q142" s="1368"/>
      <c r="R142" s="1368"/>
      <c r="S142" s="1368"/>
      <c r="T142" s="1368"/>
      <c r="U142" s="1368"/>
      <c r="V142" s="1368"/>
      <c r="W142" s="1368"/>
      <c r="X142" s="1368"/>
      <c r="Y142" s="1368"/>
      <c r="Z142" s="1368"/>
      <c r="AA142" s="1368"/>
      <c r="AB142" s="1368"/>
      <c r="AC142" s="1368"/>
      <c r="AD142" s="1368"/>
      <c r="AE142" s="1368"/>
      <c r="AF142" s="1368"/>
    </row>
    <row r="143" spans="6:32" ht="17.1" customHeight="1">
      <c r="F143" s="1368"/>
      <c r="G143" s="1368"/>
      <c r="H143" s="1368"/>
      <c r="I143" s="1368"/>
      <c r="J143" s="1368"/>
      <c r="K143" s="1368"/>
      <c r="L143" s="1368"/>
      <c r="M143" s="1368"/>
      <c r="N143" s="1368"/>
      <c r="O143" s="1368"/>
      <c r="P143" s="1368"/>
      <c r="Q143" s="1368"/>
      <c r="R143" s="1368"/>
      <c r="S143" s="1368"/>
      <c r="T143" s="1368"/>
      <c r="U143" s="1368"/>
      <c r="V143" s="1368"/>
      <c r="W143" s="1368"/>
      <c r="X143" s="1368"/>
      <c r="Y143" s="1368"/>
      <c r="Z143" s="1368"/>
      <c r="AA143" s="1368"/>
      <c r="AB143" s="1368"/>
      <c r="AC143" s="1368"/>
      <c r="AD143" s="1368"/>
      <c r="AE143" s="1368"/>
      <c r="AF143" s="1368"/>
    </row>
    <row r="144" spans="6:32" ht="17.1" customHeight="1">
      <c r="F144" s="1368"/>
      <c r="G144" s="1368"/>
      <c r="H144" s="1368"/>
      <c r="I144" s="1368"/>
      <c r="J144" s="1368"/>
      <c r="K144" s="1368"/>
      <c r="L144" s="1368"/>
      <c r="M144" s="1368"/>
      <c r="N144" s="1368"/>
      <c r="O144" s="1368"/>
      <c r="P144" s="1368"/>
      <c r="Q144" s="1368"/>
      <c r="R144" s="1368"/>
      <c r="S144" s="1368"/>
      <c r="T144" s="1368"/>
      <c r="U144" s="1368"/>
      <c r="V144" s="1368"/>
      <c r="W144" s="1368"/>
      <c r="X144" s="1368"/>
      <c r="Y144" s="1368"/>
      <c r="Z144" s="1368"/>
      <c r="AA144" s="1368"/>
      <c r="AB144" s="1368"/>
      <c r="AC144" s="1368"/>
      <c r="AD144" s="1368"/>
      <c r="AE144" s="1368"/>
      <c r="AF144" s="1368"/>
    </row>
    <row r="145" spans="6:32" ht="17.1" customHeight="1">
      <c r="F145" s="1368"/>
      <c r="G145" s="1368"/>
      <c r="H145" s="1368"/>
      <c r="I145" s="1368"/>
      <c r="J145" s="1368"/>
      <c r="K145" s="1368"/>
      <c r="L145" s="1368"/>
      <c r="M145" s="1368"/>
      <c r="N145" s="1368"/>
      <c r="O145" s="1368"/>
      <c r="P145" s="1368"/>
      <c r="Q145" s="1368"/>
      <c r="R145" s="1368"/>
      <c r="S145" s="1368"/>
      <c r="T145" s="1368"/>
      <c r="U145" s="1368"/>
      <c r="V145" s="1368"/>
      <c r="W145" s="1368"/>
      <c r="X145" s="1368"/>
      <c r="Y145" s="1368"/>
      <c r="Z145" s="1368"/>
      <c r="AA145" s="1368"/>
      <c r="AB145" s="1368"/>
      <c r="AC145" s="1368"/>
      <c r="AD145" s="1368"/>
      <c r="AE145" s="1368"/>
      <c r="AF145" s="1368"/>
    </row>
    <row r="146" spans="6:32" ht="17.1" customHeight="1">
      <c r="F146" s="1368"/>
      <c r="G146" s="1368"/>
      <c r="H146" s="1368"/>
      <c r="I146" s="1368"/>
      <c r="J146" s="1368"/>
      <c r="K146" s="1368"/>
      <c r="L146" s="1368"/>
      <c r="M146" s="1368"/>
      <c r="N146" s="1368"/>
      <c r="O146" s="1368"/>
      <c r="P146" s="1368"/>
      <c r="Q146" s="1368"/>
      <c r="R146" s="1368"/>
      <c r="S146" s="1368"/>
      <c r="T146" s="1368"/>
      <c r="U146" s="1368"/>
      <c r="V146" s="1368"/>
      <c r="W146" s="1368"/>
      <c r="X146" s="1368"/>
      <c r="Y146" s="1368"/>
      <c r="Z146" s="1368"/>
      <c r="AA146" s="1368"/>
      <c r="AB146" s="1368"/>
      <c r="AC146" s="1368"/>
      <c r="AD146" s="1368"/>
      <c r="AE146" s="1368"/>
      <c r="AF146" s="1368"/>
    </row>
    <row r="147" spans="6:32" ht="17.1" customHeight="1">
      <c r="F147" s="1368"/>
      <c r="G147" s="1368"/>
      <c r="H147" s="1368"/>
      <c r="I147" s="1368"/>
      <c r="J147" s="1368"/>
      <c r="K147" s="1368"/>
      <c r="L147" s="1368"/>
      <c r="M147" s="1368"/>
      <c r="N147" s="1368"/>
      <c r="O147" s="1368"/>
      <c r="P147" s="1368"/>
      <c r="Q147" s="1368"/>
      <c r="R147" s="1368"/>
      <c r="S147" s="1368"/>
      <c r="T147" s="1368"/>
      <c r="U147" s="1368"/>
      <c r="V147" s="1368"/>
      <c r="W147" s="1368"/>
      <c r="X147" s="1368"/>
      <c r="Y147" s="1368"/>
      <c r="Z147" s="1368"/>
      <c r="AA147" s="1368"/>
      <c r="AB147" s="1368"/>
      <c r="AC147" s="1368"/>
      <c r="AD147" s="1368"/>
      <c r="AE147" s="1368"/>
      <c r="AF147" s="1368"/>
    </row>
    <row r="148" spans="6:32" ht="17.1" customHeight="1">
      <c r="F148" s="1368"/>
      <c r="G148" s="1368"/>
      <c r="H148" s="1368"/>
      <c r="I148" s="1368"/>
      <c r="J148" s="1368"/>
      <c r="K148" s="1368"/>
      <c r="L148" s="1368"/>
      <c r="M148" s="1368"/>
      <c r="N148" s="1368"/>
      <c r="O148" s="1368"/>
      <c r="P148" s="1368"/>
      <c r="Q148" s="1368"/>
      <c r="R148" s="1368"/>
      <c r="S148" s="1368"/>
      <c r="T148" s="1368"/>
      <c r="U148" s="1368"/>
      <c r="V148" s="1368"/>
      <c r="W148" s="1368"/>
      <c r="X148" s="1368"/>
      <c r="Y148" s="1368"/>
      <c r="Z148" s="1368"/>
      <c r="AA148" s="1368"/>
      <c r="AB148" s="1368"/>
      <c r="AC148" s="1368"/>
      <c r="AD148" s="1368"/>
      <c r="AE148" s="1368"/>
      <c r="AF148" s="1368"/>
    </row>
    <row r="149" spans="6:32" ht="17.1" customHeight="1">
      <c r="F149" s="1368"/>
      <c r="G149" s="1368"/>
      <c r="H149" s="1368"/>
      <c r="I149" s="1368"/>
      <c r="J149" s="1368"/>
      <c r="K149" s="1368"/>
      <c r="L149" s="1368"/>
      <c r="M149" s="1368"/>
      <c r="N149" s="1368"/>
      <c r="O149" s="1368"/>
      <c r="P149" s="1368"/>
      <c r="Q149" s="1368"/>
      <c r="R149" s="1368"/>
      <c r="S149" s="1368"/>
      <c r="T149" s="1368"/>
      <c r="U149" s="1368"/>
      <c r="V149" s="1368"/>
      <c r="W149" s="1368"/>
      <c r="X149" s="1368"/>
      <c r="Y149" s="1368"/>
      <c r="Z149" s="1368"/>
      <c r="AA149" s="1368"/>
      <c r="AB149" s="1368"/>
      <c r="AC149" s="1368"/>
      <c r="AD149" s="1368"/>
      <c r="AE149" s="1368"/>
      <c r="AF149" s="1368"/>
    </row>
    <row r="150" spans="6:32" ht="17.1" customHeight="1">
      <c r="F150" s="1368"/>
      <c r="G150" s="1368"/>
      <c r="H150" s="1368"/>
      <c r="I150" s="1368"/>
      <c r="J150" s="1368"/>
      <c r="K150" s="1368"/>
      <c r="L150" s="1368"/>
      <c r="M150" s="1368"/>
      <c r="N150" s="1368"/>
      <c r="O150" s="1368"/>
      <c r="P150" s="1368"/>
      <c r="Q150" s="1368"/>
      <c r="R150" s="1368"/>
      <c r="S150" s="1368"/>
      <c r="T150" s="1368"/>
      <c r="U150" s="1368"/>
      <c r="V150" s="1368"/>
      <c r="W150" s="1368"/>
      <c r="X150" s="1368"/>
      <c r="Y150" s="1368"/>
      <c r="Z150" s="1368"/>
      <c r="AA150" s="1368"/>
      <c r="AB150" s="1368"/>
      <c r="AC150" s="1368"/>
      <c r="AD150" s="1368"/>
      <c r="AE150" s="1368"/>
      <c r="AF150" s="1368"/>
    </row>
    <row r="151" spans="6:32" ht="17.1" customHeight="1">
      <c r="F151" s="1368"/>
      <c r="G151" s="1368"/>
      <c r="H151" s="1368"/>
      <c r="I151" s="1368"/>
      <c r="J151" s="1368"/>
      <c r="K151" s="1368"/>
      <c r="L151" s="1368"/>
      <c r="M151" s="1368"/>
      <c r="N151" s="1368"/>
      <c r="O151" s="1368"/>
      <c r="P151" s="1368"/>
      <c r="Q151" s="1368"/>
      <c r="R151" s="1368"/>
      <c r="S151" s="1368"/>
      <c r="T151" s="1368"/>
      <c r="U151" s="1368"/>
      <c r="V151" s="1368"/>
      <c r="W151" s="1368"/>
      <c r="X151" s="1368"/>
      <c r="Y151" s="1368"/>
      <c r="Z151" s="1368"/>
      <c r="AA151" s="1368"/>
      <c r="AB151" s="1368"/>
      <c r="AC151" s="1368"/>
      <c r="AD151" s="1368"/>
      <c r="AE151" s="1368"/>
      <c r="AF151" s="1368"/>
    </row>
    <row r="152" spans="6:32" ht="17.1" customHeight="1">
      <c r="F152" s="1368"/>
      <c r="G152" s="1368"/>
      <c r="H152" s="1368"/>
      <c r="I152" s="1368"/>
      <c r="J152" s="1368"/>
      <c r="K152" s="1368"/>
      <c r="L152" s="1368"/>
      <c r="M152" s="1368"/>
      <c r="N152" s="1368"/>
      <c r="O152" s="1368"/>
      <c r="P152" s="1368"/>
      <c r="Q152" s="1368"/>
      <c r="R152" s="1368"/>
      <c r="S152" s="1368"/>
      <c r="T152" s="1368"/>
      <c r="U152" s="1368"/>
      <c r="V152" s="1368"/>
      <c r="W152" s="1368"/>
      <c r="X152" s="1368"/>
      <c r="Y152" s="1368"/>
      <c r="Z152" s="1368"/>
      <c r="AA152" s="1368"/>
      <c r="AB152" s="1368"/>
      <c r="AC152" s="1368"/>
      <c r="AD152" s="1368"/>
      <c r="AE152" s="1368"/>
      <c r="AF152" s="1368"/>
    </row>
    <row r="153" ht="17.1" customHeight="1">
      <c r="AF153" s="1368"/>
    </row>
    <row r="154" ht="17.1" customHeight="1">
      <c r="AF154" s="1368"/>
    </row>
    <row r="155" ht="17.1" customHeight="1">
      <c r="AF155" s="1368"/>
    </row>
    <row r="156" ht="17.1" customHeight="1">
      <c r="AF156" s="1368"/>
    </row>
    <row r="157" ht="17.1" customHeight="1"/>
    <row r="158" ht="17.1" customHeight="1"/>
    <row r="159" ht="17.1" customHeight="1"/>
  </sheetData>
  <mergeCells count="1">
    <mergeCell ref="N14:R14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2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19841" r:id="rId4" name="Button 1">
              <controlPr defaultSize="0" print="0" autoFill="0" autoPict="0" macro="[3]!Actualizar_Referencias">
                <anchor moveWithCells="1" sizeWithCells="1">
                  <from>
                    <xdr:col>0</xdr:col>
                    <xdr:colOff>57150</xdr:colOff>
                    <xdr:row>42</xdr:row>
                    <xdr:rowOff>19050</xdr:rowOff>
                  </from>
                  <to>
                    <xdr:col>2</xdr:col>
                    <xdr:colOff>0</xdr:colOff>
                    <xdr:row>43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>
    <pageSetUpPr fitToPage="1"/>
  </sheetPr>
  <dimension ref="A1:Y156"/>
  <sheetViews>
    <sheetView zoomScale="70" zoomScaleNormal="70" workbookViewId="0" topLeftCell="A1">
      <selection activeCell="A48" sqref="A48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39"/>
    </row>
    <row r="2" spans="1:23" s="18" customFormat="1" ht="26.25">
      <c r="A2" s="91"/>
      <c r="B2" s="19" t="str">
        <f>+'TOT-0116'!B2</f>
        <v>ANEXO II al Memorándum D.T.E.E. N° 231 / 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69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3" t="s">
        <v>223</v>
      </c>
      <c r="G10" s="328"/>
      <c r="H10" s="105"/>
      <c r="I10" s="108"/>
      <c r="K10" s="108"/>
      <c r="L10" s="108"/>
      <c r="M10" s="108"/>
      <c r="N10" s="108"/>
      <c r="O10" s="108"/>
      <c r="P10" s="108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29"/>
      <c r="G11" s="329"/>
      <c r="H11" s="90"/>
      <c r="I11" s="97"/>
      <c r="J11" s="52"/>
      <c r="K11" s="97"/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3" t="s">
        <v>80</v>
      </c>
      <c r="G12" s="328"/>
      <c r="H12" s="105"/>
      <c r="I12" s="108"/>
      <c r="K12" s="108"/>
      <c r="L12" s="108"/>
      <c r="M12" s="108"/>
      <c r="N12" s="108"/>
      <c r="O12" s="108"/>
      <c r="P12" s="108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29"/>
      <c r="G13" s="329"/>
      <c r="H13" s="90"/>
      <c r="I13" s="97"/>
      <c r="J13" s="52"/>
      <c r="K13" s="97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'TOT-0116'!B14</f>
        <v>Desde el 01 al 31 de enero de 2016</v>
      </c>
      <c r="C14" s="40"/>
      <c r="D14" s="40"/>
      <c r="E14" s="40"/>
      <c r="F14" s="40"/>
      <c r="G14" s="40"/>
      <c r="H14" s="40"/>
      <c r="I14" s="330"/>
      <c r="J14" s="330"/>
      <c r="K14" s="330"/>
      <c r="L14" s="330"/>
      <c r="M14" s="330"/>
      <c r="N14" s="330"/>
      <c r="O14" s="330"/>
      <c r="P14" s="330"/>
      <c r="Q14" s="40"/>
      <c r="R14" s="40"/>
      <c r="S14" s="40"/>
      <c r="T14" s="40"/>
      <c r="U14" s="40"/>
      <c r="V14" s="40"/>
      <c r="W14" s="331"/>
    </row>
    <row r="15" spans="2:23" s="5" customFormat="1" ht="14.25" thickBot="1">
      <c r="B15" s="332"/>
      <c r="C15" s="333"/>
      <c r="D15" s="333"/>
      <c r="E15" s="333"/>
      <c r="F15" s="333"/>
      <c r="G15" s="333"/>
      <c r="H15" s="333"/>
      <c r="I15" s="334"/>
      <c r="J15" s="334"/>
      <c r="K15" s="334"/>
      <c r="L15" s="334"/>
      <c r="M15" s="334"/>
      <c r="N15" s="334"/>
      <c r="O15" s="334"/>
      <c r="P15" s="334"/>
      <c r="Q15" s="333"/>
      <c r="R15" s="333"/>
      <c r="S15" s="333"/>
      <c r="T15" s="333"/>
      <c r="U15" s="333"/>
      <c r="V15" s="333"/>
      <c r="W15" s="335"/>
    </row>
    <row r="16" spans="2:23" s="5" customFormat="1" ht="15" thickBot="1" thickTop="1">
      <c r="B16" s="50"/>
      <c r="C16" s="4"/>
      <c r="D16" s="4"/>
      <c r="E16" s="4"/>
      <c r="F16" s="336"/>
      <c r="G16" s="336"/>
      <c r="H16" s="117" t="s">
        <v>81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7.1" customHeight="1" thickBot="1" thickTop="1">
      <c r="B17" s="50"/>
      <c r="C17" s="4"/>
      <c r="D17" s="4"/>
      <c r="E17" s="4"/>
      <c r="F17" s="337" t="s">
        <v>82</v>
      </c>
      <c r="G17" s="338">
        <v>276.033</v>
      </c>
      <c r="H17" s="339">
        <v>200</v>
      </c>
      <c r="V17" s="115"/>
      <c r="W17" s="6"/>
    </row>
    <row r="18" spans="2:23" s="5" customFormat="1" ht="17.1" customHeight="1" thickBot="1" thickTop="1">
      <c r="B18" s="50"/>
      <c r="C18" s="4"/>
      <c r="D18" s="4"/>
      <c r="E18" s="4"/>
      <c r="F18" s="340" t="s">
        <v>83</v>
      </c>
      <c r="G18" s="341">
        <v>248.394</v>
      </c>
      <c r="H18" s="339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7.1" customHeight="1" thickBot="1" thickTop="1">
      <c r="B19" s="50"/>
      <c r="C19" s="4"/>
      <c r="D19" s="4"/>
      <c r="E19" s="4"/>
      <c r="F19" s="342" t="s">
        <v>84</v>
      </c>
      <c r="G19" s="341">
        <v>220.831</v>
      </c>
      <c r="H19" s="339">
        <v>40</v>
      </c>
      <c r="K19" s="195"/>
      <c r="L19" s="196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7.1" customHeight="1" thickBot="1" thickTop="1">
      <c r="B20" s="50"/>
      <c r="C20" s="836">
        <v>3</v>
      </c>
      <c r="D20" s="836">
        <v>4</v>
      </c>
      <c r="E20" s="836">
        <v>5</v>
      </c>
      <c r="F20" s="836">
        <v>6</v>
      </c>
      <c r="G20" s="836">
        <v>7</v>
      </c>
      <c r="H20" s="836">
        <v>8</v>
      </c>
      <c r="I20" s="836">
        <v>9</v>
      </c>
      <c r="J20" s="836">
        <v>10</v>
      </c>
      <c r="K20" s="836">
        <v>11</v>
      </c>
      <c r="L20" s="836">
        <v>12</v>
      </c>
      <c r="M20" s="836">
        <v>13</v>
      </c>
      <c r="N20" s="836">
        <v>14</v>
      </c>
      <c r="O20" s="836">
        <v>15</v>
      </c>
      <c r="P20" s="836">
        <v>16</v>
      </c>
      <c r="Q20" s="836">
        <v>17</v>
      </c>
      <c r="R20" s="836">
        <v>18</v>
      </c>
      <c r="S20" s="836">
        <v>19</v>
      </c>
      <c r="T20" s="836">
        <v>20</v>
      </c>
      <c r="U20" s="836">
        <v>21</v>
      </c>
      <c r="V20" s="836">
        <v>22</v>
      </c>
      <c r="W20" s="6"/>
    </row>
    <row r="21" spans="2:23" s="5" customFormat="1" ht="33.95" customHeight="1" thickBot="1" thickTop="1">
      <c r="B21" s="50"/>
      <c r="C21" s="122" t="s">
        <v>13</v>
      </c>
      <c r="D21" s="84" t="s">
        <v>242</v>
      </c>
      <c r="E21" s="84" t="s">
        <v>243</v>
      </c>
      <c r="F21" s="86" t="s">
        <v>27</v>
      </c>
      <c r="G21" s="343" t="s">
        <v>28</v>
      </c>
      <c r="H21" s="344" t="s">
        <v>14</v>
      </c>
      <c r="I21" s="128" t="s">
        <v>16</v>
      </c>
      <c r="J21" s="85" t="s">
        <v>17</v>
      </c>
      <c r="K21" s="343" t="s">
        <v>18</v>
      </c>
      <c r="L21" s="345" t="s">
        <v>36</v>
      </c>
      <c r="M21" s="345" t="s">
        <v>31</v>
      </c>
      <c r="N21" s="88" t="s">
        <v>19</v>
      </c>
      <c r="O21" s="172" t="s">
        <v>32</v>
      </c>
      <c r="P21" s="134" t="s">
        <v>37</v>
      </c>
      <c r="Q21" s="346" t="s">
        <v>70</v>
      </c>
      <c r="R21" s="173" t="s">
        <v>35</v>
      </c>
      <c r="S21" s="347"/>
      <c r="T21" s="133" t="s">
        <v>22</v>
      </c>
      <c r="U21" s="131" t="s">
        <v>74</v>
      </c>
      <c r="V21" s="121" t="s">
        <v>24</v>
      </c>
      <c r="W21" s="6"/>
    </row>
    <row r="22" spans="2:23" s="5" customFormat="1" ht="17.1" customHeight="1" thickTop="1">
      <c r="B22" s="50"/>
      <c r="C22" s="256"/>
      <c r="D22" s="256"/>
      <c r="E22" s="256"/>
      <c r="F22" s="348"/>
      <c r="G22" s="348"/>
      <c r="H22" s="348"/>
      <c r="I22" s="214"/>
      <c r="J22" s="348"/>
      <c r="K22" s="348"/>
      <c r="L22" s="348"/>
      <c r="M22" s="348"/>
      <c r="N22" s="348"/>
      <c r="O22" s="348"/>
      <c r="P22" s="349"/>
      <c r="Q22" s="350"/>
      <c r="R22" s="351"/>
      <c r="S22" s="352"/>
      <c r="T22" s="353"/>
      <c r="U22" s="348"/>
      <c r="V22" s="354"/>
      <c r="W22" s="6"/>
    </row>
    <row r="23" spans="2:23" s="5" customFormat="1" ht="17.1" customHeight="1">
      <c r="B23" s="50"/>
      <c r="C23" s="270"/>
      <c r="D23" s="270"/>
      <c r="E23" s="270"/>
      <c r="F23" s="355"/>
      <c r="G23" s="355"/>
      <c r="H23" s="355"/>
      <c r="I23" s="356"/>
      <c r="J23" s="355"/>
      <c r="K23" s="355"/>
      <c r="L23" s="355"/>
      <c r="M23" s="355"/>
      <c r="N23" s="355"/>
      <c r="O23" s="355"/>
      <c r="P23" s="357"/>
      <c r="Q23" s="358"/>
      <c r="R23" s="184"/>
      <c r="S23" s="359"/>
      <c r="T23" s="360"/>
      <c r="U23" s="355"/>
      <c r="V23" s="361"/>
      <c r="W23" s="6"/>
    </row>
    <row r="24" spans="2:23" s="5" customFormat="1" ht="17.1" customHeight="1">
      <c r="B24" s="50"/>
      <c r="C24" s="270">
        <v>43</v>
      </c>
      <c r="D24" s="270">
        <v>296585</v>
      </c>
      <c r="E24" s="149">
        <v>98</v>
      </c>
      <c r="F24" s="362" t="s">
        <v>321</v>
      </c>
      <c r="G24" s="362" t="s">
        <v>322</v>
      </c>
      <c r="H24" s="363">
        <v>500</v>
      </c>
      <c r="I24" s="129">
        <f aca="true" t="shared" si="0" ref="I24:I40">IF(H24=500,$G$17,IF(H24=220,$G$18,$G$19))</f>
        <v>276.033</v>
      </c>
      <c r="J24" s="364">
        <v>42372.256944444445</v>
      </c>
      <c r="K24" s="147">
        <v>42372.3125</v>
      </c>
      <c r="L24" s="365">
        <f aca="true" t="shared" si="1" ref="L24:L40">IF(F24="","",(K24-J24)*24)</f>
        <v>1.3333333333139308</v>
      </c>
      <c r="M24" s="366">
        <f aca="true" t="shared" si="2" ref="M24:M40">IF(F24="","",ROUND((K24-J24)*24*60,0))</f>
        <v>80</v>
      </c>
      <c r="N24" s="216" t="s">
        <v>304</v>
      </c>
      <c r="O24" s="217" t="str">
        <f aca="true" t="shared" si="3" ref="O24:O40">IF(F24="","",IF(N24="P","--","NO"))</f>
        <v>--</v>
      </c>
      <c r="P24" s="677">
        <f aca="true" t="shared" si="4" ref="P24:P40">IF(H24=500,$H$17,IF(H24=220,$H$18,$H$19))</f>
        <v>200</v>
      </c>
      <c r="Q24" s="807">
        <f aca="true" t="shared" si="5" ref="Q24:Q40">IF(N24="P",I24*P24*ROUND(M24/60,2)*0.1,"--")</f>
        <v>7342.477800000001</v>
      </c>
      <c r="R24" s="184" t="str">
        <f aca="true" t="shared" si="6" ref="R24:R40">IF(AND(N24="F",O24="NO"),I24*P24,"--")</f>
        <v>--</v>
      </c>
      <c r="S24" s="359" t="str">
        <f aca="true" t="shared" si="7" ref="S24:S40">IF(N24="F",I24*P24*ROUND(M24/60,2),"--")</f>
        <v>--</v>
      </c>
      <c r="T24" s="360" t="str">
        <f aca="true" t="shared" si="8" ref="T24:T40">IF(N24="RF",I24*P24*ROUND(M24/60,2),"--")</f>
        <v>--</v>
      </c>
      <c r="U24" s="217" t="s">
        <v>213</v>
      </c>
      <c r="V24" s="367">
        <f aca="true" t="shared" si="9" ref="V24:V40">IF(F24="","",SUM(Q24:T24)*IF(U24="SI",1,2))</f>
        <v>7342.477800000001</v>
      </c>
      <c r="W24" s="6"/>
    </row>
    <row r="25" spans="2:23" s="5" customFormat="1" ht="17.1" customHeight="1">
      <c r="B25" s="50"/>
      <c r="C25" s="270">
        <v>44</v>
      </c>
      <c r="D25" s="270">
        <v>296959</v>
      </c>
      <c r="E25" s="270">
        <v>1695</v>
      </c>
      <c r="F25" s="362" t="s">
        <v>323</v>
      </c>
      <c r="G25" s="362" t="s">
        <v>324</v>
      </c>
      <c r="H25" s="363">
        <v>220</v>
      </c>
      <c r="I25" s="129">
        <f t="shared" si="0"/>
        <v>248.394</v>
      </c>
      <c r="J25" s="364">
        <v>42374.30625</v>
      </c>
      <c r="K25" s="147">
        <v>42374.83472222222</v>
      </c>
      <c r="L25" s="365">
        <f t="shared" si="1"/>
        <v>12.683333333290648</v>
      </c>
      <c r="M25" s="366">
        <f t="shared" si="2"/>
        <v>761</v>
      </c>
      <c r="N25" s="216" t="s">
        <v>304</v>
      </c>
      <c r="O25" s="217" t="str">
        <f t="shared" si="3"/>
        <v>--</v>
      </c>
      <c r="P25" s="677">
        <f t="shared" si="4"/>
        <v>100</v>
      </c>
      <c r="Q25" s="807">
        <f t="shared" si="5"/>
        <v>31496.359200000003</v>
      </c>
      <c r="R25" s="184" t="str">
        <f t="shared" si="6"/>
        <v>--</v>
      </c>
      <c r="S25" s="359" t="str">
        <f t="shared" si="7"/>
        <v>--</v>
      </c>
      <c r="T25" s="360" t="str">
        <f t="shared" si="8"/>
        <v>--</v>
      </c>
      <c r="U25" s="217" t="s">
        <v>213</v>
      </c>
      <c r="V25" s="367">
        <f t="shared" si="9"/>
        <v>31496.359200000003</v>
      </c>
      <c r="W25" s="6"/>
    </row>
    <row r="26" spans="2:23" s="5" customFormat="1" ht="17.1" customHeight="1">
      <c r="B26" s="50"/>
      <c r="C26" s="270">
        <v>45</v>
      </c>
      <c r="D26" s="270">
        <v>296963</v>
      </c>
      <c r="E26" s="149">
        <v>1695</v>
      </c>
      <c r="F26" s="362" t="s">
        <v>323</v>
      </c>
      <c r="G26" s="362" t="s">
        <v>324</v>
      </c>
      <c r="H26" s="363">
        <v>220</v>
      </c>
      <c r="I26" s="129">
        <f t="shared" si="0"/>
        <v>248.394</v>
      </c>
      <c r="J26" s="364">
        <v>42375.39444444444</v>
      </c>
      <c r="K26" s="147">
        <v>42375.825694444444</v>
      </c>
      <c r="L26" s="365">
        <f t="shared" si="1"/>
        <v>10.350000000034925</v>
      </c>
      <c r="M26" s="366">
        <f t="shared" si="2"/>
        <v>621</v>
      </c>
      <c r="N26" s="216" t="s">
        <v>304</v>
      </c>
      <c r="O26" s="217" t="str">
        <f t="shared" si="3"/>
        <v>--</v>
      </c>
      <c r="P26" s="677">
        <f t="shared" si="4"/>
        <v>100</v>
      </c>
      <c r="Q26" s="807">
        <f t="shared" si="5"/>
        <v>25708.779000000002</v>
      </c>
      <c r="R26" s="184" t="str">
        <f t="shared" si="6"/>
        <v>--</v>
      </c>
      <c r="S26" s="359" t="str">
        <f t="shared" si="7"/>
        <v>--</v>
      </c>
      <c r="T26" s="360" t="str">
        <f t="shared" si="8"/>
        <v>--</v>
      </c>
      <c r="U26" s="217" t="s">
        <v>213</v>
      </c>
      <c r="V26" s="367">
        <f t="shared" si="9"/>
        <v>25708.779000000002</v>
      </c>
      <c r="W26" s="6"/>
    </row>
    <row r="27" spans="2:23" s="5" customFormat="1" ht="17.1" customHeight="1">
      <c r="B27" s="50"/>
      <c r="C27" s="270">
        <v>46</v>
      </c>
      <c r="D27" s="270">
        <v>296968</v>
      </c>
      <c r="E27" s="270">
        <v>1695</v>
      </c>
      <c r="F27" s="362" t="s">
        <v>323</v>
      </c>
      <c r="G27" s="362" t="s">
        <v>324</v>
      </c>
      <c r="H27" s="363">
        <v>220</v>
      </c>
      <c r="I27" s="129">
        <f t="shared" si="0"/>
        <v>248.394</v>
      </c>
      <c r="J27" s="364">
        <v>42376.4</v>
      </c>
      <c r="K27" s="147">
        <v>42376.77569444444</v>
      </c>
      <c r="L27" s="365">
        <f t="shared" si="1"/>
        <v>9.01666666654637</v>
      </c>
      <c r="M27" s="366">
        <f t="shared" si="2"/>
        <v>541</v>
      </c>
      <c r="N27" s="216" t="s">
        <v>304</v>
      </c>
      <c r="O27" s="217" t="str">
        <f t="shared" si="3"/>
        <v>--</v>
      </c>
      <c r="P27" s="677">
        <f t="shared" si="4"/>
        <v>100</v>
      </c>
      <c r="Q27" s="807">
        <f t="shared" si="5"/>
        <v>22405.1388</v>
      </c>
      <c r="R27" s="184" t="str">
        <f t="shared" si="6"/>
        <v>--</v>
      </c>
      <c r="S27" s="359" t="str">
        <f t="shared" si="7"/>
        <v>--</v>
      </c>
      <c r="T27" s="360" t="str">
        <f t="shared" si="8"/>
        <v>--</v>
      </c>
      <c r="U27" s="217" t="s">
        <v>213</v>
      </c>
      <c r="V27" s="367">
        <f>IF(F27="","",SUM(Q27:T27)*IF(U27="SI",1,2))</f>
        <v>22405.1388</v>
      </c>
      <c r="W27" s="6"/>
    </row>
    <row r="28" spans="2:23" s="5" customFormat="1" ht="17.1" customHeight="1">
      <c r="B28" s="50"/>
      <c r="C28" s="270">
        <v>47</v>
      </c>
      <c r="D28" s="270">
        <v>296969</v>
      </c>
      <c r="E28" s="149">
        <v>1695</v>
      </c>
      <c r="F28" s="362" t="s">
        <v>323</v>
      </c>
      <c r="G28" s="362" t="s">
        <v>324</v>
      </c>
      <c r="H28" s="363">
        <v>220</v>
      </c>
      <c r="I28" s="129">
        <f t="shared" si="0"/>
        <v>248.394</v>
      </c>
      <c r="J28" s="364">
        <v>42377.34375</v>
      </c>
      <c r="K28" s="147">
        <v>42377.51666666667</v>
      </c>
      <c r="L28" s="365">
        <f t="shared" si="1"/>
        <v>4.150000000081491</v>
      </c>
      <c r="M28" s="366">
        <f t="shared" si="2"/>
        <v>249</v>
      </c>
      <c r="N28" s="216" t="s">
        <v>304</v>
      </c>
      <c r="O28" s="217" t="str">
        <f t="shared" si="3"/>
        <v>--</v>
      </c>
      <c r="P28" s="677">
        <f t="shared" si="4"/>
        <v>100</v>
      </c>
      <c r="Q28" s="807">
        <f t="shared" si="5"/>
        <v>10308.351000000002</v>
      </c>
      <c r="R28" s="184" t="str">
        <f t="shared" si="6"/>
        <v>--</v>
      </c>
      <c r="S28" s="359" t="str">
        <f t="shared" si="7"/>
        <v>--</v>
      </c>
      <c r="T28" s="360" t="str">
        <f t="shared" si="8"/>
        <v>--</v>
      </c>
      <c r="U28" s="217" t="s">
        <v>213</v>
      </c>
      <c r="V28" s="367">
        <f t="shared" si="9"/>
        <v>10308.351000000002</v>
      </c>
      <c r="W28" s="6"/>
    </row>
    <row r="29" spans="2:23" s="5" customFormat="1" ht="17.1" customHeight="1">
      <c r="B29" s="50"/>
      <c r="C29" s="270">
        <v>48</v>
      </c>
      <c r="D29" s="270">
        <v>296972</v>
      </c>
      <c r="E29" s="270">
        <v>2794</v>
      </c>
      <c r="F29" s="362" t="s">
        <v>325</v>
      </c>
      <c r="G29" s="362" t="s">
        <v>326</v>
      </c>
      <c r="H29" s="363">
        <v>132</v>
      </c>
      <c r="I29" s="129">
        <f t="shared" si="0"/>
        <v>220.831</v>
      </c>
      <c r="J29" s="364">
        <v>42379.336805555555</v>
      </c>
      <c r="K29" s="147">
        <v>42379.63958333333</v>
      </c>
      <c r="L29" s="365">
        <f t="shared" si="1"/>
        <v>7.2666666666045785</v>
      </c>
      <c r="M29" s="366">
        <f t="shared" si="2"/>
        <v>436</v>
      </c>
      <c r="N29" s="216" t="s">
        <v>304</v>
      </c>
      <c r="O29" s="217" t="str">
        <f t="shared" si="3"/>
        <v>--</v>
      </c>
      <c r="P29" s="677">
        <f t="shared" si="4"/>
        <v>40</v>
      </c>
      <c r="Q29" s="807">
        <f t="shared" si="5"/>
        <v>6421.76548</v>
      </c>
      <c r="R29" s="184" t="str">
        <f t="shared" si="6"/>
        <v>--</v>
      </c>
      <c r="S29" s="359" t="str">
        <f t="shared" si="7"/>
        <v>--</v>
      </c>
      <c r="T29" s="360" t="str">
        <f t="shared" si="8"/>
        <v>--</v>
      </c>
      <c r="U29" s="217" t="s">
        <v>213</v>
      </c>
      <c r="V29" s="367">
        <f t="shared" si="9"/>
        <v>6421.76548</v>
      </c>
      <c r="W29" s="6"/>
    </row>
    <row r="30" spans="2:23" s="5" customFormat="1" ht="17.1" customHeight="1">
      <c r="B30" s="50"/>
      <c r="C30" s="270">
        <v>49</v>
      </c>
      <c r="D30" s="270">
        <v>297354</v>
      </c>
      <c r="E30" s="149">
        <v>132</v>
      </c>
      <c r="F30" s="362" t="s">
        <v>319</v>
      </c>
      <c r="G30" s="362" t="s">
        <v>327</v>
      </c>
      <c r="H30" s="363">
        <v>132</v>
      </c>
      <c r="I30" s="129">
        <f t="shared" si="0"/>
        <v>220.831</v>
      </c>
      <c r="J30" s="364">
        <v>42380.74513888889</v>
      </c>
      <c r="K30" s="147">
        <v>42380.81597222222</v>
      </c>
      <c r="L30" s="365">
        <f t="shared" si="1"/>
        <v>1.6999999999534339</v>
      </c>
      <c r="M30" s="366">
        <f t="shared" si="2"/>
        <v>102</v>
      </c>
      <c r="N30" s="216" t="s">
        <v>308</v>
      </c>
      <c r="O30" s="217" t="str">
        <f t="shared" si="3"/>
        <v>NO</v>
      </c>
      <c r="P30" s="677">
        <f t="shared" si="4"/>
        <v>40</v>
      </c>
      <c r="Q30" s="807" t="str">
        <f t="shared" si="5"/>
        <v>--</v>
      </c>
      <c r="R30" s="184">
        <f t="shared" si="6"/>
        <v>8833.24</v>
      </c>
      <c r="S30" s="359">
        <f t="shared" si="7"/>
        <v>15016.508</v>
      </c>
      <c r="T30" s="360" t="str">
        <f t="shared" si="8"/>
        <v>--</v>
      </c>
      <c r="U30" s="217" t="s">
        <v>213</v>
      </c>
      <c r="V30" s="367">
        <f t="shared" si="9"/>
        <v>23849.748</v>
      </c>
      <c r="W30" s="6"/>
    </row>
    <row r="31" spans="2:23" s="5" customFormat="1" ht="17.1" customHeight="1">
      <c r="B31" s="50"/>
      <c r="C31" s="270">
        <v>50</v>
      </c>
      <c r="D31" s="270">
        <v>297360</v>
      </c>
      <c r="E31" s="270">
        <v>129</v>
      </c>
      <c r="F31" s="362" t="s">
        <v>328</v>
      </c>
      <c r="G31" s="362" t="s">
        <v>329</v>
      </c>
      <c r="H31" s="363">
        <v>132</v>
      </c>
      <c r="I31" s="129">
        <f t="shared" si="0"/>
        <v>220.831</v>
      </c>
      <c r="J31" s="364">
        <v>42381.271527777775</v>
      </c>
      <c r="K31" s="147">
        <v>42381.42291666667</v>
      </c>
      <c r="L31" s="365">
        <f t="shared" si="1"/>
        <v>3.6333333334769122</v>
      </c>
      <c r="M31" s="366">
        <f t="shared" si="2"/>
        <v>218</v>
      </c>
      <c r="N31" s="216" t="s">
        <v>304</v>
      </c>
      <c r="O31" s="217" t="str">
        <f t="shared" si="3"/>
        <v>--</v>
      </c>
      <c r="P31" s="677">
        <f t="shared" si="4"/>
        <v>40</v>
      </c>
      <c r="Q31" s="807">
        <f t="shared" si="5"/>
        <v>3206.46612</v>
      </c>
      <c r="R31" s="184" t="str">
        <f t="shared" si="6"/>
        <v>--</v>
      </c>
      <c r="S31" s="359" t="str">
        <f t="shared" si="7"/>
        <v>--</v>
      </c>
      <c r="T31" s="360" t="str">
        <f t="shared" si="8"/>
        <v>--</v>
      </c>
      <c r="U31" s="217" t="s">
        <v>213</v>
      </c>
      <c r="V31" s="367">
        <v>0</v>
      </c>
      <c r="W31" s="6"/>
    </row>
    <row r="32" spans="2:23" s="5" customFormat="1" ht="17.1" customHeight="1">
      <c r="B32" s="50"/>
      <c r="C32" s="270">
        <v>51</v>
      </c>
      <c r="D32" s="270">
        <v>297400</v>
      </c>
      <c r="E32" s="270">
        <v>2794</v>
      </c>
      <c r="F32" s="362" t="s">
        <v>325</v>
      </c>
      <c r="G32" s="362" t="s">
        <v>326</v>
      </c>
      <c r="H32" s="363">
        <v>132</v>
      </c>
      <c r="I32" s="129">
        <f t="shared" si="0"/>
        <v>220.831</v>
      </c>
      <c r="J32" s="364">
        <v>42386.35</v>
      </c>
      <c r="K32" s="147">
        <v>42386.714583333334</v>
      </c>
      <c r="L32" s="365">
        <f t="shared" si="1"/>
        <v>8.750000000058208</v>
      </c>
      <c r="M32" s="366">
        <f t="shared" si="2"/>
        <v>525</v>
      </c>
      <c r="N32" s="216" t="s">
        <v>304</v>
      </c>
      <c r="O32" s="217" t="str">
        <f t="shared" si="3"/>
        <v>--</v>
      </c>
      <c r="P32" s="677">
        <f t="shared" si="4"/>
        <v>40</v>
      </c>
      <c r="Q32" s="807">
        <f t="shared" si="5"/>
        <v>7729.084999999999</v>
      </c>
      <c r="R32" s="184" t="str">
        <f t="shared" si="6"/>
        <v>--</v>
      </c>
      <c r="S32" s="359" t="str">
        <f t="shared" si="7"/>
        <v>--</v>
      </c>
      <c r="T32" s="360" t="str">
        <f t="shared" si="8"/>
        <v>--</v>
      </c>
      <c r="U32" s="217" t="s">
        <v>213</v>
      </c>
      <c r="V32" s="367">
        <f t="shared" si="9"/>
        <v>7729.084999999999</v>
      </c>
      <c r="W32" s="6"/>
    </row>
    <row r="33" spans="2:23" s="5" customFormat="1" ht="17.1" customHeight="1">
      <c r="B33" s="50"/>
      <c r="C33" s="270">
        <v>52</v>
      </c>
      <c r="D33" s="270">
        <v>297401</v>
      </c>
      <c r="E33" s="149">
        <v>4918</v>
      </c>
      <c r="F33" s="362" t="s">
        <v>464</v>
      </c>
      <c r="G33" s="362" t="s">
        <v>465</v>
      </c>
      <c r="H33" s="363">
        <v>132</v>
      </c>
      <c r="I33" s="129">
        <f t="shared" si="0"/>
        <v>220.831</v>
      </c>
      <c r="J33" s="364">
        <v>42386.395833333336</v>
      </c>
      <c r="K33" s="147">
        <v>42386.66458333333</v>
      </c>
      <c r="L33" s="365">
        <f t="shared" si="1"/>
        <v>6.449999999895226</v>
      </c>
      <c r="M33" s="366">
        <f t="shared" si="2"/>
        <v>387</v>
      </c>
      <c r="N33" s="216" t="s">
        <v>304</v>
      </c>
      <c r="O33" s="217" t="str">
        <f t="shared" si="3"/>
        <v>--</v>
      </c>
      <c r="P33" s="677">
        <f t="shared" si="4"/>
        <v>40</v>
      </c>
      <c r="Q33" s="807">
        <f t="shared" si="5"/>
        <v>5697.4398</v>
      </c>
      <c r="R33" s="184" t="str">
        <f t="shared" si="6"/>
        <v>--</v>
      </c>
      <c r="S33" s="359" t="str">
        <f t="shared" si="7"/>
        <v>--</v>
      </c>
      <c r="T33" s="360" t="str">
        <f t="shared" si="8"/>
        <v>--</v>
      </c>
      <c r="U33" s="217" t="s">
        <v>213</v>
      </c>
      <c r="V33" s="367">
        <f t="shared" si="9"/>
        <v>5697.4398</v>
      </c>
      <c r="W33" s="6"/>
    </row>
    <row r="34" spans="2:23" s="5" customFormat="1" ht="17.1" customHeight="1">
      <c r="B34" s="50"/>
      <c r="C34" s="270">
        <v>53</v>
      </c>
      <c r="D34" s="270">
        <v>297780</v>
      </c>
      <c r="E34" s="270">
        <v>1695</v>
      </c>
      <c r="F34" s="362" t="s">
        <v>323</v>
      </c>
      <c r="G34" s="362" t="s">
        <v>324</v>
      </c>
      <c r="H34" s="363">
        <v>220</v>
      </c>
      <c r="I34" s="129">
        <f t="shared" si="0"/>
        <v>248.394</v>
      </c>
      <c r="J34" s="364">
        <v>42387.51736111111</v>
      </c>
      <c r="K34" s="147">
        <v>42387.70347222222</v>
      </c>
      <c r="L34" s="365">
        <f t="shared" si="1"/>
        <v>4.466666666732635</v>
      </c>
      <c r="M34" s="366">
        <f t="shared" si="2"/>
        <v>268</v>
      </c>
      <c r="N34" s="216" t="s">
        <v>304</v>
      </c>
      <c r="O34" s="217" t="str">
        <f t="shared" si="3"/>
        <v>--</v>
      </c>
      <c r="P34" s="677">
        <f t="shared" si="4"/>
        <v>100</v>
      </c>
      <c r="Q34" s="807">
        <f t="shared" si="5"/>
        <v>11103.211800000001</v>
      </c>
      <c r="R34" s="184" t="str">
        <f t="shared" si="6"/>
        <v>--</v>
      </c>
      <c r="S34" s="359" t="str">
        <f t="shared" si="7"/>
        <v>--</v>
      </c>
      <c r="T34" s="360" t="str">
        <f t="shared" si="8"/>
        <v>--</v>
      </c>
      <c r="U34" s="217" t="s">
        <v>213</v>
      </c>
      <c r="V34" s="367">
        <f t="shared" si="9"/>
        <v>11103.211800000001</v>
      </c>
      <c r="W34" s="6"/>
    </row>
    <row r="35" spans="2:23" s="5" customFormat="1" ht="17.1" customHeight="1">
      <c r="B35" s="50"/>
      <c r="C35" s="270">
        <v>54</v>
      </c>
      <c r="D35" s="270">
        <v>297781</v>
      </c>
      <c r="E35" s="149">
        <v>93</v>
      </c>
      <c r="F35" s="362" t="s">
        <v>331</v>
      </c>
      <c r="G35" s="362" t="s">
        <v>332</v>
      </c>
      <c r="H35" s="363">
        <v>132</v>
      </c>
      <c r="I35" s="129">
        <f t="shared" si="0"/>
        <v>220.831</v>
      </c>
      <c r="J35" s="364">
        <v>42388.39375</v>
      </c>
      <c r="K35" s="147">
        <v>42388.61388888889</v>
      </c>
      <c r="L35" s="365">
        <f t="shared" si="1"/>
        <v>5.283333333267365</v>
      </c>
      <c r="M35" s="366">
        <f t="shared" si="2"/>
        <v>317</v>
      </c>
      <c r="N35" s="216" t="s">
        <v>304</v>
      </c>
      <c r="O35" s="217" t="str">
        <f t="shared" si="3"/>
        <v>--</v>
      </c>
      <c r="P35" s="677">
        <f t="shared" si="4"/>
        <v>40</v>
      </c>
      <c r="Q35" s="807">
        <f t="shared" si="5"/>
        <v>4663.95072</v>
      </c>
      <c r="R35" s="184" t="str">
        <f t="shared" si="6"/>
        <v>--</v>
      </c>
      <c r="S35" s="359" t="str">
        <f t="shared" si="7"/>
        <v>--</v>
      </c>
      <c r="T35" s="360" t="str">
        <f t="shared" si="8"/>
        <v>--</v>
      </c>
      <c r="U35" s="217" t="s">
        <v>213</v>
      </c>
      <c r="V35" s="367">
        <v>0</v>
      </c>
      <c r="W35" s="6"/>
    </row>
    <row r="36" spans="2:23" s="5" customFormat="1" ht="17.1" customHeight="1">
      <c r="B36" s="50"/>
      <c r="C36" s="270">
        <v>55</v>
      </c>
      <c r="D36" s="270">
        <v>297783</v>
      </c>
      <c r="E36" s="270">
        <v>1695</v>
      </c>
      <c r="F36" s="362" t="s">
        <v>323</v>
      </c>
      <c r="G36" s="362" t="s">
        <v>324</v>
      </c>
      <c r="H36" s="363">
        <v>220</v>
      </c>
      <c r="I36" s="129">
        <f t="shared" si="0"/>
        <v>248.394</v>
      </c>
      <c r="J36" s="364">
        <v>42389.407638888886</v>
      </c>
      <c r="K36" s="147">
        <v>42390.77847222222</v>
      </c>
      <c r="L36" s="365">
        <f t="shared" si="1"/>
        <v>32.90000000002328</v>
      </c>
      <c r="M36" s="366">
        <f t="shared" si="2"/>
        <v>1974</v>
      </c>
      <c r="N36" s="216" t="s">
        <v>304</v>
      </c>
      <c r="O36" s="217" t="str">
        <f t="shared" si="3"/>
        <v>--</v>
      </c>
      <c r="P36" s="677">
        <f t="shared" si="4"/>
        <v>100</v>
      </c>
      <c r="Q36" s="807">
        <f t="shared" si="5"/>
        <v>81721.626</v>
      </c>
      <c r="R36" s="184" t="str">
        <f t="shared" si="6"/>
        <v>--</v>
      </c>
      <c r="S36" s="359" t="str">
        <f t="shared" si="7"/>
        <v>--</v>
      </c>
      <c r="T36" s="360" t="str">
        <f t="shared" si="8"/>
        <v>--</v>
      </c>
      <c r="U36" s="217" t="s">
        <v>213</v>
      </c>
      <c r="V36" s="367">
        <f t="shared" si="9"/>
        <v>81721.626</v>
      </c>
      <c r="W36" s="6"/>
    </row>
    <row r="37" spans="2:23" s="5" customFormat="1" ht="17.1" customHeight="1">
      <c r="B37" s="50"/>
      <c r="C37" s="270"/>
      <c r="D37" s="270"/>
      <c r="E37" s="149"/>
      <c r="F37" s="362"/>
      <c r="G37" s="362"/>
      <c r="H37" s="363"/>
      <c r="I37" s="129"/>
      <c r="J37" s="364"/>
      <c r="K37" s="147"/>
      <c r="L37" s="365"/>
      <c r="M37" s="366"/>
      <c r="N37" s="216"/>
      <c r="O37" s="217"/>
      <c r="P37" s="677"/>
      <c r="Q37" s="807"/>
      <c r="R37" s="184"/>
      <c r="S37" s="359"/>
      <c r="T37" s="360"/>
      <c r="U37" s="217"/>
      <c r="V37" s="367"/>
      <c r="W37" s="6"/>
    </row>
    <row r="38" spans="2:23" s="5" customFormat="1" ht="17.1" customHeight="1">
      <c r="B38" s="50"/>
      <c r="C38" s="270">
        <v>57</v>
      </c>
      <c r="D38" s="270">
        <v>297795</v>
      </c>
      <c r="E38" s="270">
        <v>3664</v>
      </c>
      <c r="F38" s="362" t="s">
        <v>333</v>
      </c>
      <c r="G38" s="362" t="s">
        <v>334</v>
      </c>
      <c r="H38" s="363">
        <v>132</v>
      </c>
      <c r="I38" s="129">
        <f t="shared" si="0"/>
        <v>220.831</v>
      </c>
      <c r="J38" s="364">
        <v>42390.08125</v>
      </c>
      <c r="K38" s="147">
        <v>42390.11388888889</v>
      </c>
      <c r="L38" s="365">
        <f t="shared" si="1"/>
        <v>0.7833333332673647</v>
      </c>
      <c r="M38" s="366">
        <f t="shared" si="2"/>
        <v>47</v>
      </c>
      <c r="N38" s="216" t="s">
        <v>304</v>
      </c>
      <c r="O38" s="217" t="str">
        <f t="shared" si="3"/>
        <v>--</v>
      </c>
      <c r="P38" s="677">
        <f t="shared" si="4"/>
        <v>40</v>
      </c>
      <c r="Q38" s="807">
        <f t="shared" si="5"/>
        <v>688.9927200000001</v>
      </c>
      <c r="R38" s="184" t="str">
        <f t="shared" si="6"/>
        <v>--</v>
      </c>
      <c r="S38" s="359" t="str">
        <f t="shared" si="7"/>
        <v>--</v>
      </c>
      <c r="T38" s="360" t="str">
        <f t="shared" si="8"/>
        <v>--</v>
      </c>
      <c r="U38" s="217" t="s">
        <v>213</v>
      </c>
      <c r="V38" s="367">
        <v>0</v>
      </c>
      <c r="W38" s="6"/>
    </row>
    <row r="39" spans="2:23" s="5" customFormat="1" ht="17.1" customHeight="1">
      <c r="B39" s="50"/>
      <c r="C39" s="270">
        <v>58</v>
      </c>
      <c r="D39" s="270">
        <v>297800</v>
      </c>
      <c r="E39" s="149">
        <v>1695</v>
      </c>
      <c r="F39" s="362" t="s">
        <v>323</v>
      </c>
      <c r="G39" s="362" t="s">
        <v>324</v>
      </c>
      <c r="H39" s="363">
        <v>220</v>
      </c>
      <c r="I39" s="129">
        <f t="shared" si="0"/>
        <v>248.394</v>
      </c>
      <c r="J39" s="364">
        <v>42391.35208333333</v>
      </c>
      <c r="K39" s="147">
        <v>42391.73819444444</v>
      </c>
      <c r="L39" s="365">
        <f t="shared" si="1"/>
        <v>9.266666666662786</v>
      </c>
      <c r="M39" s="366">
        <f t="shared" si="2"/>
        <v>556</v>
      </c>
      <c r="N39" s="216" t="s">
        <v>304</v>
      </c>
      <c r="O39" s="217" t="str">
        <f t="shared" si="3"/>
        <v>--</v>
      </c>
      <c r="P39" s="677">
        <f t="shared" si="4"/>
        <v>100</v>
      </c>
      <c r="Q39" s="807">
        <f t="shared" si="5"/>
        <v>23026.1238</v>
      </c>
      <c r="R39" s="184" t="str">
        <f t="shared" si="6"/>
        <v>--</v>
      </c>
      <c r="S39" s="359" t="str">
        <f t="shared" si="7"/>
        <v>--</v>
      </c>
      <c r="T39" s="360" t="str">
        <f t="shared" si="8"/>
        <v>--</v>
      </c>
      <c r="U39" s="217" t="s">
        <v>213</v>
      </c>
      <c r="V39" s="367">
        <f t="shared" si="9"/>
        <v>23026.1238</v>
      </c>
      <c r="W39" s="6"/>
    </row>
    <row r="40" spans="2:23" s="5" customFormat="1" ht="17.1" customHeight="1">
      <c r="B40" s="50"/>
      <c r="C40" s="270"/>
      <c r="D40" s="270"/>
      <c r="E40" s="270"/>
      <c r="F40" s="362"/>
      <c r="G40" s="362"/>
      <c r="H40" s="363"/>
      <c r="I40" s="129">
        <f t="shared" si="0"/>
        <v>220.831</v>
      </c>
      <c r="J40" s="364"/>
      <c r="K40" s="147"/>
      <c r="L40" s="365" t="str">
        <f t="shared" si="1"/>
        <v/>
      </c>
      <c r="M40" s="366" t="str">
        <f t="shared" si="2"/>
        <v/>
      </c>
      <c r="N40" s="216"/>
      <c r="O40" s="217" t="str">
        <f t="shared" si="3"/>
        <v/>
      </c>
      <c r="P40" s="677">
        <f t="shared" si="4"/>
        <v>40</v>
      </c>
      <c r="Q40" s="807" t="str">
        <f t="shared" si="5"/>
        <v>--</v>
      </c>
      <c r="R40" s="184" t="str">
        <f t="shared" si="6"/>
        <v>--</v>
      </c>
      <c r="S40" s="359" t="str">
        <f t="shared" si="7"/>
        <v>--</v>
      </c>
      <c r="T40" s="360" t="str">
        <f t="shared" si="8"/>
        <v>--</v>
      </c>
      <c r="U40" s="217" t="str">
        <f>IF(F40="","","SI")</f>
        <v/>
      </c>
      <c r="V40" s="367" t="str">
        <f t="shared" si="9"/>
        <v/>
      </c>
      <c r="W40" s="6"/>
    </row>
    <row r="41" spans="2:23" s="5" customFormat="1" ht="17.1" customHeight="1" thickBot="1">
      <c r="B41" s="50"/>
      <c r="C41" s="224"/>
      <c r="D41" s="224"/>
      <c r="E41" s="224"/>
      <c r="F41" s="224"/>
      <c r="G41" s="224"/>
      <c r="H41" s="224"/>
      <c r="I41" s="130"/>
      <c r="J41" s="368"/>
      <c r="K41" s="368"/>
      <c r="L41" s="369"/>
      <c r="M41" s="369"/>
      <c r="N41" s="368"/>
      <c r="O41" s="148"/>
      <c r="P41" s="370"/>
      <c r="Q41" s="371"/>
      <c r="R41" s="372"/>
      <c r="S41" s="373"/>
      <c r="T41" s="154"/>
      <c r="U41" s="148"/>
      <c r="V41" s="374"/>
      <c r="W41" s="6"/>
    </row>
    <row r="42" spans="2:23" s="5" customFormat="1" ht="17.1" customHeight="1" thickBot="1" thickTop="1">
      <c r="B42" s="50"/>
      <c r="C42" s="126" t="s">
        <v>25</v>
      </c>
      <c r="D42" s="73" t="s">
        <v>371</v>
      </c>
      <c r="E42" s="126"/>
      <c r="F42" s="127"/>
      <c r="G42"/>
      <c r="H42" s="4"/>
      <c r="I42" s="4"/>
      <c r="J42" s="4"/>
      <c r="K42" s="4"/>
      <c r="L42" s="4"/>
      <c r="M42" s="4"/>
      <c r="N42" s="4"/>
      <c r="O42" s="4"/>
      <c r="P42" s="4"/>
      <c r="Q42" s="375">
        <f>SUM(Q22:Q41)</f>
        <v>241519.76724</v>
      </c>
      <c r="R42" s="376">
        <f>SUM(R22:R41)</f>
        <v>8833.24</v>
      </c>
      <c r="S42" s="377">
        <f>SUM(S22:S41)</f>
        <v>15016.508</v>
      </c>
      <c r="T42" s="378">
        <f>SUM(T22:T41)</f>
        <v>0</v>
      </c>
      <c r="U42" s="379"/>
      <c r="V42" s="100">
        <f>ROUND(SUM(V22:V41),2)</f>
        <v>256810.11</v>
      </c>
      <c r="W42" s="6"/>
    </row>
    <row r="43" spans="2:23" s="5" customFormat="1" ht="17.1" customHeight="1" thickBot="1" thickTop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6"/>
    </row>
    <row r="44" spans="23:25" ht="17.1" customHeight="1" thickTop="1">
      <c r="W44" s="168"/>
      <c r="X44" s="168"/>
      <c r="Y44" s="168"/>
    </row>
    <row r="45" spans="23:25" ht="17.1" customHeight="1">
      <c r="W45" s="168"/>
      <c r="X45" s="168"/>
      <c r="Y45" s="168"/>
    </row>
    <row r="46" spans="23:25" ht="17.1" customHeight="1">
      <c r="W46" s="168"/>
      <c r="X46" s="168"/>
      <c r="Y46" s="168"/>
    </row>
    <row r="47" spans="23:25" ht="17.1" customHeight="1">
      <c r="W47" s="168"/>
      <c r="X47" s="168"/>
      <c r="Y47" s="168"/>
    </row>
    <row r="48" spans="23:25" ht="17.1" customHeight="1">
      <c r="W48" s="168"/>
      <c r="X48" s="168"/>
      <c r="Y48" s="168"/>
    </row>
    <row r="49" spans="6:25" ht="17.1" customHeight="1"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</row>
    <row r="50" spans="6:25" ht="17.1" customHeight="1"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</row>
    <row r="51" spans="6:25" ht="17.1" customHeight="1"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</row>
    <row r="52" spans="6:25" ht="17.1" customHeight="1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</row>
    <row r="53" spans="6:25" ht="17.1" customHeight="1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</row>
    <row r="54" spans="6:25" ht="17.1" customHeight="1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</row>
    <row r="55" spans="6:25" ht="17.1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</row>
    <row r="56" spans="6:25" ht="17.1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</row>
    <row r="57" spans="6:25" ht="17.1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</row>
    <row r="58" spans="6:25" ht="17.1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</row>
    <row r="59" spans="6:25" ht="17.1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</row>
    <row r="60" spans="6:25" ht="17.1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</row>
    <row r="61" spans="6:25" ht="17.1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</row>
    <row r="62" spans="6:25" ht="17.1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</row>
    <row r="63" spans="6:25" ht="17.1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</row>
    <row r="64" spans="6:25" ht="17.1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</row>
    <row r="65" spans="6:25" ht="17.1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</row>
    <row r="66" spans="6:25" ht="17.1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</row>
    <row r="67" spans="6:25" ht="17.1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</row>
    <row r="68" spans="6:25" ht="17.1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</row>
    <row r="69" spans="6:25" ht="17.1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</row>
    <row r="70" spans="6:25" ht="17.1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</row>
    <row r="71" spans="6:25" ht="17.1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</row>
    <row r="72" spans="6:25" ht="17.1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</row>
    <row r="73" spans="6:25" ht="17.1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</row>
    <row r="74" spans="6:25" ht="17.1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</row>
    <row r="75" spans="6:25" ht="17.1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</row>
    <row r="76" spans="6:25" ht="17.1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</row>
    <row r="77" spans="6:25" ht="17.1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</row>
    <row r="78" spans="6:25" ht="17.1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</row>
    <row r="79" spans="6:25" ht="17.1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</row>
    <row r="80" spans="6:25" ht="17.1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</row>
    <row r="81" spans="6:25" ht="17.1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</row>
    <row r="82" spans="6:25" ht="17.1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</row>
    <row r="83" spans="6:25" ht="17.1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</row>
    <row r="84" spans="6:25" ht="17.1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</row>
    <row r="85" spans="6:25" ht="17.1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</row>
    <row r="86" spans="6:25" ht="17.1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</row>
    <row r="87" spans="6:25" ht="17.1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</row>
    <row r="88" spans="6:25" ht="17.1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</row>
    <row r="89" spans="6:25" ht="17.1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</row>
    <row r="90" spans="6:25" ht="17.1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</row>
    <row r="91" spans="6:25" ht="17.1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</row>
    <row r="92" spans="6:25" ht="17.1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</row>
    <row r="93" spans="6:25" ht="17.1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</row>
    <row r="94" spans="6:25" ht="17.1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</row>
    <row r="95" spans="6:25" ht="17.1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</row>
    <row r="96" spans="6:25" ht="17.1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</row>
    <row r="97" spans="6:25" ht="17.1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</row>
    <row r="98" spans="6:25" ht="17.1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</row>
    <row r="99" spans="6:25" ht="17.1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</row>
    <row r="100" spans="6:25" ht="17.1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</row>
    <row r="101" spans="6:25" ht="17.1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</row>
    <row r="102" spans="6:25" ht="17.1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</row>
    <row r="103" spans="6:25" ht="17.1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</row>
    <row r="104" spans="6:25" ht="17.1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</row>
    <row r="105" spans="6:25" ht="17.1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</row>
    <row r="106" spans="6:25" ht="17.1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</row>
    <row r="107" spans="6:25" ht="17.1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</row>
    <row r="108" spans="6:25" ht="17.1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</row>
    <row r="109" spans="6:25" ht="17.1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</row>
    <row r="110" spans="6:25" ht="17.1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</row>
    <row r="111" spans="6:25" ht="17.1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</row>
    <row r="112" spans="6:25" ht="17.1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</row>
    <row r="113" spans="6:25" ht="17.1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</row>
    <row r="114" spans="6:25" ht="17.1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</row>
    <row r="115" spans="6:25" ht="17.1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</row>
    <row r="116" spans="6:25" ht="17.1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</row>
    <row r="117" spans="6:25" ht="17.1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</row>
    <row r="118" spans="6:25" ht="17.1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</row>
    <row r="119" spans="6:25" ht="17.1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</row>
    <row r="120" spans="6:25" ht="17.1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</row>
    <row r="121" spans="6:25" ht="17.1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</row>
    <row r="122" spans="6:25" ht="17.1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</row>
    <row r="123" spans="6:25" ht="17.1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</row>
    <row r="124" spans="6:25" ht="17.1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</row>
    <row r="125" spans="6:25" ht="17.1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</row>
    <row r="126" spans="6:25" ht="17.1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</row>
    <row r="127" spans="6:25" ht="17.1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</row>
    <row r="128" spans="6:25" ht="17.1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</row>
    <row r="129" spans="6:25" ht="17.1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</row>
    <row r="130" spans="6:25" ht="17.1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</row>
    <row r="131" spans="6:25" ht="17.1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</row>
    <row r="132" spans="6:25" ht="17.1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</row>
    <row r="133" spans="6:25" ht="17.1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</row>
    <row r="134" spans="6:25" ht="17.1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</row>
    <row r="135" spans="6:25" ht="17.1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</row>
    <row r="136" spans="6:25" ht="17.1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</row>
    <row r="137" spans="6:25" ht="17.1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</row>
    <row r="138" spans="6:25" ht="17.1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</row>
    <row r="139" spans="6:25" ht="17.1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</row>
    <row r="140" spans="6:25" ht="17.1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</row>
    <row r="141" spans="6:25" ht="17.1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</row>
    <row r="142" spans="6:25" ht="17.1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</row>
    <row r="143" spans="6:25" ht="17.1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</row>
    <row r="144" spans="6:25" ht="17.1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</row>
    <row r="145" spans="6:25" ht="17.1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</row>
    <row r="146" spans="6:25" ht="17.1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</row>
    <row r="147" spans="6:25" ht="17.1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</row>
    <row r="148" spans="6:25" ht="17.1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</row>
    <row r="149" spans="6:25" ht="17.1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</row>
    <row r="150" spans="6:25" ht="17.1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</row>
    <row r="151" spans="6:25" ht="17.1" customHeight="1"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</row>
    <row r="152" spans="6:25" ht="17.1" customHeight="1"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</row>
    <row r="153" spans="6:25" ht="17.1" customHeight="1"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</row>
    <row r="154" spans="6:25" ht="17.1" customHeight="1"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</row>
    <row r="155" spans="6:25" ht="17.1" customHeight="1"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</row>
    <row r="156" spans="6:25" ht="17.1" customHeight="1"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5" r:id="rId5"/>
  <headerFooter alignWithMargins="0">
    <oddFooter>&amp;L&amp;"Times New Roman,Normal"&amp;8&amp;Z&amp;F</oddFooter>
  </headerFooter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3457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76200</xdr:colOff>
                    <xdr:row>41</xdr:row>
                    <xdr:rowOff>0</xdr:rowOff>
                  </from>
                  <to>
                    <xdr:col>2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pageSetUpPr fitToPage="1"/>
  </sheetPr>
  <dimension ref="A1:Y159"/>
  <sheetViews>
    <sheetView zoomScale="70" zoomScaleNormal="70" workbookViewId="0" topLeftCell="A1">
      <selection activeCell="A48" sqref="A48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39"/>
    </row>
    <row r="2" spans="1:23" s="18" customFormat="1" ht="26.25">
      <c r="A2" s="91"/>
      <c r="B2" s="19" t="str">
        <f>+'TOT-0116'!B2</f>
        <v>ANEXO II al Memorándum D.T.E.E. N° 231 / 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69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3" t="s">
        <v>223</v>
      </c>
      <c r="G10" s="328"/>
      <c r="H10" s="105"/>
      <c r="I10" s="108"/>
      <c r="K10" s="108"/>
      <c r="L10" s="108"/>
      <c r="M10" s="108"/>
      <c r="N10" s="108"/>
      <c r="O10" s="108"/>
      <c r="P10" s="108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29"/>
      <c r="G11" s="329"/>
      <c r="H11" s="90"/>
      <c r="I11" s="97"/>
      <c r="J11" s="52"/>
      <c r="K11" s="97"/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3" t="s">
        <v>80</v>
      </c>
      <c r="G12" s="328"/>
      <c r="H12" s="105"/>
      <c r="I12" s="108"/>
      <c r="K12" s="108"/>
      <c r="L12" s="108"/>
      <c r="M12" s="108"/>
      <c r="N12" s="108"/>
      <c r="O12" s="108"/>
      <c r="P12" s="108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29"/>
      <c r="G13" s="329"/>
      <c r="H13" s="90"/>
      <c r="I13" s="97"/>
      <c r="J13" s="52"/>
      <c r="K13" s="97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'TOT-0116'!B14</f>
        <v>Desde el 01 al 31 de enero de 2016</v>
      </c>
      <c r="C14" s="40"/>
      <c r="D14" s="40"/>
      <c r="E14" s="40"/>
      <c r="F14" s="40"/>
      <c r="G14" s="40"/>
      <c r="H14" s="40"/>
      <c r="I14" s="330"/>
      <c r="J14" s="330"/>
      <c r="K14" s="330"/>
      <c r="L14" s="330"/>
      <c r="M14" s="330"/>
      <c r="N14" s="330"/>
      <c r="O14" s="330"/>
      <c r="P14" s="330"/>
      <c r="Q14" s="40"/>
      <c r="R14" s="40"/>
      <c r="S14" s="40"/>
      <c r="T14" s="40"/>
      <c r="U14" s="40"/>
      <c r="V14" s="40"/>
      <c r="W14" s="331"/>
    </row>
    <row r="15" spans="2:23" s="5" customFormat="1" ht="14.25" thickBot="1">
      <c r="B15" s="332"/>
      <c r="C15" s="333"/>
      <c r="D15" s="333"/>
      <c r="E15" s="333"/>
      <c r="F15" s="333"/>
      <c r="G15" s="333"/>
      <c r="H15" s="333"/>
      <c r="I15" s="334"/>
      <c r="J15" s="334"/>
      <c r="K15" s="334"/>
      <c r="L15" s="334"/>
      <c r="M15" s="334"/>
      <c r="N15" s="334"/>
      <c r="O15" s="334"/>
      <c r="P15" s="334"/>
      <c r="Q15" s="333"/>
      <c r="R15" s="333"/>
      <c r="S15" s="333"/>
      <c r="T15" s="333"/>
      <c r="U15" s="333"/>
      <c r="V15" s="333"/>
      <c r="W15" s="335"/>
    </row>
    <row r="16" spans="2:23" s="5" customFormat="1" ht="15" thickBot="1" thickTop="1">
      <c r="B16" s="50"/>
      <c r="C16" s="4"/>
      <c r="D16" s="4"/>
      <c r="E16" s="4"/>
      <c r="F16" s="336"/>
      <c r="G16" s="336"/>
      <c r="H16" s="117" t="s">
        <v>81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7.1" customHeight="1" thickBot="1" thickTop="1">
      <c r="B17" s="50"/>
      <c r="C17" s="4"/>
      <c r="D17" s="4"/>
      <c r="E17" s="4"/>
      <c r="F17" s="337" t="s">
        <v>82</v>
      </c>
      <c r="G17" s="338">
        <v>276.033</v>
      </c>
      <c r="H17" s="339">
        <v>200</v>
      </c>
      <c r="V17" s="115"/>
      <c r="W17" s="6"/>
    </row>
    <row r="18" spans="2:23" s="5" customFormat="1" ht="17.1" customHeight="1" thickBot="1" thickTop="1">
      <c r="B18" s="50"/>
      <c r="C18" s="4"/>
      <c r="D18" s="4"/>
      <c r="E18" s="4"/>
      <c r="F18" s="340" t="s">
        <v>83</v>
      </c>
      <c r="G18" s="341">
        <v>248.394</v>
      </c>
      <c r="H18" s="339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7.1" customHeight="1" thickBot="1" thickTop="1">
      <c r="B19" s="50"/>
      <c r="C19" s="4"/>
      <c r="D19" s="4"/>
      <c r="E19" s="4"/>
      <c r="F19" s="342" t="s">
        <v>84</v>
      </c>
      <c r="G19" s="341">
        <v>220.831</v>
      </c>
      <c r="H19" s="339">
        <v>40</v>
      </c>
      <c r="K19" s="195"/>
      <c r="L19" s="196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7.1" customHeight="1" thickBot="1" thickTop="1">
      <c r="B20" s="50"/>
      <c r="C20" s="836">
        <v>3</v>
      </c>
      <c r="D20" s="836">
        <v>4</v>
      </c>
      <c r="E20" s="836">
        <v>5</v>
      </c>
      <c r="F20" s="836">
        <v>6</v>
      </c>
      <c r="G20" s="836">
        <v>7</v>
      </c>
      <c r="H20" s="836">
        <v>8</v>
      </c>
      <c r="I20" s="836">
        <v>9</v>
      </c>
      <c r="J20" s="836">
        <v>10</v>
      </c>
      <c r="K20" s="836">
        <v>11</v>
      </c>
      <c r="L20" s="836">
        <v>12</v>
      </c>
      <c r="M20" s="836">
        <v>13</v>
      </c>
      <c r="N20" s="836">
        <v>14</v>
      </c>
      <c r="O20" s="836">
        <v>15</v>
      </c>
      <c r="P20" s="836">
        <v>16</v>
      </c>
      <c r="Q20" s="836">
        <v>17</v>
      </c>
      <c r="R20" s="836">
        <v>18</v>
      </c>
      <c r="S20" s="836">
        <v>19</v>
      </c>
      <c r="T20" s="836">
        <v>20</v>
      </c>
      <c r="U20" s="836">
        <v>21</v>
      </c>
      <c r="V20" s="836">
        <v>22</v>
      </c>
      <c r="W20" s="6"/>
    </row>
    <row r="21" spans="2:23" s="5" customFormat="1" ht="33.95" customHeight="1" thickBot="1" thickTop="1">
      <c r="B21" s="50"/>
      <c r="C21" s="122" t="s">
        <v>13</v>
      </c>
      <c r="D21" s="84" t="s">
        <v>242</v>
      </c>
      <c r="E21" s="84" t="s">
        <v>243</v>
      </c>
      <c r="F21" s="86" t="s">
        <v>27</v>
      </c>
      <c r="G21" s="343" t="s">
        <v>28</v>
      </c>
      <c r="H21" s="344" t="s">
        <v>14</v>
      </c>
      <c r="I21" s="128" t="s">
        <v>16</v>
      </c>
      <c r="J21" s="85" t="s">
        <v>17</v>
      </c>
      <c r="K21" s="343" t="s">
        <v>18</v>
      </c>
      <c r="L21" s="345" t="s">
        <v>36</v>
      </c>
      <c r="M21" s="345" t="s">
        <v>31</v>
      </c>
      <c r="N21" s="88" t="s">
        <v>19</v>
      </c>
      <c r="O21" s="172" t="s">
        <v>32</v>
      </c>
      <c r="P21" s="134" t="s">
        <v>37</v>
      </c>
      <c r="Q21" s="346" t="s">
        <v>70</v>
      </c>
      <c r="R21" s="173" t="s">
        <v>35</v>
      </c>
      <c r="S21" s="347"/>
      <c r="T21" s="133" t="s">
        <v>22</v>
      </c>
      <c r="U21" s="131" t="s">
        <v>74</v>
      </c>
      <c r="V21" s="121" t="s">
        <v>24</v>
      </c>
      <c r="W21" s="6"/>
    </row>
    <row r="22" spans="2:23" s="5" customFormat="1" ht="17.1" customHeight="1" thickTop="1">
      <c r="B22" s="50"/>
      <c r="C22" s="256"/>
      <c r="D22" s="256"/>
      <c r="E22" s="256"/>
      <c r="F22" s="348"/>
      <c r="G22" s="348"/>
      <c r="H22" s="348"/>
      <c r="I22" s="214"/>
      <c r="J22" s="348"/>
      <c r="K22" s="348"/>
      <c r="L22" s="348"/>
      <c r="M22" s="348"/>
      <c r="N22" s="348"/>
      <c r="O22" s="348"/>
      <c r="P22" s="349"/>
      <c r="Q22" s="350"/>
      <c r="R22" s="351"/>
      <c r="S22" s="352"/>
      <c r="T22" s="353"/>
      <c r="U22" s="348"/>
      <c r="V22" s="354">
        <f>'SA-01 (1)'!V42</f>
        <v>256810.11</v>
      </c>
      <c r="W22" s="6"/>
    </row>
    <row r="23" spans="2:23" s="5" customFormat="1" ht="17.1" customHeight="1">
      <c r="B23" s="50"/>
      <c r="C23" s="270"/>
      <c r="D23" s="270"/>
      <c r="E23" s="270"/>
      <c r="F23" s="355"/>
      <c r="G23" s="355"/>
      <c r="H23" s="355"/>
      <c r="I23" s="356"/>
      <c r="J23" s="355"/>
      <c r="K23" s="355"/>
      <c r="L23" s="355"/>
      <c r="M23" s="355"/>
      <c r="N23" s="355"/>
      <c r="O23" s="355"/>
      <c r="P23" s="357"/>
      <c r="Q23" s="358"/>
      <c r="R23" s="184"/>
      <c r="S23" s="359"/>
      <c r="T23" s="360"/>
      <c r="U23" s="355"/>
      <c r="V23" s="361"/>
      <c r="W23" s="6"/>
    </row>
    <row r="24" spans="2:23" s="5" customFormat="1" ht="17.1" customHeight="1">
      <c r="B24" s="50"/>
      <c r="C24" s="270">
        <v>59</v>
      </c>
      <c r="D24" s="270">
        <v>297809</v>
      </c>
      <c r="E24" s="149">
        <v>4918</v>
      </c>
      <c r="F24" s="362" t="s">
        <v>464</v>
      </c>
      <c r="G24" s="362" t="s">
        <v>465</v>
      </c>
      <c r="H24" s="363">
        <v>132</v>
      </c>
      <c r="I24" s="129">
        <f aca="true" t="shared" si="0" ref="I24:I43">IF(H24=500,$G$17,IF(H24=220,$G$18,$G$19))</f>
        <v>220.831</v>
      </c>
      <c r="J24" s="364">
        <v>42393.2625</v>
      </c>
      <c r="K24" s="147">
        <v>42393.42986111111</v>
      </c>
      <c r="L24" s="365">
        <f aca="true" t="shared" si="1" ref="L24:L43">IF(F24="","",(K24-J24)*24)</f>
        <v>4.016666666662786</v>
      </c>
      <c r="M24" s="366">
        <f aca="true" t="shared" si="2" ref="M24:M43">IF(F24="","",ROUND((K24-J24)*24*60,0))</f>
        <v>241</v>
      </c>
      <c r="N24" s="216" t="s">
        <v>304</v>
      </c>
      <c r="O24" s="217" t="str">
        <f aca="true" t="shared" si="3" ref="O24:O43">IF(F24="","",IF(N24="P","--","NO"))</f>
        <v>--</v>
      </c>
      <c r="P24" s="677">
        <f aca="true" t="shared" si="4" ref="P24:P43">IF(H24=500,$H$17,IF(H24=220,$H$18,$H$19))</f>
        <v>40</v>
      </c>
      <c r="Q24" s="807">
        <f aca="true" t="shared" si="5" ref="Q24:Q43">IF(N24="P",I24*P24*ROUND(M24/60,2)*0.1,"--")</f>
        <v>3550.96248</v>
      </c>
      <c r="R24" s="184" t="str">
        <f aca="true" t="shared" si="6" ref="R24:R43">IF(AND(N24="F",O24="NO"),I24*P24,"--")</f>
        <v>--</v>
      </c>
      <c r="S24" s="359" t="str">
        <f aca="true" t="shared" si="7" ref="S24:S43">IF(N24="F",I24*P24*ROUND(M24/60,2),"--")</f>
        <v>--</v>
      </c>
      <c r="T24" s="360" t="str">
        <f aca="true" t="shared" si="8" ref="T24:T43">IF(N24="RF",I24*P24*ROUND(M24/60,2),"--")</f>
        <v>--</v>
      </c>
      <c r="U24" s="217" t="s">
        <v>213</v>
      </c>
      <c r="V24" s="367">
        <f aca="true" t="shared" si="9" ref="V24:V43">IF(F24="","",SUM(Q24:T24)*IF(U24="SI",1,2))</f>
        <v>3550.96248</v>
      </c>
      <c r="W24" s="6"/>
    </row>
    <row r="25" spans="2:23" s="5" customFormat="1" ht="17.1" customHeight="1">
      <c r="B25" s="50"/>
      <c r="C25" s="270">
        <v>60</v>
      </c>
      <c r="D25" s="270">
        <v>298200</v>
      </c>
      <c r="E25" s="270">
        <v>1695</v>
      </c>
      <c r="F25" s="362" t="s">
        <v>323</v>
      </c>
      <c r="G25" s="362" t="s">
        <v>324</v>
      </c>
      <c r="H25" s="363">
        <v>220</v>
      </c>
      <c r="I25" s="129">
        <f t="shared" si="0"/>
        <v>248.394</v>
      </c>
      <c r="J25" s="364">
        <v>42395.32013888889</v>
      </c>
      <c r="K25" s="147">
        <v>42395.77361111111</v>
      </c>
      <c r="L25" s="365">
        <f t="shared" si="1"/>
        <v>10.883333333185874</v>
      </c>
      <c r="M25" s="366">
        <f t="shared" si="2"/>
        <v>653</v>
      </c>
      <c r="N25" s="216" t="s">
        <v>304</v>
      </c>
      <c r="O25" s="217" t="str">
        <f t="shared" si="3"/>
        <v>--</v>
      </c>
      <c r="P25" s="677">
        <f t="shared" si="4"/>
        <v>100</v>
      </c>
      <c r="Q25" s="807">
        <f t="shared" si="5"/>
        <v>27025.267200000002</v>
      </c>
      <c r="R25" s="184" t="str">
        <f t="shared" si="6"/>
        <v>--</v>
      </c>
      <c r="S25" s="359" t="str">
        <f t="shared" si="7"/>
        <v>--</v>
      </c>
      <c r="T25" s="360" t="str">
        <f t="shared" si="8"/>
        <v>--</v>
      </c>
      <c r="U25" s="217" t="s">
        <v>213</v>
      </c>
      <c r="V25" s="367">
        <f t="shared" si="9"/>
        <v>27025.267200000002</v>
      </c>
      <c r="W25" s="6"/>
    </row>
    <row r="26" spans="2:23" s="5" customFormat="1" ht="17.1" customHeight="1">
      <c r="B26" s="50"/>
      <c r="C26" s="270">
        <v>61</v>
      </c>
      <c r="D26" s="270">
        <v>298203</v>
      </c>
      <c r="E26" s="149">
        <v>2866</v>
      </c>
      <c r="F26" s="362" t="s">
        <v>319</v>
      </c>
      <c r="G26" s="362" t="s">
        <v>335</v>
      </c>
      <c r="H26" s="363">
        <v>132</v>
      </c>
      <c r="I26" s="129">
        <f t="shared" si="0"/>
        <v>220.831</v>
      </c>
      <c r="J26" s="364">
        <v>42397.30763888889</v>
      </c>
      <c r="K26" s="147">
        <v>42397.558333333334</v>
      </c>
      <c r="L26" s="365">
        <f t="shared" si="1"/>
        <v>6.016666666720994</v>
      </c>
      <c r="M26" s="366">
        <f t="shared" si="2"/>
        <v>361</v>
      </c>
      <c r="N26" s="216" t="s">
        <v>304</v>
      </c>
      <c r="O26" s="217" t="str">
        <f t="shared" si="3"/>
        <v>--</v>
      </c>
      <c r="P26" s="677">
        <f t="shared" si="4"/>
        <v>40</v>
      </c>
      <c r="Q26" s="807">
        <f t="shared" si="5"/>
        <v>5317.610479999999</v>
      </c>
      <c r="R26" s="184" t="str">
        <f t="shared" si="6"/>
        <v>--</v>
      </c>
      <c r="S26" s="359" t="str">
        <f t="shared" si="7"/>
        <v>--</v>
      </c>
      <c r="T26" s="360" t="str">
        <f t="shared" si="8"/>
        <v>--</v>
      </c>
      <c r="U26" s="217" t="s">
        <v>213</v>
      </c>
      <c r="V26" s="367">
        <f t="shared" si="9"/>
        <v>5317.610479999999</v>
      </c>
      <c r="W26" s="6"/>
    </row>
    <row r="27" spans="2:23" s="5" customFormat="1" ht="17.1" customHeight="1">
      <c r="B27" s="50"/>
      <c r="C27" s="270"/>
      <c r="D27" s="270"/>
      <c r="E27" s="270"/>
      <c r="F27" s="362"/>
      <c r="G27" s="362"/>
      <c r="H27" s="363"/>
      <c r="I27" s="129">
        <f t="shared" si="0"/>
        <v>220.831</v>
      </c>
      <c r="J27" s="364"/>
      <c r="K27" s="147"/>
      <c r="L27" s="365" t="str">
        <f t="shared" si="1"/>
        <v/>
      </c>
      <c r="M27" s="366" t="str">
        <f t="shared" si="2"/>
        <v/>
      </c>
      <c r="N27" s="216"/>
      <c r="O27" s="217" t="str">
        <f t="shared" si="3"/>
        <v/>
      </c>
      <c r="P27" s="677">
        <f t="shared" si="4"/>
        <v>40</v>
      </c>
      <c r="Q27" s="807" t="str">
        <f t="shared" si="5"/>
        <v>--</v>
      </c>
      <c r="R27" s="184" t="str">
        <f t="shared" si="6"/>
        <v>--</v>
      </c>
      <c r="S27" s="359" t="str">
        <f t="shared" si="7"/>
        <v>--</v>
      </c>
      <c r="T27" s="360" t="str">
        <f t="shared" si="8"/>
        <v>--</v>
      </c>
      <c r="U27" s="217" t="str">
        <f aca="true" t="shared" si="10" ref="U27:U43">IF(F27="","","SI")</f>
        <v/>
      </c>
      <c r="V27" s="367" t="str">
        <f>IF(F27="","",SUM(Q27:T27)*IF(U27="SI",1,2))</f>
        <v/>
      </c>
      <c r="W27" s="6"/>
    </row>
    <row r="28" spans="2:23" s="5" customFormat="1" ht="17.1" customHeight="1">
      <c r="B28" s="50"/>
      <c r="C28" s="270"/>
      <c r="D28" s="270"/>
      <c r="E28" s="149"/>
      <c r="F28" s="362"/>
      <c r="G28" s="362"/>
      <c r="H28" s="363"/>
      <c r="I28" s="129">
        <f t="shared" si="0"/>
        <v>220.831</v>
      </c>
      <c r="J28" s="364"/>
      <c r="K28" s="147"/>
      <c r="L28" s="365" t="str">
        <f t="shared" si="1"/>
        <v/>
      </c>
      <c r="M28" s="366" t="str">
        <f t="shared" si="2"/>
        <v/>
      </c>
      <c r="N28" s="216"/>
      <c r="O28" s="217" t="str">
        <f t="shared" si="3"/>
        <v/>
      </c>
      <c r="P28" s="677">
        <f t="shared" si="4"/>
        <v>40</v>
      </c>
      <c r="Q28" s="807" t="str">
        <f t="shared" si="5"/>
        <v>--</v>
      </c>
      <c r="R28" s="184" t="str">
        <f t="shared" si="6"/>
        <v>--</v>
      </c>
      <c r="S28" s="359" t="str">
        <f t="shared" si="7"/>
        <v>--</v>
      </c>
      <c r="T28" s="360" t="str">
        <f t="shared" si="8"/>
        <v>--</v>
      </c>
      <c r="U28" s="217" t="str">
        <f t="shared" si="10"/>
        <v/>
      </c>
      <c r="V28" s="367" t="str">
        <f t="shared" si="9"/>
        <v/>
      </c>
      <c r="W28" s="6"/>
    </row>
    <row r="29" spans="2:23" s="5" customFormat="1" ht="17.1" customHeight="1">
      <c r="B29" s="50"/>
      <c r="C29" s="270"/>
      <c r="D29" s="270"/>
      <c r="E29" s="270"/>
      <c r="F29" s="362"/>
      <c r="G29" s="362"/>
      <c r="H29" s="363"/>
      <c r="I29" s="129">
        <f t="shared" si="0"/>
        <v>220.831</v>
      </c>
      <c r="J29" s="364"/>
      <c r="K29" s="147"/>
      <c r="L29" s="365" t="str">
        <f t="shared" si="1"/>
        <v/>
      </c>
      <c r="M29" s="366" t="str">
        <f t="shared" si="2"/>
        <v/>
      </c>
      <c r="N29" s="216"/>
      <c r="O29" s="217" t="str">
        <f t="shared" si="3"/>
        <v/>
      </c>
      <c r="P29" s="677">
        <f t="shared" si="4"/>
        <v>40</v>
      </c>
      <c r="Q29" s="807" t="str">
        <f t="shared" si="5"/>
        <v>--</v>
      </c>
      <c r="R29" s="184" t="str">
        <f t="shared" si="6"/>
        <v>--</v>
      </c>
      <c r="S29" s="359" t="str">
        <f t="shared" si="7"/>
        <v>--</v>
      </c>
      <c r="T29" s="360" t="str">
        <f t="shared" si="8"/>
        <v>--</v>
      </c>
      <c r="U29" s="217" t="str">
        <f t="shared" si="10"/>
        <v/>
      </c>
      <c r="V29" s="367" t="str">
        <f t="shared" si="9"/>
        <v/>
      </c>
      <c r="W29" s="6"/>
    </row>
    <row r="30" spans="2:23" s="5" customFormat="1" ht="17.1" customHeight="1">
      <c r="B30" s="50"/>
      <c r="C30" s="270"/>
      <c r="D30" s="270"/>
      <c r="E30" s="149"/>
      <c r="F30" s="362"/>
      <c r="G30" s="362"/>
      <c r="H30" s="363"/>
      <c r="I30" s="129">
        <f t="shared" si="0"/>
        <v>220.831</v>
      </c>
      <c r="J30" s="364"/>
      <c r="K30" s="147"/>
      <c r="L30" s="365" t="str">
        <f t="shared" si="1"/>
        <v/>
      </c>
      <c r="M30" s="366" t="str">
        <f t="shared" si="2"/>
        <v/>
      </c>
      <c r="N30" s="216"/>
      <c r="O30" s="217" t="str">
        <f t="shared" si="3"/>
        <v/>
      </c>
      <c r="P30" s="677">
        <f t="shared" si="4"/>
        <v>40</v>
      </c>
      <c r="Q30" s="807" t="str">
        <f t="shared" si="5"/>
        <v>--</v>
      </c>
      <c r="R30" s="184" t="str">
        <f t="shared" si="6"/>
        <v>--</v>
      </c>
      <c r="S30" s="359" t="str">
        <f t="shared" si="7"/>
        <v>--</v>
      </c>
      <c r="T30" s="360" t="str">
        <f t="shared" si="8"/>
        <v>--</v>
      </c>
      <c r="U30" s="217" t="str">
        <f t="shared" si="10"/>
        <v/>
      </c>
      <c r="V30" s="367" t="str">
        <f t="shared" si="9"/>
        <v/>
      </c>
      <c r="W30" s="6"/>
    </row>
    <row r="31" spans="2:23" s="5" customFormat="1" ht="17.1" customHeight="1">
      <c r="B31" s="50"/>
      <c r="C31" s="270"/>
      <c r="D31" s="270"/>
      <c r="E31" s="270"/>
      <c r="F31" s="362"/>
      <c r="G31" s="362"/>
      <c r="H31" s="363"/>
      <c r="I31" s="129">
        <f t="shared" si="0"/>
        <v>220.831</v>
      </c>
      <c r="J31" s="364"/>
      <c r="K31" s="147"/>
      <c r="L31" s="365" t="str">
        <f t="shared" si="1"/>
        <v/>
      </c>
      <c r="M31" s="366" t="str">
        <f t="shared" si="2"/>
        <v/>
      </c>
      <c r="N31" s="216"/>
      <c r="O31" s="217" t="str">
        <f t="shared" si="3"/>
        <v/>
      </c>
      <c r="P31" s="677">
        <f t="shared" si="4"/>
        <v>40</v>
      </c>
      <c r="Q31" s="807" t="str">
        <f t="shared" si="5"/>
        <v>--</v>
      </c>
      <c r="R31" s="184" t="str">
        <f t="shared" si="6"/>
        <v>--</v>
      </c>
      <c r="S31" s="359" t="str">
        <f t="shared" si="7"/>
        <v>--</v>
      </c>
      <c r="T31" s="360" t="str">
        <f t="shared" si="8"/>
        <v>--</v>
      </c>
      <c r="U31" s="217" t="str">
        <f t="shared" si="10"/>
        <v/>
      </c>
      <c r="V31" s="367" t="str">
        <f t="shared" si="9"/>
        <v/>
      </c>
      <c r="W31" s="6"/>
    </row>
    <row r="32" spans="2:23" s="5" customFormat="1" ht="17.1" customHeight="1">
      <c r="B32" s="50"/>
      <c r="C32" s="270"/>
      <c r="D32" s="270"/>
      <c r="E32" s="149"/>
      <c r="F32" s="362"/>
      <c r="G32" s="362"/>
      <c r="H32" s="363"/>
      <c r="I32" s="129">
        <f t="shared" si="0"/>
        <v>220.831</v>
      </c>
      <c r="J32" s="364"/>
      <c r="K32" s="147"/>
      <c r="L32" s="365" t="str">
        <f t="shared" si="1"/>
        <v/>
      </c>
      <c r="M32" s="366" t="str">
        <f t="shared" si="2"/>
        <v/>
      </c>
      <c r="N32" s="216"/>
      <c r="O32" s="217" t="str">
        <f t="shared" si="3"/>
        <v/>
      </c>
      <c r="P32" s="677">
        <f t="shared" si="4"/>
        <v>40</v>
      </c>
      <c r="Q32" s="807" t="str">
        <f t="shared" si="5"/>
        <v>--</v>
      </c>
      <c r="R32" s="184" t="str">
        <f t="shared" si="6"/>
        <v>--</v>
      </c>
      <c r="S32" s="359" t="str">
        <f t="shared" si="7"/>
        <v>--</v>
      </c>
      <c r="T32" s="360" t="str">
        <f t="shared" si="8"/>
        <v>--</v>
      </c>
      <c r="U32" s="217" t="str">
        <f t="shared" si="10"/>
        <v/>
      </c>
      <c r="V32" s="367" t="str">
        <f t="shared" si="9"/>
        <v/>
      </c>
      <c r="W32" s="6"/>
    </row>
    <row r="33" spans="2:23" s="5" customFormat="1" ht="17.1" customHeight="1">
      <c r="B33" s="50"/>
      <c r="C33" s="270"/>
      <c r="D33" s="270"/>
      <c r="E33" s="270"/>
      <c r="F33" s="362"/>
      <c r="G33" s="362"/>
      <c r="H33" s="363"/>
      <c r="I33" s="129">
        <f t="shared" si="0"/>
        <v>220.831</v>
      </c>
      <c r="J33" s="364"/>
      <c r="K33" s="147"/>
      <c r="L33" s="365" t="str">
        <f t="shared" si="1"/>
        <v/>
      </c>
      <c r="M33" s="366" t="str">
        <f t="shared" si="2"/>
        <v/>
      </c>
      <c r="N33" s="216"/>
      <c r="O33" s="217" t="str">
        <f t="shared" si="3"/>
        <v/>
      </c>
      <c r="P33" s="677">
        <f t="shared" si="4"/>
        <v>40</v>
      </c>
      <c r="Q33" s="807" t="str">
        <f t="shared" si="5"/>
        <v>--</v>
      </c>
      <c r="R33" s="184" t="str">
        <f t="shared" si="6"/>
        <v>--</v>
      </c>
      <c r="S33" s="359" t="str">
        <f t="shared" si="7"/>
        <v>--</v>
      </c>
      <c r="T33" s="360" t="str">
        <f t="shared" si="8"/>
        <v>--</v>
      </c>
      <c r="U33" s="217" t="str">
        <f t="shared" si="10"/>
        <v/>
      </c>
      <c r="V33" s="367" t="str">
        <f t="shared" si="9"/>
        <v/>
      </c>
      <c r="W33" s="6"/>
    </row>
    <row r="34" spans="2:23" s="5" customFormat="1" ht="17.1" customHeight="1">
      <c r="B34" s="50"/>
      <c r="C34" s="270"/>
      <c r="D34" s="270"/>
      <c r="E34" s="149"/>
      <c r="F34" s="362"/>
      <c r="G34" s="362"/>
      <c r="H34" s="363"/>
      <c r="I34" s="129">
        <f t="shared" si="0"/>
        <v>220.831</v>
      </c>
      <c r="J34" s="364"/>
      <c r="K34" s="147"/>
      <c r="L34" s="365" t="str">
        <f t="shared" si="1"/>
        <v/>
      </c>
      <c r="M34" s="366" t="str">
        <f t="shared" si="2"/>
        <v/>
      </c>
      <c r="N34" s="216"/>
      <c r="O34" s="217" t="str">
        <f t="shared" si="3"/>
        <v/>
      </c>
      <c r="P34" s="677">
        <f t="shared" si="4"/>
        <v>40</v>
      </c>
      <c r="Q34" s="807" t="str">
        <f t="shared" si="5"/>
        <v>--</v>
      </c>
      <c r="R34" s="184" t="str">
        <f t="shared" si="6"/>
        <v>--</v>
      </c>
      <c r="S34" s="359" t="str">
        <f t="shared" si="7"/>
        <v>--</v>
      </c>
      <c r="T34" s="360" t="str">
        <f t="shared" si="8"/>
        <v>--</v>
      </c>
      <c r="U34" s="217" t="str">
        <f t="shared" si="10"/>
        <v/>
      </c>
      <c r="V34" s="367" t="str">
        <f t="shared" si="9"/>
        <v/>
      </c>
      <c r="W34" s="6"/>
    </row>
    <row r="35" spans="2:23" s="5" customFormat="1" ht="17.1" customHeight="1">
      <c r="B35" s="50"/>
      <c r="C35" s="270"/>
      <c r="D35" s="270"/>
      <c r="E35" s="270"/>
      <c r="F35" s="362"/>
      <c r="G35" s="362"/>
      <c r="H35" s="363"/>
      <c r="I35" s="129">
        <f t="shared" si="0"/>
        <v>220.831</v>
      </c>
      <c r="J35" s="364"/>
      <c r="K35" s="147"/>
      <c r="L35" s="365" t="str">
        <f t="shared" si="1"/>
        <v/>
      </c>
      <c r="M35" s="366" t="str">
        <f t="shared" si="2"/>
        <v/>
      </c>
      <c r="N35" s="216"/>
      <c r="O35" s="217" t="str">
        <f t="shared" si="3"/>
        <v/>
      </c>
      <c r="P35" s="677">
        <f t="shared" si="4"/>
        <v>40</v>
      </c>
      <c r="Q35" s="807" t="str">
        <f t="shared" si="5"/>
        <v>--</v>
      </c>
      <c r="R35" s="184" t="str">
        <f t="shared" si="6"/>
        <v>--</v>
      </c>
      <c r="S35" s="359" t="str">
        <f t="shared" si="7"/>
        <v>--</v>
      </c>
      <c r="T35" s="360" t="str">
        <f t="shared" si="8"/>
        <v>--</v>
      </c>
      <c r="U35" s="217" t="str">
        <f t="shared" si="10"/>
        <v/>
      </c>
      <c r="V35" s="367" t="str">
        <f t="shared" si="9"/>
        <v/>
      </c>
      <c r="W35" s="6"/>
    </row>
    <row r="36" spans="2:23" s="5" customFormat="1" ht="17.1" customHeight="1">
      <c r="B36" s="50"/>
      <c r="C36" s="270"/>
      <c r="D36" s="270"/>
      <c r="E36" s="149"/>
      <c r="F36" s="362"/>
      <c r="G36" s="362"/>
      <c r="H36" s="363"/>
      <c r="I36" s="129">
        <f t="shared" si="0"/>
        <v>220.831</v>
      </c>
      <c r="J36" s="364"/>
      <c r="K36" s="147"/>
      <c r="L36" s="365" t="str">
        <f t="shared" si="1"/>
        <v/>
      </c>
      <c r="M36" s="366" t="str">
        <f t="shared" si="2"/>
        <v/>
      </c>
      <c r="N36" s="216"/>
      <c r="O36" s="217" t="str">
        <f t="shared" si="3"/>
        <v/>
      </c>
      <c r="P36" s="677">
        <f t="shared" si="4"/>
        <v>40</v>
      </c>
      <c r="Q36" s="807" t="str">
        <f t="shared" si="5"/>
        <v>--</v>
      </c>
      <c r="R36" s="184" t="str">
        <f t="shared" si="6"/>
        <v>--</v>
      </c>
      <c r="S36" s="359" t="str">
        <f t="shared" si="7"/>
        <v>--</v>
      </c>
      <c r="T36" s="360" t="str">
        <f t="shared" si="8"/>
        <v>--</v>
      </c>
      <c r="U36" s="217" t="str">
        <f t="shared" si="10"/>
        <v/>
      </c>
      <c r="V36" s="367" t="str">
        <f t="shared" si="9"/>
        <v/>
      </c>
      <c r="W36" s="6"/>
    </row>
    <row r="37" spans="2:23" s="5" customFormat="1" ht="17.1" customHeight="1">
      <c r="B37" s="50"/>
      <c r="C37" s="270"/>
      <c r="D37" s="270"/>
      <c r="E37" s="270"/>
      <c r="F37" s="362"/>
      <c r="G37" s="362"/>
      <c r="H37" s="363"/>
      <c r="I37" s="129">
        <f t="shared" si="0"/>
        <v>220.831</v>
      </c>
      <c r="J37" s="364"/>
      <c r="K37" s="147"/>
      <c r="L37" s="365" t="str">
        <f t="shared" si="1"/>
        <v/>
      </c>
      <c r="M37" s="366" t="str">
        <f t="shared" si="2"/>
        <v/>
      </c>
      <c r="N37" s="216"/>
      <c r="O37" s="217" t="str">
        <f t="shared" si="3"/>
        <v/>
      </c>
      <c r="P37" s="677">
        <f t="shared" si="4"/>
        <v>40</v>
      </c>
      <c r="Q37" s="807" t="str">
        <f t="shared" si="5"/>
        <v>--</v>
      </c>
      <c r="R37" s="184" t="str">
        <f t="shared" si="6"/>
        <v>--</v>
      </c>
      <c r="S37" s="359" t="str">
        <f t="shared" si="7"/>
        <v>--</v>
      </c>
      <c r="T37" s="360" t="str">
        <f t="shared" si="8"/>
        <v>--</v>
      </c>
      <c r="U37" s="217" t="str">
        <f t="shared" si="10"/>
        <v/>
      </c>
      <c r="V37" s="367" t="str">
        <f t="shared" si="9"/>
        <v/>
      </c>
      <c r="W37" s="6"/>
    </row>
    <row r="38" spans="2:23" s="5" customFormat="1" ht="17.1" customHeight="1">
      <c r="B38" s="50"/>
      <c r="C38" s="270"/>
      <c r="D38" s="270"/>
      <c r="E38" s="149"/>
      <c r="F38" s="362"/>
      <c r="G38" s="362"/>
      <c r="H38" s="363"/>
      <c r="I38" s="129">
        <f t="shared" si="0"/>
        <v>220.831</v>
      </c>
      <c r="J38" s="364"/>
      <c r="K38" s="147"/>
      <c r="L38" s="365" t="str">
        <f t="shared" si="1"/>
        <v/>
      </c>
      <c r="M38" s="366" t="str">
        <f t="shared" si="2"/>
        <v/>
      </c>
      <c r="N38" s="216"/>
      <c r="O38" s="217" t="str">
        <f t="shared" si="3"/>
        <v/>
      </c>
      <c r="P38" s="677">
        <f t="shared" si="4"/>
        <v>40</v>
      </c>
      <c r="Q38" s="807" t="str">
        <f t="shared" si="5"/>
        <v>--</v>
      </c>
      <c r="R38" s="184" t="str">
        <f t="shared" si="6"/>
        <v>--</v>
      </c>
      <c r="S38" s="359" t="str">
        <f t="shared" si="7"/>
        <v>--</v>
      </c>
      <c r="T38" s="360" t="str">
        <f t="shared" si="8"/>
        <v>--</v>
      </c>
      <c r="U38" s="217" t="str">
        <f t="shared" si="10"/>
        <v/>
      </c>
      <c r="V38" s="367" t="str">
        <f t="shared" si="9"/>
        <v/>
      </c>
      <c r="W38" s="6"/>
    </row>
    <row r="39" spans="2:23" s="5" customFormat="1" ht="17.1" customHeight="1">
      <c r="B39" s="50"/>
      <c r="C39" s="270"/>
      <c r="D39" s="270"/>
      <c r="E39" s="270"/>
      <c r="F39" s="362"/>
      <c r="G39" s="362"/>
      <c r="H39" s="363"/>
      <c r="I39" s="129">
        <f t="shared" si="0"/>
        <v>220.831</v>
      </c>
      <c r="J39" s="364"/>
      <c r="K39" s="147"/>
      <c r="L39" s="365" t="str">
        <f t="shared" si="1"/>
        <v/>
      </c>
      <c r="M39" s="366" t="str">
        <f t="shared" si="2"/>
        <v/>
      </c>
      <c r="N39" s="216"/>
      <c r="O39" s="217" t="str">
        <f t="shared" si="3"/>
        <v/>
      </c>
      <c r="P39" s="677">
        <f t="shared" si="4"/>
        <v>40</v>
      </c>
      <c r="Q39" s="807" t="str">
        <f t="shared" si="5"/>
        <v>--</v>
      </c>
      <c r="R39" s="184" t="str">
        <f t="shared" si="6"/>
        <v>--</v>
      </c>
      <c r="S39" s="359" t="str">
        <f t="shared" si="7"/>
        <v>--</v>
      </c>
      <c r="T39" s="360" t="str">
        <f t="shared" si="8"/>
        <v>--</v>
      </c>
      <c r="U39" s="217" t="str">
        <f t="shared" si="10"/>
        <v/>
      </c>
      <c r="V39" s="367" t="str">
        <f t="shared" si="9"/>
        <v/>
      </c>
      <c r="W39" s="6"/>
    </row>
    <row r="40" spans="2:23" s="5" customFormat="1" ht="17.1" customHeight="1">
      <c r="B40" s="50"/>
      <c r="C40" s="270"/>
      <c r="D40" s="270"/>
      <c r="E40" s="149"/>
      <c r="F40" s="362"/>
      <c r="G40" s="362"/>
      <c r="H40" s="363"/>
      <c r="I40" s="129">
        <f t="shared" si="0"/>
        <v>220.831</v>
      </c>
      <c r="J40" s="364"/>
      <c r="K40" s="147"/>
      <c r="L40" s="365" t="str">
        <f t="shared" si="1"/>
        <v/>
      </c>
      <c r="M40" s="366" t="str">
        <f t="shared" si="2"/>
        <v/>
      </c>
      <c r="N40" s="216"/>
      <c r="O40" s="217" t="str">
        <f t="shared" si="3"/>
        <v/>
      </c>
      <c r="P40" s="677">
        <f t="shared" si="4"/>
        <v>40</v>
      </c>
      <c r="Q40" s="807" t="str">
        <f t="shared" si="5"/>
        <v>--</v>
      </c>
      <c r="R40" s="184" t="str">
        <f t="shared" si="6"/>
        <v>--</v>
      </c>
      <c r="S40" s="359" t="str">
        <f t="shared" si="7"/>
        <v>--</v>
      </c>
      <c r="T40" s="360" t="str">
        <f t="shared" si="8"/>
        <v>--</v>
      </c>
      <c r="U40" s="217" t="str">
        <f t="shared" si="10"/>
        <v/>
      </c>
      <c r="V40" s="367" t="str">
        <f t="shared" si="9"/>
        <v/>
      </c>
      <c r="W40" s="6"/>
    </row>
    <row r="41" spans="2:23" s="5" customFormat="1" ht="17.1" customHeight="1">
      <c r="B41" s="50"/>
      <c r="C41" s="270"/>
      <c r="D41" s="270"/>
      <c r="E41" s="270"/>
      <c r="F41" s="362"/>
      <c r="G41" s="362"/>
      <c r="H41" s="363"/>
      <c r="I41" s="129">
        <f t="shared" si="0"/>
        <v>220.831</v>
      </c>
      <c r="J41" s="364"/>
      <c r="K41" s="147"/>
      <c r="L41" s="365" t="str">
        <f t="shared" si="1"/>
        <v/>
      </c>
      <c r="M41" s="366" t="str">
        <f t="shared" si="2"/>
        <v/>
      </c>
      <c r="N41" s="216"/>
      <c r="O41" s="217" t="str">
        <f t="shared" si="3"/>
        <v/>
      </c>
      <c r="P41" s="677">
        <f t="shared" si="4"/>
        <v>40</v>
      </c>
      <c r="Q41" s="807" t="str">
        <f t="shared" si="5"/>
        <v>--</v>
      </c>
      <c r="R41" s="184" t="str">
        <f t="shared" si="6"/>
        <v>--</v>
      </c>
      <c r="S41" s="359" t="str">
        <f t="shared" si="7"/>
        <v>--</v>
      </c>
      <c r="T41" s="360" t="str">
        <f t="shared" si="8"/>
        <v>--</v>
      </c>
      <c r="U41" s="217" t="str">
        <f t="shared" si="10"/>
        <v/>
      </c>
      <c r="V41" s="367" t="str">
        <f t="shared" si="9"/>
        <v/>
      </c>
      <c r="W41" s="6"/>
    </row>
    <row r="42" spans="2:23" s="5" customFormat="1" ht="17.1" customHeight="1">
      <c r="B42" s="50"/>
      <c r="C42" s="270"/>
      <c r="D42" s="270"/>
      <c r="E42" s="149"/>
      <c r="F42" s="362"/>
      <c r="G42" s="362"/>
      <c r="H42" s="363"/>
      <c r="I42" s="129">
        <f t="shared" si="0"/>
        <v>220.831</v>
      </c>
      <c r="J42" s="364"/>
      <c r="K42" s="147"/>
      <c r="L42" s="365" t="str">
        <f t="shared" si="1"/>
        <v/>
      </c>
      <c r="M42" s="366" t="str">
        <f t="shared" si="2"/>
        <v/>
      </c>
      <c r="N42" s="216"/>
      <c r="O42" s="217" t="str">
        <f t="shared" si="3"/>
        <v/>
      </c>
      <c r="P42" s="677">
        <f t="shared" si="4"/>
        <v>40</v>
      </c>
      <c r="Q42" s="807" t="str">
        <f t="shared" si="5"/>
        <v>--</v>
      </c>
      <c r="R42" s="184" t="str">
        <f t="shared" si="6"/>
        <v>--</v>
      </c>
      <c r="S42" s="359" t="str">
        <f t="shared" si="7"/>
        <v>--</v>
      </c>
      <c r="T42" s="360" t="str">
        <f t="shared" si="8"/>
        <v>--</v>
      </c>
      <c r="U42" s="217" t="str">
        <f t="shared" si="10"/>
        <v/>
      </c>
      <c r="V42" s="367" t="str">
        <f t="shared" si="9"/>
        <v/>
      </c>
      <c r="W42" s="6"/>
    </row>
    <row r="43" spans="2:23" s="5" customFormat="1" ht="17.1" customHeight="1">
      <c r="B43" s="50"/>
      <c r="C43" s="270"/>
      <c r="D43" s="270"/>
      <c r="E43" s="270"/>
      <c r="F43" s="362"/>
      <c r="G43" s="362"/>
      <c r="H43" s="363"/>
      <c r="I43" s="129">
        <f t="shared" si="0"/>
        <v>220.831</v>
      </c>
      <c r="J43" s="364"/>
      <c r="K43" s="147"/>
      <c r="L43" s="365" t="str">
        <f t="shared" si="1"/>
        <v/>
      </c>
      <c r="M43" s="366" t="str">
        <f t="shared" si="2"/>
        <v/>
      </c>
      <c r="N43" s="216"/>
      <c r="O43" s="217" t="str">
        <f t="shared" si="3"/>
        <v/>
      </c>
      <c r="P43" s="677">
        <f t="shared" si="4"/>
        <v>40</v>
      </c>
      <c r="Q43" s="807" t="str">
        <f t="shared" si="5"/>
        <v>--</v>
      </c>
      <c r="R43" s="184" t="str">
        <f t="shared" si="6"/>
        <v>--</v>
      </c>
      <c r="S43" s="359" t="str">
        <f t="shared" si="7"/>
        <v>--</v>
      </c>
      <c r="T43" s="360" t="str">
        <f t="shared" si="8"/>
        <v>--</v>
      </c>
      <c r="U43" s="217" t="str">
        <f t="shared" si="10"/>
        <v/>
      </c>
      <c r="V43" s="367" t="str">
        <f t="shared" si="9"/>
        <v/>
      </c>
      <c r="W43" s="6"/>
    </row>
    <row r="44" spans="2:23" s="5" customFormat="1" ht="17.1" customHeight="1" thickBot="1">
      <c r="B44" s="50"/>
      <c r="C44" s="224"/>
      <c r="D44" s="224"/>
      <c r="E44" s="224"/>
      <c r="F44" s="224"/>
      <c r="G44" s="224"/>
      <c r="H44" s="224"/>
      <c r="I44" s="130"/>
      <c r="J44" s="368"/>
      <c r="K44" s="368"/>
      <c r="L44" s="369"/>
      <c r="M44" s="369"/>
      <c r="N44" s="368"/>
      <c r="O44" s="148"/>
      <c r="P44" s="370"/>
      <c r="Q44" s="371"/>
      <c r="R44" s="372"/>
      <c r="S44" s="373"/>
      <c r="T44" s="154"/>
      <c r="U44" s="148"/>
      <c r="V44" s="374"/>
      <c r="W44" s="6"/>
    </row>
    <row r="45" spans="2:23" s="5" customFormat="1" ht="17.1" customHeight="1" thickBot="1" thickTop="1">
      <c r="B45" s="50"/>
      <c r="C45" s="126" t="s">
        <v>25</v>
      </c>
      <c r="D45" s="73" t="s">
        <v>369</v>
      </c>
      <c r="E45" s="126"/>
      <c r="F45" s="127"/>
      <c r="G45"/>
      <c r="H45" s="4"/>
      <c r="I45" s="4"/>
      <c r="J45" s="4"/>
      <c r="K45" s="4"/>
      <c r="L45" s="4"/>
      <c r="M45" s="4"/>
      <c r="N45" s="4"/>
      <c r="O45" s="4"/>
      <c r="P45" s="4"/>
      <c r="Q45" s="375">
        <f>SUM(Q22:Q44)</f>
        <v>35893.84016000001</v>
      </c>
      <c r="R45" s="376">
        <f>SUM(R22:R44)</f>
        <v>0</v>
      </c>
      <c r="S45" s="377">
        <f>SUM(S22:S44)</f>
        <v>0</v>
      </c>
      <c r="T45" s="378">
        <f>SUM(T22:T44)</f>
        <v>0</v>
      </c>
      <c r="U45" s="379"/>
      <c r="V45" s="100">
        <f>ROUND(SUM(V22:V44),2)</f>
        <v>292703.95</v>
      </c>
      <c r="W45" s="6"/>
    </row>
    <row r="46" spans="2:23" s="5" customFormat="1" ht="17.1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23:25" ht="17.1" customHeight="1" thickTop="1">
      <c r="W47" s="168"/>
      <c r="X47" s="168"/>
      <c r="Y47" s="168"/>
    </row>
    <row r="48" spans="23:25" ht="17.1" customHeight="1">
      <c r="W48" s="168"/>
      <c r="X48" s="168"/>
      <c r="Y48" s="168"/>
    </row>
    <row r="49" spans="23:25" ht="17.1" customHeight="1">
      <c r="W49" s="168"/>
      <c r="X49" s="168"/>
      <c r="Y49" s="168"/>
    </row>
    <row r="50" spans="23:25" ht="17.1" customHeight="1">
      <c r="W50" s="168"/>
      <c r="X50" s="168"/>
      <c r="Y50" s="168"/>
    </row>
    <row r="51" spans="23:25" ht="17.1" customHeight="1">
      <c r="W51" s="168"/>
      <c r="X51" s="168"/>
      <c r="Y51" s="168"/>
    </row>
    <row r="52" spans="6:25" ht="17.1" customHeight="1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</row>
    <row r="53" spans="6:25" ht="17.1" customHeight="1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</row>
    <row r="54" spans="6:25" ht="17.1" customHeight="1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</row>
    <row r="55" spans="6:25" ht="17.1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</row>
    <row r="56" spans="6:25" ht="17.1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</row>
    <row r="57" spans="6:25" ht="17.1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</row>
    <row r="58" spans="6:25" ht="17.1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</row>
    <row r="59" spans="6:25" ht="17.1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</row>
    <row r="60" spans="6:25" ht="17.1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</row>
    <row r="61" spans="6:25" ht="17.1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</row>
    <row r="62" spans="6:25" ht="17.1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</row>
    <row r="63" spans="6:25" ht="17.1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</row>
    <row r="64" spans="6:25" ht="17.1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</row>
    <row r="65" spans="6:25" ht="17.1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</row>
    <row r="66" spans="6:25" ht="17.1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</row>
    <row r="67" spans="6:25" ht="17.1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</row>
    <row r="68" spans="6:25" ht="17.1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</row>
    <row r="69" spans="6:25" ht="17.1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</row>
    <row r="70" spans="6:25" ht="17.1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</row>
    <row r="71" spans="6:25" ht="17.1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</row>
    <row r="72" spans="6:25" ht="17.1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</row>
    <row r="73" spans="6:25" ht="17.1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</row>
    <row r="74" spans="6:25" ht="17.1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</row>
    <row r="75" spans="6:25" ht="17.1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</row>
    <row r="76" spans="6:25" ht="17.1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</row>
    <row r="77" spans="6:25" ht="17.1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</row>
    <row r="78" spans="6:25" ht="17.1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</row>
    <row r="79" spans="6:25" ht="17.1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</row>
    <row r="80" spans="6:25" ht="17.1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</row>
    <row r="81" spans="6:25" ht="17.1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</row>
    <row r="82" spans="6:25" ht="17.1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</row>
    <row r="83" spans="6:25" ht="17.1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</row>
    <row r="84" spans="6:25" ht="17.1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</row>
    <row r="85" spans="6:25" ht="17.1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</row>
    <row r="86" spans="6:25" ht="17.1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</row>
    <row r="87" spans="6:25" ht="17.1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</row>
    <row r="88" spans="6:25" ht="17.1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</row>
    <row r="89" spans="6:25" ht="17.1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</row>
    <row r="90" spans="6:25" ht="17.1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</row>
    <row r="91" spans="6:25" ht="17.1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</row>
    <row r="92" spans="6:25" ht="17.1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</row>
    <row r="93" spans="6:25" ht="17.1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</row>
    <row r="94" spans="6:25" ht="17.1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</row>
    <row r="95" spans="6:25" ht="17.1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</row>
    <row r="96" spans="6:25" ht="17.1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</row>
    <row r="97" spans="6:25" ht="17.1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</row>
    <row r="98" spans="6:25" ht="17.1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</row>
    <row r="99" spans="6:25" ht="17.1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</row>
    <row r="100" spans="6:25" ht="17.1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</row>
    <row r="101" spans="6:25" ht="17.1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</row>
    <row r="102" spans="6:25" ht="17.1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</row>
    <row r="103" spans="6:25" ht="17.1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</row>
    <row r="104" spans="6:25" ht="17.1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</row>
    <row r="105" spans="6:25" ht="17.1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</row>
    <row r="106" spans="6:25" ht="17.1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</row>
    <row r="107" spans="6:25" ht="17.1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</row>
    <row r="108" spans="6:25" ht="17.1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</row>
    <row r="109" spans="6:25" ht="17.1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</row>
    <row r="110" spans="6:25" ht="17.1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</row>
    <row r="111" spans="6:25" ht="17.1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</row>
    <row r="112" spans="6:25" ht="17.1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</row>
    <row r="113" spans="6:25" ht="17.1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</row>
    <row r="114" spans="6:25" ht="17.1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</row>
    <row r="115" spans="6:25" ht="17.1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</row>
    <row r="116" spans="6:25" ht="17.1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</row>
    <row r="117" spans="6:25" ht="17.1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</row>
    <row r="118" spans="6:25" ht="17.1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</row>
    <row r="119" spans="6:25" ht="17.1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</row>
    <row r="120" spans="6:25" ht="17.1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</row>
    <row r="121" spans="6:25" ht="17.1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</row>
    <row r="122" spans="6:25" ht="17.1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</row>
    <row r="123" spans="6:25" ht="17.1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</row>
    <row r="124" spans="6:25" ht="17.1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</row>
    <row r="125" spans="6:25" ht="17.1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</row>
    <row r="126" spans="6:25" ht="17.1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</row>
    <row r="127" spans="6:25" ht="17.1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</row>
    <row r="128" spans="6:25" ht="17.1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</row>
    <row r="129" spans="6:25" ht="17.1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</row>
    <row r="130" spans="6:25" ht="17.1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</row>
    <row r="131" spans="6:25" ht="17.1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</row>
    <row r="132" spans="6:25" ht="17.1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</row>
    <row r="133" spans="6:25" ht="17.1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</row>
    <row r="134" spans="6:25" ht="17.1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</row>
    <row r="135" spans="6:25" ht="17.1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</row>
    <row r="136" spans="6:25" ht="17.1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</row>
    <row r="137" spans="6:25" ht="17.1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</row>
    <row r="138" spans="6:25" ht="17.1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</row>
    <row r="139" spans="6:25" ht="17.1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</row>
    <row r="140" spans="6:25" ht="17.1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</row>
    <row r="141" spans="6:25" ht="17.1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</row>
    <row r="142" spans="6:25" ht="17.1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</row>
    <row r="143" spans="6:25" ht="17.1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</row>
    <row r="144" spans="6:25" ht="17.1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</row>
    <row r="145" spans="6:25" ht="17.1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</row>
    <row r="146" spans="6:25" ht="17.1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</row>
    <row r="147" spans="6:25" ht="17.1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</row>
    <row r="148" spans="6:25" ht="17.1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</row>
    <row r="149" spans="6:25" ht="17.1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</row>
    <row r="150" spans="6:25" ht="17.1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</row>
    <row r="151" spans="6:25" ht="17.1" customHeight="1"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</row>
    <row r="152" spans="6:25" ht="17.1" customHeight="1"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</row>
    <row r="153" spans="6:25" ht="17.1" customHeight="1"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</row>
    <row r="154" spans="6:25" ht="17.1" customHeight="1"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</row>
    <row r="155" spans="6:25" ht="17.1" customHeight="1"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</row>
    <row r="156" spans="6:25" ht="17.1" customHeight="1"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</row>
    <row r="157" spans="6:25" ht="17.1" customHeight="1"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</row>
    <row r="158" spans="6:25" ht="17.1" customHeight="1"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</row>
    <row r="159" spans="6:25" ht="17.1" customHeight="1"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2" r:id="rId5"/>
  <headerFooter alignWithMargins="0">
    <oddFooter>&amp;L&amp;"Times New Roman,Normal"&amp;8&amp;Z&amp;F</oddFooter>
  </headerFooter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4481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76200</xdr:colOff>
                    <xdr:row>44</xdr:row>
                    <xdr:rowOff>0</xdr:rowOff>
                  </from>
                  <to>
                    <xdr:col>2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7">
    <pageSetUpPr fitToPage="1"/>
  </sheetPr>
  <dimension ref="A1:Y159"/>
  <sheetViews>
    <sheetView zoomScale="85" zoomScaleNormal="85" workbookViewId="0" topLeftCell="A7">
      <selection activeCell="A48" sqref="A48"/>
    </sheetView>
  </sheetViews>
  <sheetFormatPr defaultColWidth="11.421875" defaultRowHeight="16.5" customHeight="1"/>
  <cols>
    <col min="1" max="2" width="4.140625" style="1369" customWidth="1"/>
    <col min="3" max="3" width="5.421875" style="1369" customWidth="1"/>
    <col min="4" max="5" width="13.57421875" style="1369" customWidth="1"/>
    <col min="6" max="6" width="30.7109375" style="1369" customWidth="1"/>
    <col min="7" max="7" width="40.7109375" style="1369" customWidth="1"/>
    <col min="8" max="8" width="11.00390625" style="1369" customWidth="1"/>
    <col min="9" max="9" width="6.421875" style="1369" hidden="1" customWidth="1"/>
    <col min="10" max="10" width="16.28125" style="1369" customWidth="1"/>
    <col min="11" max="11" width="16.140625" style="1369" customWidth="1"/>
    <col min="12" max="14" width="9.7109375" style="1369" customWidth="1"/>
    <col min="15" max="15" width="6.421875" style="1369" customWidth="1"/>
    <col min="16" max="16" width="4.00390625" style="1369" hidden="1" customWidth="1"/>
    <col min="17" max="17" width="12.8515625" style="1369" hidden="1" customWidth="1"/>
    <col min="18" max="19" width="6.00390625" style="1369" hidden="1" customWidth="1"/>
    <col min="20" max="20" width="11.7109375" style="1369" hidden="1" customWidth="1"/>
    <col min="21" max="21" width="9.7109375" style="1369" customWidth="1"/>
    <col min="22" max="22" width="15.7109375" style="1369" customWidth="1"/>
    <col min="23" max="23" width="4.140625" style="1369" customWidth="1"/>
    <col min="24" max="256" width="11.421875" style="1369" customWidth="1"/>
    <col min="257" max="258" width="4.140625" style="1369" customWidth="1"/>
    <col min="259" max="259" width="5.421875" style="1369" customWidth="1"/>
    <col min="260" max="261" width="13.57421875" style="1369" customWidth="1"/>
    <col min="262" max="262" width="30.7109375" style="1369" customWidth="1"/>
    <col min="263" max="263" width="40.7109375" style="1369" customWidth="1"/>
    <col min="264" max="264" width="11.00390625" style="1369" customWidth="1"/>
    <col min="265" max="265" width="11.421875" style="1369" hidden="1" customWidth="1"/>
    <col min="266" max="266" width="16.28125" style="1369" customWidth="1"/>
    <col min="267" max="267" width="16.140625" style="1369" customWidth="1"/>
    <col min="268" max="270" width="9.7109375" style="1369" customWidth="1"/>
    <col min="271" max="271" width="6.421875" style="1369" customWidth="1"/>
    <col min="272" max="276" width="11.421875" style="1369" hidden="1" customWidth="1"/>
    <col min="277" max="277" width="9.7109375" style="1369" customWidth="1"/>
    <col min="278" max="278" width="15.7109375" style="1369" customWidth="1"/>
    <col min="279" max="279" width="4.140625" style="1369" customWidth="1"/>
    <col min="280" max="512" width="11.421875" style="1369" customWidth="1"/>
    <col min="513" max="514" width="4.140625" style="1369" customWidth="1"/>
    <col min="515" max="515" width="5.421875" style="1369" customWidth="1"/>
    <col min="516" max="517" width="13.57421875" style="1369" customWidth="1"/>
    <col min="518" max="518" width="30.7109375" style="1369" customWidth="1"/>
    <col min="519" max="519" width="40.7109375" style="1369" customWidth="1"/>
    <col min="520" max="520" width="11.00390625" style="1369" customWidth="1"/>
    <col min="521" max="521" width="11.421875" style="1369" hidden="1" customWidth="1"/>
    <col min="522" max="522" width="16.28125" style="1369" customWidth="1"/>
    <col min="523" max="523" width="16.140625" style="1369" customWidth="1"/>
    <col min="524" max="526" width="9.7109375" style="1369" customWidth="1"/>
    <col min="527" max="527" width="6.421875" style="1369" customWidth="1"/>
    <col min="528" max="532" width="11.421875" style="1369" hidden="1" customWidth="1"/>
    <col min="533" max="533" width="9.7109375" style="1369" customWidth="1"/>
    <col min="534" max="534" width="15.7109375" style="1369" customWidth="1"/>
    <col min="535" max="535" width="4.140625" style="1369" customWidth="1"/>
    <col min="536" max="768" width="11.421875" style="1369" customWidth="1"/>
    <col min="769" max="770" width="4.140625" style="1369" customWidth="1"/>
    <col min="771" max="771" width="5.421875" style="1369" customWidth="1"/>
    <col min="772" max="773" width="13.57421875" style="1369" customWidth="1"/>
    <col min="774" max="774" width="30.7109375" style="1369" customWidth="1"/>
    <col min="775" max="775" width="40.7109375" style="1369" customWidth="1"/>
    <col min="776" max="776" width="11.00390625" style="1369" customWidth="1"/>
    <col min="777" max="777" width="11.421875" style="1369" hidden="1" customWidth="1"/>
    <col min="778" max="778" width="16.28125" style="1369" customWidth="1"/>
    <col min="779" max="779" width="16.140625" style="1369" customWidth="1"/>
    <col min="780" max="782" width="9.7109375" style="1369" customWidth="1"/>
    <col min="783" max="783" width="6.421875" style="1369" customWidth="1"/>
    <col min="784" max="788" width="11.421875" style="1369" hidden="1" customWidth="1"/>
    <col min="789" max="789" width="9.7109375" style="1369" customWidth="1"/>
    <col min="790" max="790" width="15.7109375" style="1369" customWidth="1"/>
    <col min="791" max="791" width="4.140625" style="1369" customWidth="1"/>
    <col min="792" max="1024" width="11.421875" style="1369" customWidth="1"/>
    <col min="1025" max="1026" width="4.140625" style="1369" customWidth="1"/>
    <col min="1027" max="1027" width="5.421875" style="1369" customWidth="1"/>
    <col min="1028" max="1029" width="13.57421875" style="1369" customWidth="1"/>
    <col min="1030" max="1030" width="30.7109375" style="1369" customWidth="1"/>
    <col min="1031" max="1031" width="40.7109375" style="1369" customWidth="1"/>
    <col min="1032" max="1032" width="11.00390625" style="1369" customWidth="1"/>
    <col min="1033" max="1033" width="11.421875" style="1369" hidden="1" customWidth="1"/>
    <col min="1034" max="1034" width="16.28125" style="1369" customWidth="1"/>
    <col min="1035" max="1035" width="16.140625" style="1369" customWidth="1"/>
    <col min="1036" max="1038" width="9.7109375" style="1369" customWidth="1"/>
    <col min="1039" max="1039" width="6.421875" style="1369" customWidth="1"/>
    <col min="1040" max="1044" width="11.421875" style="1369" hidden="1" customWidth="1"/>
    <col min="1045" max="1045" width="9.7109375" style="1369" customWidth="1"/>
    <col min="1046" max="1046" width="15.7109375" style="1369" customWidth="1"/>
    <col min="1047" max="1047" width="4.140625" style="1369" customWidth="1"/>
    <col min="1048" max="1280" width="11.421875" style="1369" customWidth="1"/>
    <col min="1281" max="1282" width="4.140625" style="1369" customWidth="1"/>
    <col min="1283" max="1283" width="5.421875" style="1369" customWidth="1"/>
    <col min="1284" max="1285" width="13.57421875" style="1369" customWidth="1"/>
    <col min="1286" max="1286" width="30.7109375" style="1369" customWidth="1"/>
    <col min="1287" max="1287" width="40.7109375" style="1369" customWidth="1"/>
    <col min="1288" max="1288" width="11.00390625" style="1369" customWidth="1"/>
    <col min="1289" max="1289" width="11.421875" style="1369" hidden="1" customWidth="1"/>
    <col min="1290" max="1290" width="16.28125" style="1369" customWidth="1"/>
    <col min="1291" max="1291" width="16.140625" style="1369" customWidth="1"/>
    <col min="1292" max="1294" width="9.7109375" style="1369" customWidth="1"/>
    <col min="1295" max="1295" width="6.421875" style="1369" customWidth="1"/>
    <col min="1296" max="1300" width="11.421875" style="1369" hidden="1" customWidth="1"/>
    <col min="1301" max="1301" width="9.7109375" style="1369" customWidth="1"/>
    <col min="1302" max="1302" width="15.7109375" style="1369" customWidth="1"/>
    <col min="1303" max="1303" width="4.140625" style="1369" customWidth="1"/>
    <col min="1304" max="1536" width="11.421875" style="1369" customWidth="1"/>
    <col min="1537" max="1538" width="4.140625" style="1369" customWidth="1"/>
    <col min="1539" max="1539" width="5.421875" style="1369" customWidth="1"/>
    <col min="1540" max="1541" width="13.57421875" style="1369" customWidth="1"/>
    <col min="1542" max="1542" width="30.7109375" style="1369" customWidth="1"/>
    <col min="1543" max="1543" width="40.7109375" style="1369" customWidth="1"/>
    <col min="1544" max="1544" width="11.00390625" style="1369" customWidth="1"/>
    <col min="1545" max="1545" width="11.421875" style="1369" hidden="1" customWidth="1"/>
    <col min="1546" max="1546" width="16.28125" style="1369" customWidth="1"/>
    <col min="1547" max="1547" width="16.140625" style="1369" customWidth="1"/>
    <col min="1548" max="1550" width="9.7109375" style="1369" customWidth="1"/>
    <col min="1551" max="1551" width="6.421875" style="1369" customWidth="1"/>
    <col min="1552" max="1556" width="11.421875" style="1369" hidden="1" customWidth="1"/>
    <col min="1557" max="1557" width="9.7109375" style="1369" customWidth="1"/>
    <col min="1558" max="1558" width="15.7109375" style="1369" customWidth="1"/>
    <col min="1559" max="1559" width="4.140625" style="1369" customWidth="1"/>
    <col min="1560" max="1792" width="11.421875" style="1369" customWidth="1"/>
    <col min="1793" max="1794" width="4.140625" style="1369" customWidth="1"/>
    <col min="1795" max="1795" width="5.421875" style="1369" customWidth="1"/>
    <col min="1796" max="1797" width="13.57421875" style="1369" customWidth="1"/>
    <col min="1798" max="1798" width="30.7109375" style="1369" customWidth="1"/>
    <col min="1799" max="1799" width="40.7109375" style="1369" customWidth="1"/>
    <col min="1800" max="1800" width="11.00390625" style="1369" customWidth="1"/>
    <col min="1801" max="1801" width="11.421875" style="1369" hidden="1" customWidth="1"/>
    <col min="1802" max="1802" width="16.28125" style="1369" customWidth="1"/>
    <col min="1803" max="1803" width="16.140625" style="1369" customWidth="1"/>
    <col min="1804" max="1806" width="9.7109375" style="1369" customWidth="1"/>
    <col min="1807" max="1807" width="6.421875" style="1369" customWidth="1"/>
    <col min="1808" max="1812" width="11.421875" style="1369" hidden="1" customWidth="1"/>
    <col min="1813" max="1813" width="9.7109375" style="1369" customWidth="1"/>
    <col min="1814" max="1814" width="15.7109375" style="1369" customWidth="1"/>
    <col min="1815" max="1815" width="4.140625" style="1369" customWidth="1"/>
    <col min="1816" max="2048" width="11.421875" style="1369" customWidth="1"/>
    <col min="2049" max="2050" width="4.140625" style="1369" customWidth="1"/>
    <col min="2051" max="2051" width="5.421875" style="1369" customWidth="1"/>
    <col min="2052" max="2053" width="13.57421875" style="1369" customWidth="1"/>
    <col min="2054" max="2054" width="30.7109375" style="1369" customWidth="1"/>
    <col min="2055" max="2055" width="40.7109375" style="1369" customWidth="1"/>
    <col min="2056" max="2056" width="11.00390625" style="1369" customWidth="1"/>
    <col min="2057" max="2057" width="11.421875" style="1369" hidden="1" customWidth="1"/>
    <col min="2058" max="2058" width="16.28125" style="1369" customWidth="1"/>
    <col min="2059" max="2059" width="16.140625" style="1369" customWidth="1"/>
    <col min="2060" max="2062" width="9.7109375" style="1369" customWidth="1"/>
    <col min="2063" max="2063" width="6.421875" style="1369" customWidth="1"/>
    <col min="2064" max="2068" width="11.421875" style="1369" hidden="1" customWidth="1"/>
    <col min="2069" max="2069" width="9.7109375" style="1369" customWidth="1"/>
    <col min="2070" max="2070" width="15.7109375" style="1369" customWidth="1"/>
    <col min="2071" max="2071" width="4.140625" style="1369" customWidth="1"/>
    <col min="2072" max="2304" width="11.421875" style="1369" customWidth="1"/>
    <col min="2305" max="2306" width="4.140625" style="1369" customWidth="1"/>
    <col min="2307" max="2307" width="5.421875" style="1369" customWidth="1"/>
    <col min="2308" max="2309" width="13.57421875" style="1369" customWidth="1"/>
    <col min="2310" max="2310" width="30.7109375" style="1369" customWidth="1"/>
    <col min="2311" max="2311" width="40.7109375" style="1369" customWidth="1"/>
    <col min="2312" max="2312" width="11.00390625" style="1369" customWidth="1"/>
    <col min="2313" max="2313" width="11.421875" style="1369" hidden="1" customWidth="1"/>
    <col min="2314" max="2314" width="16.28125" style="1369" customWidth="1"/>
    <col min="2315" max="2315" width="16.140625" style="1369" customWidth="1"/>
    <col min="2316" max="2318" width="9.7109375" style="1369" customWidth="1"/>
    <col min="2319" max="2319" width="6.421875" style="1369" customWidth="1"/>
    <col min="2320" max="2324" width="11.421875" style="1369" hidden="1" customWidth="1"/>
    <col min="2325" max="2325" width="9.7109375" style="1369" customWidth="1"/>
    <col min="2326" max="2326" width="15.7109375" style="1369" customWidth="1"/>
    <col min="2327" max="2327" width="4.140625" style="1369" customWidth="1"/>
    <col min="2328" max="2560" width="11.421875" style="1369" customWidth="1"/>
    <col min="2561" max="2562" width="4.140625" style="1369" customWidth="1"/>
    <col min="2563" max="2563" width="5.421875" style="1369" customWidth="1"/>
    <col min="2564" max="2565" width="13.57421875" style="1369" customWidth="1"/>
    <col min="2566" max="2566" width="30.7109375" style="1369" customWidth="1"/>
    <col min="2567" max="2567" width="40.7109375" style="1369" customWidth="1"/>
    <col min="2568" max="2568" width="11.00390625" style="1369" customWidth="1"/>
    <col min="2569" max="2569" width="11.421875" style="1369" hidden="1" customWidth="1"/>
    <col min="2570" max="2570" width="16.28125" style="1369" customWidth="1"/>
    <col min="2571" max="2571" width="16.140625" style="1369" customWidth="1"/>
    <col min="2572" max="2574" width="9.7109375" style="1369" customWidth="1"/>
    <col min="2575" max="2575" width="6.421875" style="1369" customWidth="1"/>
    <col min="2576" max="2580" width="11.421875" style="1369" hidden="1" customWidth="1"/>
    <col min="2581" max="2581" width="9.7109375" style="1369" customWidth="1"/>
    <col min="2582" max="2582" width="15.7109375" style="1369" customWidth="1"/>
    <col min="2583" max="2583" width="4.140625" style="1369" customWidth="1"/>
    <col min="2584" max="2816" width="11.421875" style="1369" customWidth="1"/>
    <col min="2817" max="2818" width="4.140625" style="1369" customWidth="1"/>
    <col min="2819" max="2819" width="5.421875" style="1369" customWidth="1"/>
    <col min="2820" max="2821" width="13.57421875" style="1369" customWidth="1"/>
    <col min="2822" max="2822" width="30.7109375" style="1369" customWidth="1"/>
    <col min="2823" max="2823" width="40.7109375" style="1369" customWidth="1"/>
    <col min="2824" max="2824" width="11.00390625" style="1369" customWidth="1"/>
    <col min="2825" max="2825" width="11.421875" style="1369" hidden="1" customWidth="1"/>
    <col min="2826" max="2826" width="16.28125" style="1369" customWidth="1"/>
    <col min="2827" max="2827" width="16.140625" style="1369" customWidth="1"/>
    <col min="2828" max="2830" width="9.7109375" style="1369" customWidth="1"/>
    <col min="2831" max="2831" width="6.421875" style="1369" customWidth="1"/>
    <col min="2832" max="2836" width="11.421875" style="1369" hidden="1" customWidth="1"/>
    <col min="2837" max="2837" width="9.7109375" style="1369" customWidth="1"/>
    <col min="2838" max="2838" width="15.7109375" style="1369" customWidth="1"/>
    <col min="2839" max="2839" width="4.140625" style="1369" customWidth="1"/>
    <col min="2840" max="3072" width="11.421875" style="1369" customWidth="1"/>
    <col min="3073" max="3074" width="4.140625" style="1369" customWidth="1"/>
    <col min="3075" max="3075" width="5.421875" style="1369" customWidth="1"/>
    <col min="3076" max="3077" width="13.57421875" style="1369" customWidth="1"/>
    <col min="3078" max="3078" width="30.7109375" style="1369" customWidth="1"/>
    <col min="3079" max="3079" width="40.7109375" style="1369" customWidth="1"/>
    <col min="3080" max="3080" width="11.00390625" style="1369" customWidth="1"/>
    <col min="3081" max="3081" width="11.421875" style="1369" hidden="1" customWidth="1"/>
    <col min="3082" max="3082" width="16.28125" style="1369" customWidth="1"/>
    <col min="3083" max="3083" width="16.140625" style="1369" customWidth="1"/>
    <col min="3084" max="3086" width="9.7109375" style="1369" customWidth="1"/>
    <col min="3087" max="3087" width="6.421875" style="1369" customWidth="1"/>
    <col min="3088" max="3092" width="11.421875" style="1369" hidden="1" customWidth="1"/>
    <col min="3093" max="3093" width="9.7109375" style="1369" customWidth="1"/>
    <col min="3094" max="3094" width="15.7109375" style="1369" customWidth="1"/>
    <col min="3095" max="3095" width="4.140625" style="1369" customWidth="1"/>
    <col min="3096" max="3328" width="11.421875" style="1369" customWidth="1"/>
    <col min="3329" max="3330" width="4.140625" style="1369" customWidth="1"/>
    <col min="3331" max="3331" width="5.421875" style="1369" customWidth="1"/>
    <col min="3332" max="3333" width="13.57421875" style="1369" customWidth="1"/>
    <col min="3334" max="3334" width="30.7109375" style="1369" customWidth="1"/>
    <col min="3335" max="3335" width="40.7109375" style="1369" customWidth="1"/>
    <col min="3336" max="3336" width="11.00390625" style="1369" customWidth="1"/>
    <col min="3337" max="3337" width="11.421875" style="1369" hidden="1" customWidth="1"/>
    <col min="3338" max="3338" width="16.28125" style="1369" customWidth="1"/>
    <col min="3339" max="3339" width="16.140625" style="1369" customWidth="1"/>
    <col min="3340" max="3342" width="9.7109375" style="1369" customWidth="1"/>
    <col min="3343" max="3343" width="6.421875" style="1369" customWidth="1"/>
    <col min="3344" max="3348" width="11.421875" style="1369" hidden="1" customWidth="1"/>
    <col min="3349" max="3349" width="9.7109375" style="1369" customWidth="1"/>
    <col min="3350" max="3350" width="15.7109375" style="1369" customWidth="1"/>
    <col min="3351" max="3351" width="4.140625" style="1369" customWidth="1"/>
    <col min="3352" max="3584" width="11.421875" style="1369" customWidth="1"/>
    <col min="3585" max="3586" width="4.140625" style="1369" customWidth="1"/>
    <col min="3587" max="3587" width="5.421875" style="1369" customWidth="1"/>
    <col min="3588" max="3589" width="13.57421875" style="1369" customWidth="1"/>
    <col min="3590" max="3590" width="30.7109375" style="1369" customWidth="1"/>
    <col min="3591" max="3591" width="40.7109375" style="1369" customWidth="1"/>
    <col min="3592" max="3592" width="11.00390625" style="1369" customWidth="1"/>
    <col min="3593" max="3593" width="11.421875" style="1369" hidden="1" customWidth="1"/>
    <col min="3594" max="3594" width="16.28125" style="1369" customWidth="1"/>
    <col min="3595" max="3595" width="16.140625" style="1369" customWidth="1"/>
    <col min="3596" max="3598" width="9.7109375" style="1369" customWidth="1"/>
    <col min="3599" max="3599" width="6.421875" style="1369" customWidth="1"/>
    <col min="3600" max="3604" width="11.421875" style="1369" hidden="1" customWidth="1"/>
    <col min="3605" max="3605" width="9.7109375" style="1369" customWidth="1"/>
    <col min="3606" max="3606" width="15.7109375" style="1369" customWidth="1"/>
    <col min="3607" max="3607" width="4.140625" style="1369" customWidth="1"/>
    <col min="3608" max="3840" width="11.421875" style="1369" customWidth="1"/>
    <col min="3841" max="3842" width="4.140625" style="1369" customWidth="1"/>
    <col min="3843" max="3843" width="5.421875" style="1369" customWidth="1"/>
    <col min="3844" max="3845" width="13.57421875" style="1369" customWidth="1"/>
    <col min="3846" max="3846" width="30.7109375" style="1369" customWidth="1"/>
    <col min="3847" max="3847" width="40.7109375" style="1369" customWidth="1"/>
    <col min="3848" max="3848" width="11.00390625" style="1369" customWidth="1"/>
    <col min="3849" max="3849" width="11.421875" style="1369" hidden="1" customWidth="1"/>
    <col min="3850" max="3850" width="16.28125" style="1369" customWidth="1"/>
    <col min="3851" max="3851" width="16.140625" style="1369" customWidth="1"/>
    <col min="3852" max="3854" width="9.7109375" style="1369" customWidth="1"/>
    <col min="3855" max="3855" width="6.421875" style="1369" customWidth="1"/>
    <col min="3856" max="3860" width="11.421875" style="1369" hidden="1" customWidth="1"/>
    <col min="3861" max="3861" width="9.7109375" style="1369" customWidth="1"/>
    <col min="3862" max="3862" width="15.7109375" style="1369" customWidth="1"/>
    <col min="3863" max="3863" width="4.140625" style="1369" customWidth="1"/>
    <col min="3864" max="4096" width="11.421875" style="1369" customWidth="1"/>
    <col min="4097" max="4098" width="4.140625" style="1369" customWidth="1"/>
    <col min="4099" max="4099" width="5.421875" style="1369" customWidth="1"/>
    <col min="4100" max="4101" width="13.57421875" style="1369" customWidth="1"/>
    <col min="4102" max="4102" width="30.7109375" style="1369" customWidth="1"/>
    <col min="4103" max="4103" width="40.7109375" style="1369" customWidth="1"/>
    <col min="4104" max="4104" width="11.00390625" style="1369" customWidth="1"/>
    <col min="4105" max="4105" width="11.421875" style="1369" hidden="1" customWidth="1"/>
    <col min="4106" max="4106" width="16.28125" style="1369" customWidth="1"/>
    <col min="4107" max="4107" width="16.140625" style="1369" customWidth="1"/>
    <col min="4108" max="4110" width="9.7109375" style="1369" customWidth="1"/>
    <col min="4111" max="4111" width="6.421875" style="1369" customWidth="1"/>
    <col min="4112" max="4116" width="11.421875" style="1369" hidden="1" customWidth="1"/>
    <col min="4117" max="4117" width="9.7109375" style="1369" customWidth="1"/>
    <col min="4118" max="4118" width="15.7109375" style="1369" customWidth="1"/>
    <col min="4119" max="4119" width="4.140625" style="1369" customWidth="1"/>
    <col min="4120" max="4352" width="11.421875" style="1369" customWidth="1"/>
    <col min="4353" max="4354" width="4.140625" style="1369" customWidth="1"/>
    <col min="4355" max="4355" width="5.421875" style="1369" customWidth="1"/>
    <col min="4356" max="4357" width="13.57421875" style="1369" customWidth="1"/>
    <col min="4358" max="4358" width="30.7109375" style="1369" customWidth="1"/>
    <col min="4359" max="4359" width="40.7109375" style="1369" customWidth="1"/>
    <col min="4360" max="4360" width="11.00390625" style="1369" customWidth="1"/>
    <col min="4361" max="4361" width="11.421875" style="1369" hidden="1" customWidth="1"/>
    <col min="4362" max="4362" width="16.28125" style="1369" customWidth="1"/>
    <col min="4363" max="4363" width="16.140625" style="1369" customWidth="1"/>
    <col min="4364" max="4366" width="9.7109375" style="1369" customWidth="1"/>
    <col min="4367" max="4367" width="6.421875" style="1369" customWidth="1"/>
    <col min="4368" max="4372" width="11.421875" style="1369" hidden="1" customWidth="1"/>
    <col min="4373" max="4373" width="9.7109375" style="1369" customWidth="1"/>
    <col min="4374" max="4374" width="15.7109375" style="1369" customWidth="1"/>
    <col min="4375" max="4375" width="4.140625" style="1369" customWidth="1"/>
    <col min="4376" max="4608" width="11.421875" style="1369" customWidth="1"/>
    <col min="4609" max="4610" width="4.140625" style="1369" customWidth="1"/>
    <col min="4611" max="4611" width="5.421875" style="1369" customWidth="1"/>
    <col min="4612" max="4613" width="13.57421875" style="1369" customWidth="1"/>
    <col min="4614" max="4614" width="30.7109375" style="1369" customWidth="1"/>
    <col min="4615" max="4615" width="40.7109375" style="1369" customWidth="1"/>
    <col min="4616" max="4616" width="11.00390625" style="1369" customWidth="1"/>
    <col min="4617" max="4617" width="11.421875" style="1369" hidden="1" customWidth="1"/>
    <col min="4618" max="4618" width="16.28125" style="1369" customWidth="1"/>
    <col min="4619" max="4619" width="16.140625" style="1369" customWidth="1"/>
    <col min="4620" max="4622" width="9.7109375" style="1369" customWidth="1"/>
    <col min="4623" max="4623" width="6.421875" style="1369" customWidth="1"/>
    <col min="4624" max="4628" width="11.421875" style="1369" hidden="1" customWidth="1"/>
    <col min="4629" max="4629" width="9.7109375" style="1369" customWidth="1"/>
    <col min="4630" max="4630" width="15.7109375" style="1369" customWidth="1"/>
    <col min="4631" max="4631" width="4.140625" style="1369" customWidth="1"/>
    <col min="4632" max="4864" width="11.421875" style="1369" customWidth="1"/>
    <col min="4865" max="4866" width="4.140625" style="1369" customWidth="1"/>
    <col min="4867" max="4867" width="5.421875" style="1369" customWidth="1"/>
    <col min="4868" max="4869" width="13.57421875" style="1369" customWidth="1"/>
    <col min="4870" max="4870" width="30.7109375" style="1369" customWidth="1"/>
    <col min="4871" max="4871" width="40.7109375" style="1369" customWidth="1"/>
    <col min="4872" max="4872" width="11.00390625" style="1369" customWidth="1"/>
    <col min="4873" max="4873" width="11.421875" style="1369" hidden="1" customWidth="1"/>
    <col min="4874" max="4874" width="16.28125" style="1369" customWidth="1"/>
    <col min="4875" max="4875" width="16.140625" style="1369" customWidth="1"/>
    <col min="4876" max="4878" width="9.7109375" style="1369" customWidth="1"/>
    <col min="4879" max="4879" width="6.421875" style="1369" customWidth="1"/>
    <col min="4880" max="4884" width="11.421875" style="1369" hidden="1" customWidth="1"/>
    <col min="4885" max="4885" width="9.7109375" style="1369" customWidth="1"/>
    <col min="4886" max="4886" width="15.7109375" style="1369" customWidth="1"/>
    <col min="4887" max="4887" width="4.140625" style="1369" customWidth="1"/>
    <col min="4888" max="5120" width="11.421875" style="1369" customWidth="1"/>
    <col min="5121" max="5122" width="4.140625" style="1369" customWidth="1"/>
    <col min="5123" max="5123" width="5.421875" style="1369" customWidth="1"/>
    <col min="5124" max="5125" width="13.57421875" style="1369" customWidth="1"/>
    <col min="5126" max="5126" width="30.7109375" style="1369" customWidth="1"/>
    <col min="5127" max="5127" width="40.7109375" style="1369" customWidth="1"/>
    <col min="5128" max="5128" width="11.00390625" style="1369" customWidth="1"/>
    <col min="5129" max="5129" width="11.421875" style="1369" hidden="1" customWidth="1"/>
    <col min="5130" max="5130" width="16.28125" style="1369" customWidth="1"/>
    <col min="5131" max="5131" width="16.140625" style="1369" customWidth="1"/>
    <col min="5132" max="5134" width="9.7109375" style="1369" customWidth="1"/>
    <col min="5135" max="5135" width="6.421875" style="1369" customWidth="1"/>
    <col min="5136" max="5140" width="11.421875" style="1369" hidden="1" customWidth="1"/>
    <col min="5141" max="5141" width="9.7109375" style="1369" customWidth="1"/>
    <col min="5142" max="5142" width="15.7109375" style="1369" customWidth="1"/>
    <col min="5143" max="5143" width="4.140625" style="1369" customWidth="1"/>
    <col min="5144" max="5376" width="11.421875" style="1369" customWidth="1"/>
    <col min="5377" max="5378" width="4.140625" style="1369" customWidth="1"/>
    <col min="5379" max="5379" width="5.421875" style="1369" customWidth="1"/>
    <col min="5380" max="5381" width="13.57421875" style="1369" customWidth="1"/>
    <col min="5382" max="5382" width="30.7109375" style="1369" customWidth="1"/>
    <col min="5383" max="5383" width="40.7109375" style="1369" customWidth="1"/>
    <col min="5384" max="5384" width="11.00390625" style="1369" customWidth="1"/>
    <col min="5385" max="5385" width="11.421875" style="1369" hidden="1" customWidth="1"/>
    <col min="5386" max="5386" width="16.28125" style="1369" customWidth="1"/>
    <col min="5387" max="5387" width="16.140625" style="1369" customWidth="1"/>
    <col min="5388" max="5390" width="9.7109375" style="1369" customWidth="1"/>
    <col min="5391" max="5391" width="6.421875" style="1369" customWidth="1"/>
    <col min="5392" max="5396" width="11.421875" style="1369" hidden="1" customWidth="1"/>
    <col min="5397" max="5397" width="9.7109375" style="1369" customWidth="1"/>
    <col min="5398" max="5398" width="15.7109375" style="1369" customWidth="1"/>
    <col min="5399" max="5399" width="4.140625" style="1369" customWidth="1"/>
    <col min="5400" max="5632" width="11.421875" style="1369" customWidth="1"/>
    <col min="5633" max="5634" width="4.140625" style="1369" customWidth="1"/>
    <col min="5635" max="5635" width="5.421875" style="1369" customWidth="1"/>
    <col min="5636" max="5637" width="13.57421875" style="1369" customWidth="1"/>
    <col min="5638" max="5638" width="30.7109375" style="1369" customWidth="1"/>
    <col min="5639" max="5639" width="40.7109375" style="1369" customWidth="1"/>
    <col min="5640" max="5640" width="11.00390625" style="1369" customWidth="1"/>
    <col min="5641" max="5641" width="11.421875" style="1369" hidden="1" customWidth="1"/>
    <col min="5642" max="5642" width="16.28125" style="1369" customWidth="1"/>
    <col min="5643" max="5643" width="16.140625" style="1369" customWidth="1"/>
    <col min="5644" max="5646" width="9.7109375" style="1369" customWidth="1"/>
    <col min="5647" max="5647" width="6.421875" style="1369" customWidth="1"/>
    <col min="5648" max="5652" width="11.421875" style="1369" hidden="1" customWidth="1"/>
    <col min="5653" max="5653" width="9.7109375" style="1369" customWidth="1"/>
    <col min="5654" max="5654" width="15.7109375" style="1369" customWidth="1"/>
    <col min="5655" max="5655" width="4.140625" style="1369" customWidth="1"/>
    <col min="5656" max="5888" width="11.421875" style="1369" customWidth="1"/>
    <col min="5889" max="5890" width="4.140625" style="1369" customWidth="1"/>
    <col min="5891" max="5891" width="5.421875" style="1369" customWidth="1"/>
    <col min="5892" max="5893" width="13.57421875" style="1369" customWidth="1"/>
    <col min="5894" max="5894" width="30.7109375" style="1369" customWidth="1"/>
    <col min="5895" max="5895" width="40.7109375" style="1369" customWidth="1"/>
    <col min="5896" max="5896" width="11.00390625" style="1369" customWidth="1"/>
    <col min="5897" max="5897" width="11.421875" style="1369" hidden="1" customWidth="1"/>
    <col min="5898" max="5898" width="16.28125" style="1369" customWidth="1"/>
    <col min="5899" max="5899" width="16.140625" style="1369" customWidth="1"/>
    <col min="5900" max="5902" width="9.7109375" style="1369" customWidth="1"/>
    <col min="5903" max="5903" width="6.421875" style="1369" customWidth="1"/>
    <col min="5904" max="5908" width="11.421875" style="1369" hidden="1" customWidth="1"/>
    <col min="5909" max="5909" width="9.7109375" style="1369" customWidth="1"/>
    <col min="5910" max="5910" width="15.7109375" style="1369" customWidth="1"/>
    <col min="5911" max="5911" width="4.140625" style="1369" customWidth="1"/>
    <col min="5912" max="6144" width="11.421875" style="1369" customWidth="1"/>
    <col min="6145" max="6146" width="4.140625" style="1369" customWidth="1"/>
    <col min="6147" max="6147" width="5.421875" style="1369" customWidth="1"/>
    <col min="6148" max="6149" width="13.57421875" style="1369" customWidth="1"/>
    <col min="6150" max="6150" width="30.7109375" style="1369" customWidth="1"/>
    <col min="6151" max="6151" width="40.7109375" style="1369" customWidth="1"/>
    <col min="6152" max="6152" width="11.00390625" style="1369" customWidth="1"/>
    <col min="6153" max="6153" width="11.421875" style="1369" hidden="1" customWidth="1"/>
    <col min="6154" max="6154" width="16.28125" style="1369" customWidth="1"/>
    <col min="6155" max="6155" width="16.140625" style="1369" customWidth="1"/>
    <col min="6156" max="6158" width="9.7109375" style="1369" customWidth="1"/>
    <col min="6159" max="6159" width="6.421875" style="1369" customWidth="1"/>
    <col min="6160" max="6164" width="11.421875" style="1369" hidden="1" customWidth="1"/>
    <col min="6165" max="6165" width="9.7109375" style="1369" customWidth="1"/>
    <col min="6166" max="6166" width="15.7109375" style="1369" customWidth="1"/>
    <col min="6167" max="6167" width="4.140625" style="1369" customWidth="1"/>
    <col min="6168" max="6400" width="11.421875" style="1369" customWidth="1"/>
    <col min="6401" max="6402" width="4.140625" style="1369" customWidth="1"/>
    <col min="6403" max="6403" width="5.421875" style="1369" customWidth="1"/>
    <col min="6404" max="6405" width="13.57421875" style="1369" customWidth="1"/>
    <col min="6406" max="6406" width="30.7109375" style="1369" customWidth="1"/>
    <col min="6407" max="6407" width="40.7109375" style="1369" customWidth="1"/>
    <col min="6408" max="6408" width="11.00390625" style="1369" customWidth="1"/>
    <col min="6409" max="6409" width="11.421875" style="1369" hidden="1" customWidth="1"/>
    <col min="6410" max="6410" width="16.28125" style="1369" customWidth="1"/>
    <col min="6411" max="6411" width="16.140625" style="1369" customWidth="1"/>
    <col min="6412" max="6414" width="9.7109375" style="1369" customWidth="1"/>
    <col min="6415" max="6415" width="6.421875" style="1369" customWidth="1"/>
    <col min="6416" max="6420" width="11.421875" style="1369" hidden="1" customWidth="1"/>
    <col min="6421" max="6421" width="9.7109375" style="1369" customWidth="1"/>
    <col min="6422" max="6422" width="15.7109375" style="1369" customWidth="1"/>
    <col min="6423" max="6423" width="4.140625" style="1369" customWidth="1"/>
    <col min="6424" max="6656" width="11.421875" style="1369" customWidth="1"/>
    <col min="6657" max="6658" width="4.140625" style="1369" customWidth="1"/>
    <col min="6659" max="6659" width="5.421875" style="1369" customWidth="1"/>
    <col min="6660" max="6661" width="13.57421875" style="1369" customWidth="1"/>
    <col min="6662" max="6662" width="30.7109375" style="1369" customWidth="1"/>
    <col min="6663" max="6663" width="40.7109375" style="1369" customWidth="1"/>
    <col min="6664" max="6664" width="11.00390625" style="1369" customWidth="1"/>
    <col min="6665" max="6665" width="11.421875" style="1369" hidden="1" customWidth="1"/>
    <col min="6666" max="6666" width="16.28125" style="1369" customWidth="1"/>
    <col min="6667" max="6667" width="16.140625" style="1369" customWidth="1"/>
    <col min="6668" max="6670" width="9.7109375" style="1369" customWidth="1"/>
    <col min="6671" max="6671" width="6.421875" style="1369" customWidth="1"/>
    <col min="6672" max="6676" width="11.421875" style="1369" hidden="1" customWidth="1"/>
    <col min="6677" max="6677" width="9.7109375" style="1369" customWidth="1"/>
    <col min="6678" max="6678" width="15.7109375" style="1369" customWidth="1"/>
    <col min="6679" max="6679" width="4.140625" style="1369" customWidth="1"/>
    <col min="6680" max="6912" width="11.421875" style="1369" customWidth="1"/>
    <col min="6913" max="6914" width="4.140625" style="1369" customWidth="1"/>
    <col min="6915" max="6915" width="5.421875" style="1369" customWidth="1"/>
    <col min="6916" max="6917" width="13.57421875" style="1369" customWidth="1"/>
    <col min="6918" max="6918" width="30.7109375" style="1369" customWidth="1"/>
    <col min="6919" max="6919" width="40.7109375" style="1369" customWidth="1"/>
    <col min="6920" max="6920" width="11.00390625" style="1369" customWidth="1"/>
    <col min="6921" max="6921" width="11.421875" style="1369" hidden="1" customWidth="1"/>
    <col min="6922" max="6922" width="16.28125" style="1369" customWidth="1"/>
    <col min="6923" max="6923" width="16.140625" style="1369" customWidth="1"/>
    <col min="6924" max="6926" width="9.7109375" style="1369" customWidth="1"/>
    <col min="6927" max="6927" width="6.421875" style="1369" customWidth="1"/>
    <col min="6928" max="6932" width="11.421875" style="1369" hidden="1" customWidth="1"/>
    <col min="6933" max="6933" width="9.7109375" style="1369" customWidth="1"/>
    <col min="6934" max="6934" width="15.7109375" style="1369" customWidth="1"/>
    <col min="6935" max="6935" width="4.140625" style="1369" customWidth="1"/>
    <col min="6936" max="7168" width="11.421875" style="1369" customWidth="1"/>
    <col min="7169" max="7170" width="4.140625" style="1369" customWidth="1"/>
    <col min="7171" max="7171" width="5.421875" style="1369" customWidth="1"/>
    <col min="7172" max="7173" width="13.57421875" style="1369" customWidth="1"/>
    <col min="7174" max="7174" width="30.7109375" style="1369" customWidth="1"/>
    <col min="7175" max="7175" width="40.7109375" style="1369" customWidth="1"/>
    <col min="7176" max="7176" width="11.00390625" style="1369" customWidth="1"/>
    <col min="7177" max="7177" width="11.421875" style="1369" hidden="1" customWidth="1"/>
    <col min="7178" max="7178" width="16.28125" style="1369" customWidth="1"/>
    <col min="7179" max="7179" width="16.140625" style="1369" customWidth="1"/>
    <col min="7180" max="7182" width="9.7109375" style="1369" customWidth="1"/>
    <col min="7183" max="7183" width="6.421875" style="1369" customWidth="1"/>
    <col min="7184" max="7188" width="11.421875" style="1369" hidden="1" customWidth="1"/>
    <col min="7189" max="7189" width="9.7109375" style="1369" customWidth="1"/>
    <col min="7190" max="7190" width="15.7109375" style="1369" customWidth="1"/>
    <col min="7191" max="7191" width="4.140625" style="1369" customWidth="1"/>
    <col min="7192" max="7424" width="11.421875" style="1369" customWidth="1"/>
    <col min="7425" max="7426" width="4.140625" style="1369" customWidth="1"/>
    <col min="7427" max="7427" width="5.421875" style="1369" customWidth="1"/>
    <col min="7428" max="7429" width="13.57421875" style="1369" customWidth="1"/>
    <col min="7430" max="7430" width="30.7109375" style="1369" customWidth="1"/>
    <col min="7431" max="7431" width="40.7109375" style="1369" customWidth="1"/>
    <col min="7432" max="7432" width="11.00390625" style="1369" customWidth="1"/>
    <col min="7433" max="7433" width="11.421875" style="1369" hidden="1" customWidth="1"/>
    <col min="7434" max="7434" width="16.28125" style="1369" customWidth="1"/>
    <col min="7435" max="7435" width="16.140625" style="1369" customWidth="1"/>
    <col min="7436" max="7438" width="9.7109375" style="1369" customWidth="1"/>
    <col min="7439" max="7439" width="6.421875" style="1369" customWidth="1"/>
    <col min="7440" max="7444" width="11.421875" style="1369" hidden="1" customWidth="1"/>
    <col min="7445" max="7445" width="9.7109375" style="1369" customWidth="1"/>
    <col min="7446" max="7446" width="15.7109375" style="1369" customWidth="1"/>
    <col min="7447" max="7447" width="4.140625" style="1369" customWidth="1"/>
    <col min="7448" max="7680" width="11.421875" style="1369" customWidth="1"/>
    <col min="7681" max="7682" width="4.140625" style="1369" customWidth="1"/>
    <col min="7683" max="7683" width="5.421875" style="1369" customWidth="1"/>
    <col min="7684" max="7685" width="13.57421875" style="1369" customWidth="1"/>
    <col min="7686" max="7686" width="30.7109375" style="1369" customWidth="1"/>
    <col min="7687" max="7687" width="40.7109375" style="1369" customWidth="1"/>
    <col min="7688" max="7688" width="11.00390625" style="1369" customWidth="1"/>
    <col min="7689" max="7689" width="11.421875" style="1369" hidden="1" customWidth="1"/>
    <col min="7690" max="7690" width="16.28125" style="1369" customWidth="1"/>
    <col min="7691" max="7691" width="16.140625" style="1369" customWidth="1"/>
    <col min="7692" max="7694" width="9.7109375" style="1369" customWidth="1"/>
    <col min="7695" max="7695" width="6.421875" style="1369" customWidth="1"/>
    <col min="7696" max="7700" width="11.421875" style="1369" hidden="1" customWidth="1"/>
    <col min="7701" max="7701" width="9.7109375" style="1369" customWidth="1"/>
    <col min="7702" max="7702" width="15.7109375" style="1369" customWidth="1"/>
    <col min="7703" max="7703" width="4.140625" style="1369" customWidth="1"/>
    <col min="7704" max="7936" width="11.421875" style="1369" customWidth="1"/>
    <col min="7937" max="7938" width="4.140625" style="1369" customWidth="1"/>
    <col min="7939" max="7939" width="5.421875" style="1369" customWidth="1"/>
    <col min="7940" max="7941" width="13.57421875" style="1369" customWidth="1"/>
    <col min="7942" max="7942" width="30.7109375" style="1369" customWidth="1"/>
    <col min="7943" max="7943" width="40.7109375" style="1369" customWidth="1"/>
    <col min="7944" max="7944" width="11.00390625" style="1369" customWidth="1"/>
    <col min="7945" max="7945" width="11.421875" style="1369" hidden="1" customWidth="1"/>
    <col min="7946" max="7946" width="16.28125" style="1369" customWidth="1"/>
    <col min="7947" max="7947" width="16.140625" style="1369" customWidth="1"/>
    <col min="7948" max="7950" width="9.7109375" style="1369" customWidth="1"/>
    <col min="7951" max="7951" width="6.421875" style="1369" customWidth="1"/>
    <col min="7952" max="7956" width="11.421875" style="1369" hidden="1" customWidth="1"/>
    <col min="7957" max="7957" width="9.7109375" style="1369" customWidth="1"/>
    <col min="7958" max="7958" width="15.7109375" style="1369" customWidth="1"/>
    <col min="7959" max="7959" width="4.140625" style="1369" customWidth="1"/>
    <col min="7960" max="8192" width="11.421875" style="1369" customWidth="1"/>
    <col min="8193" max="8194" width="4.140625" style="1369" customWidth="1"/>
    <col min="8195" max="8195" width="5.421875" style="1369" customWidth="1"/>
    <col min="8196" max="8197" width="13.57421875" style="1369" customWidth="1"/>
    <col min="8198" max="8198" width="30.7109375" style="1369" customWidth="1"/>
    <col min="8199" max="8199" width="40.7109375" style="1369" customWidth="1"/>
    <col min="8200" max="8200" width="11.00390625" style="1369" customWidth="1"/>
    <col min="8201" max="8201" width="11.421875" style="1369" hidden="1" customWidth="1"/>
    <col min="8202" max="8202" width="16.28125" style="1369" customWidth="1"/>
    <col min="8203" max="8203" width="16.140625" style="1369" customWidth="1"/>
    <col min="8204" max="8206" width="9.7109375" style="1369" customWidth="1"/>
    <col min="8207" max="8207" width="6.421875" style="1369" customWidth="1"/>
    <col min="8208" max="8212" width="11.421875" style="1369" hidden="1" customWidth="1"/>
    <col min="8213" max="8213" width="9.7109375" style="1369" customWidth="1"/>
    <col min="8214" max="8214" width="15.7109375" style="1369" customWidth="1"/>
    <col min="8215" max="8215" width="4.140625" style="1369" customWidth="1"/>
    <col min="8216" max="8448" width="11.421875" style="1369" customWidth="1"/>
    <col min="8449" max="8450" width="4.140625" style="1369" customWidth="1"/>
    <col min="8451" max="8451" width="5.421875" style="1369" customWidth="1"/>
    <col min="8452" max="8453" width="13.57421875" style="1369" customWidth="1"/>
    <col min="8454" max="8454" width="30.7109375" style="1369" customWidth="1"/>
    <col min="8455" max="8455" width="40.7109375" style="1369" customWidth="1"/>
    <col min="8456" max="8456" width="11.00390625" style="1369" customWidth="1"/>
    <col min="8457" max="8457" width="11.421875" style="1369" hidden="1" customWidth="1"/>
    <col min="8458" max="8458" width="16.28125" style="1369" customWidth="1"/>
    <col min="8459" max="8459" width="16.140625" style="1369" customWidth="1"/>
    <col min="8460" max="8462" width="9.7109375" style="1369" customWidth="1"/>
    <col min="8463" max="8463" width="6.421875" style="1369" customWidth="1"/>
    <col min="8464" max="8468" width="11.421875" style="1369" hidden="1" customWidth="1"/>
    <col min="8469" max="8469" width="9.7109375" style="1369" customWidth="1"/>
    <col min="8470" max="8470" width="15.7109375" style="1369" customWidth="1"/>
    <col min="8471" max="8471" width="4.140625" style="1369" customWidth="1"/>
    <col min="8472" max="8704" width="11.421875" style="1369" customWidth="1"/>
    <col min="8705" max="8706" width="4.140625" style="1369" customWidth="1"/>
    <col min="8707" max="8707" width="5.421875" style="1369" customWidth="1"/>
    <col min="8708" max="8709" width="13.57421875" style="1369" customWidth="1"/>
    <col min="8710" max="8710" width="30.7109375" style="1369" customWidth="1"/>
    <col min="8711" max="8711" width="40.7109375" style="1369" customWidth="1"/>
    <col min="8712" max="8712" width="11.00390625" style="1369" customWidth="1"/>
    <col min="8713" max="8713" width="11.421875" style="1369" hidden="1" customWidth="1"/>
    <col min="8714" max="8714" width="16.28125" style="1369" customWidth="1"/>
    <col min="8715" max="8715" width="16.140625" style="1369" customWidth="1"/>
    <col min="8716" max="8718" width="9.7109375" style="1369" customWidth="1"/>
    <col min="8719" max="8719" width="6.421875" style="1369" customWidth="1"/>
    <col min="8720" max="8724" width="11.421875" style="1369" hidden="1" customWidth="1"/>
    <col min="8725" max="8725" width="9.7109375" style="1369" customWidth="1"/>
    <col min="8726" max="8726" width="15.7109375" style="1369" customWidth="1"/>
    <col min="8727" max="8727" width="4.140625" style="1369" customWidth="1"/>
    <col min="8728" max="8960" width="11.421875" style="1369" customWidth="1"/>
    <col min="8961" max="8962" width="4.140625" style="1369" customWidth="1"/>
    <col min="8963" max="8963" width="5.421875" style="1369" customWidth="1"/>
    <col min="8964" max="8965" width="13.57421875" style="1369" customWidth="1"/>
    <col min="8966" max="8966" width="30.7109375" style="1369" customWidth="1"/>
    <col min="8967" max="8967" width="40.7109375" style="1369" customWidth="1"/>
    <col min="8968" max="8968" width="11.00390625" style="1369" customWidth="1"/>
    <col min="8969" max="8969" width="11.421875" style="1369" hidden="1" customWidth="1"/>
    <col min="8970" max="8970" width="16.28125" style="1369" customWidth="1"/>
    <col min="8971" max="8971" width="16.140625" style="1369" customWidth="1"/>
    <col min="8972" max="8974" width="9.7109375" style="1369" customWidth="1"/>
    <col min="8975" max="8975" width="6.421875" style="1369" customWidth="1"/>
    <col min="8976" max="8980" width="11.421875" style="1369" hidden="1" customWidth="1"/>
    <col min="8981" max="8981" width="9.7109375" style="1369" customWidth="1"/>
    <col min="8982" max="8982" width="15.7109375" style="1369" customWidth="1"/>
    <col min="8983" max="8983" width="4.140625" style="1369" customWidth="1"/>
    <col min="8984" max="9216" width="11.421875" style="1369" customWidth="1"/>
    <col min="9217" max="9218" width="4.140625" style="1369" customWidth="1"/>
    <col min="9219" max="9219" width="5.421875" style="1369" customWidth="1"/>
    <col min="9220" max="9221" width="13.57421875" style="1369" customWidth="1"/>
    <col min="9222" max="9222" width="30.7109375" style="1369" customWidth="1"/>
    <col min="9223" max="9223" width="40.7109375" style="1369" customWidth="1"/>
    <col min="9224" max="9224" width="11.00390625" style="1369" customWidth="1"/>
    <col min="9225" max="9225" width="11.421875" style="1369" hidden="1" customWidth="1"/>
    <col min="9226" max="9226" width="16.28125" style="1369" customWidth="1"/>
    <col min="9227" max="9227" width="16.140625" style="1369" customWidth="1"/>
    <col min="9228" max="9230" width="9.7109375" style="1369" customWidth="1"/>
    <col min="9231" max="9231" width="6.421875" style="1369" customWidth="1"/>
    <col min="9232" max="9236" width="11.421875" style="1369" hidden="1" customWidth="1"/>
    <col min="9237" max="9237" width="9.7109375" style="1369" customWidth="1"/>
    <col min="9238" max="9238" width="15.7109375" style="1369" customWidth="1"/>
    <col min="9239" max="9239" width="4.140625" style="1369" customWidth="1"/>
    <col min="9240" max="9472" width="11.421875" style="1369" customWidth="1"/>
    <col min="9473" max="9474" width="4.140625" style="1369" customWidth="1"/>
    <col min="9475" max="9475" width="5.421875" style="1369" customWidth="1"/>
    <col min="9476" max="9477" width="13.57421875" style="1369" customWidth="1"/>
    <col min="9478" max="9478" width="30.7109375" style="1369" customWidth="1"/>
    <col min="9479" max="9479" width="40.7109375" style="1369" customWidth="1"/>
    <col min="9480" max="9480" width="11.00390625" style="1369" customWidth="1"/>
    <col min="9481" max="9481" width="11.421875" style="1369" hidden="1" customWidth="1"/>
    <col min="9482" max="9482" width="16.28125" style="1369" customWidth="1"/>
    <col min="9483" max="9483" width="16.140625" style="1369" customWidth="1"/>
    <col min="9484" max="9486" width="9.7109375" style="1369" customWidth="1"/>
    <col min="9487" max="9487" width="6.421875" style="1369" customWidth="1"/>
    <col min="9488" max="9492" width="11.421875" style="1369" hidden="1" customWidth="1"/>
    <col min="9493" max="9493" width="9.7109375" style="1369" customWidth="1"/>
    <col min="9494" max="9494" width="15.7109375" style="1369" customWidth="1"/>
    <col min="9495" max="9495" width="4.140625" style="1369" customWidth="1"/>
    <col min="9496" max="9728" width="11.421875" style="1369" customWidth="1"/>
    <col min="9729" max="9730" width="4.140625" style="1369" customWidth="1"/>
    <col min="9731" max="9731" width="5.421875" style="1369" customWidth="1"/>
    <col min="9732" max="9733" width="13.57421875" style="1369" customWidth="1"/>
    <col min="9734" max="9734" width="30.7109375" style="1369" customWidth="1"/>
    <col min="9735" max="9735" width="40.7109375" style="1369" customWidth="1"/>
    <col min="9736" max="9736" width="11.00390625" style="1369" customWidth="1"/>
    <col min="9737" max="9737" width="11.421875" style="1369" hidden="1" customWidth="1"/>
    <col min="9738" max="9738" width="16.28125" style="1369" customWidth="1"/>
    <col min="9739" max="9739" width="16.140625" style="1369" customWidth="1"/>
    <col min="9740" max="9742" width="9.7109375" style="1369" customWidth="1"/>
    <col min="9743" max="9743" width="6.421875" style="1369" customWidth="1"/>
    <col min="9744" max="9748" width="11.421875" style="1369" hidden="1" customWidth="1"/>
    <col min="9749" max="9749" width="9.7109375" style="1369" customWidth="1"/>
    <col min="9750" max="9750" width="15.7109375" style="1369" customWidth="1"/>
    <col min="9751" max="9751" width="4.140625" style="1369" customWidth="1"/>
    <col min="9752" max="9984" width="11.421875" style="1369" customWidth="1"/>
    <col min="9985" max="9986" width="4.140625" style="1369" customWidth="1"/>
    <col min="9987" max="9987" width="5.421875" style="1369" customWidth="1"/>
    <col min="9988" max="9989" width="13.57421875" style="1369" customWidth="1"/>
    <col min="9990" max="9990" width="30.7109375" style="1369" customWidth="1"/>
    <col min="9991" max="9991" width="40.7109375" style="1369" customWidth="1"/>
    <col min="9992" max="9992" width="11.00390625" style="1369" customWidth="1"/>
    <col min="9993" max="9993" width="11.421875" style="1369" hidden="1" customWidth="1"/>
    <col min="9994" max="9994" width="16.28125" style="1369" customWidth="1"/>
    <col min="9995" max="9995" width="16.140625" style="1369" customWidth="1"/>
    <col min="9996" max="9998" width="9.7109375" style="1369" customWidth="1"/>
    <col min="9999" max="9999" width="6.421875" style="1369" customWidth="1"/>
    <col min="10000" max="10004" width="11.421875" style="1369" hidden="1" customWidth="1"/>
    <col min="10005" max="10005" width="9.7109375" style="1369" customWidth="1"/>
    <col min="10006" max="10006" width="15.7109375" style="1369" customWidth="1"/>
    <col min="10007" max="10007" width="4.140625" style="1369" customWidth="1"/>
    <col min="10008" max="10240" width="11.421875" style="1369" customWidth="1"/>
    <col min="10241" max="10242" width="4.140625" style="1369" customWidth="1"/>
    <col min="10243" max="10243" width="5.421875" style="1369" customWidth="1"/>
    <col min="10244" max="10245" width="13.57421875" style="1369" customWidth="1"/>
    <col min="10246" max="10246" width="30.7109375" style="1369" customWidth="1"/>
    <col min="10247" max="10247" width="40.7109375" style="1369" customWidth="1"/>
    <col min="10248" max="10248" width="11.00390625" style="1369" customWidth="1"/>
    <col min="10249" max="10249" width="11.421875" style="1369" hidden="1" customWidth="1"/>
    <col min="10250" max="10250" width="16.28125" style="1369" customWidth="1"/>
    <col min="10251" max="10251" width="16.140625" style="1369" customWidth="1"/>
    <col min="10252" max="10254" width="9.7109375" style="1369" customWidth="1"/>
    <col min="10255" max="10255" width="6.421875" style="1369" customWidth="1"/>
    <col min="10256" max="10260" width="11.421875" style="1369" hidden="1" customWidth="1"/>
    <col min="10261" max="10261" width="9.7109375" style="1369" customWidth="1"/>
    <col min="10262" max="10262" width="15.7109375" style="1369" customWidth="1"/>
    <col min="10263" max="10263" width="4.140625" style="1369" customWidth="1"/>
    <col min="10264" max="10496" width="11.421875" style="1369" customWidth="1"/>
    <col min="10497" max="10498" width="4.140625" style="1369" customWidth="1"/>
    <col min="10499" max="10499" width="5.421875" style="1369" customWidth="1"/>
    <col min="10500" max="10501" width="13.57421875" style="1369" customWidth="1"/>
    <col min="10502" max="10502" width="30.7109375" style="1369" customWidth="1"/>
    <col min="10503" max="10503" width="40.7109375" style="1369" customWidth="1"/>
    <col min="10504" max="10504" width="11.00390625" style="1369" customWidth="1"/>
    <col min="10505" max="10505" width="11.421875" style="1369" hidden="1" customWidth="1"/>
    <col min="10506" max="10506" width="16.28125" style="1369" customWidth="1"/>
    <col min="10507" max="10507" width="16.140625" style="1369" customWidth="1"/>
    <col min="10508" max="10510" width="9.7109375" style="1369" customWidth="1"/>
    <col min="10511" max="10511" width="6.421875" style="1369" customWidth="1"/>
    <col min="10512" max="10516" width="11.421875" style="1369" hidden="1" customWidth="1"/>
    <col min="10517" max="10517" width="9.7109375" style="1369" customWidth="1"/>
    <col min="10518" max="10518" width="15.7109375" style="1369" customWidth="1"/>
    <col min="10519" max="10519" width="4.140625" style="1369" customWidth="1"/>
    <col min="10520" max="10752" width="11.421875" style="1369" customWidth="1"/>
    <col min="10753" max="10754" width="4.140625" style="1369" customWidth="1"/>
    <col min="10755" max="10755" width="5.421875" style="1369" customWidth="1"/>
    <col min="10756" max="10757" width="13.57421875" style="1369" customWidth="1"/>
    <col min="10758" max="10758" width="30.7109375" style="1369" customWidth="1"/>
    <col min="10759" max="10759" width="40.7109375" style="1369" customWidth="1"/>
    <col min="10760" max="10760" width="11.00390625" style="1369" customWidth="1"/>
    <col min="10761" max="10761" width="11.421875" style="1369" hidden="1" customWidth="1"/>
    <col min="10762" max="10762" width="16.28125" style="1369" customWidth="1"/>
    <col min="10763" max="10763" width="16.140625" style="1369" customWidth="1"/>
    <col min="10764" max="10766" width="9.7109375" style="1369" customWidth="1"/>
    <col min="10767" max="10767" width="6.421875" style="1369" customWidth="1"/>
    <col min="10768" max="10772" width="11.421875" style="1369" hidden="1" customWidth="1"/>
    <col min="10773" max="10773" width="9.7109375" style="1369" customWidth="1"/>
    <col min="10774" max="10774" width="15.7109375" style="1369" customWidth="1"/>
    <col min="10775" max="10775" width="4.140625" style="1369" customWidth="1"/>
    <col min="10776" max="11008" width="11.421875" style="1369" customWidth="1"/>
    <col min="11009" max="11010" width="4.140625" style="1369" customWidth="1"/>
    <col min="11011" max="11011" width="5.421875" style="1369" customWidth="1"/>
    <col min="11012" max="11013" width="13.57421875" style="1369" customWidth="1"/>
    <col min="11014" max="11014" width="30.7109375" style="1369" customWidth="1"/>
    <col min="11015" max="11015" width="40.7109375" style="1369" customWidth="1"/>
    <col min="11016" max="11016" width="11.00390625" style="1369" customWidth="1"/>
    <col min="11017" max="11017" width="11.421875" style="1369" hidden="1" customWidth="1"/>
    <col min="11018" max="11018" width="16.28125" style="1369" customWidth="1"/>
    <col min="11019" max="11019" width="16.140625" style="1369" customWidth="1"/>
    <col min="11020" max="11022" width="9.7109375" style="1369" customWidth="1"/>
    <col min="11023" max="11023" width="6.421875" style="1369" customWidth="1"/>
    <col min="11024" max="11028" width="11.421875" style="1369" hidden="1" customWidth="1"/>
    <col min="11029" max="11029" width="9.7109375" style="1369" customWidth="1"/>
    <col min="11030" max="11030" width="15.7109375" style="1369" customWidth="1"/>
    <col min="11031" max="11031" width="4.140625" style="1369" customWidth="1"/>
    <col min="11032" max="11264" width="11.421875" style="1369" customWidth="1"/>
    <col min="11265" max="11266" width="4.140625" style="1369" customWidth="1"/>
    <col min="11267" max="11267" width="5.421875" style="1369" customWidth="1"/>
    <col min="11268" max="11269" width="13.57421875" style="1369" customWidth="1"/>
    <col min="11270" max="11270" width="30.7109375" style="1369" customWidth="1"/>
    <col min="11271" max="11271" width="40.7109375" style="1369" customWidth="1"/>
    <col min="11272" max="11272" width="11.00390625" style="1369" customWidth="1"/>
    <col min="11273" max="11273" width="11.421875" style="1369" hidden="1" customWidth="1"/>
    <col min="11274" max="11274" width="16.28125" style="1369" customWidth="1"/>
    <col min="11275" max="11275" width="16.140625" style="1369" customWidth="1"/>
    <col min="11276" max="11278" width="9.7109375" style="1369" customWidth="1"/>
    <col min="11279" max="11279" width="6.421875" style="1369" customWidth="1"/>
    <col min="11280" max="11284" width="11.421875" style="1369" hidden="1" customWidth="1"/>
    <col min="11285" max="11285" width="9.7109375" style="1369" customWidth="1"/>
    <col min="11286" max="11286" width="15.7109375" style="1369" customWidth="1"/>
    <col min="11287" max="11287" width="4.140625" style="1369" customWidth="1"/>
    <col min="11288" max="11520" width="11.421875" style="1369" customWidth="1"/>
    <col min="11521" max="11522" width="4.140625" style="1369" customWidth="1"/>
    <col min="11523" max="11523" width="5.421875" style="1369" customWidth="1"/>
    <col min="11524" max="11525" width="13.57421875" style="1369" customWidth="1"/>
    <col min="11526" max="11526" width="30.7109375" style="1369" customWidth="1"/>
    <col min="11527" max="11527" width="40.7109375" style="1369" customWidth="1"/>
    <col min="11528" max="11528" width="11.00390625" style="1369" customWidth="1"/>
    <col min="11529" max="11529" width="11.421875" style="1369" hidden="1" customWidth="1"/>
    <col min="11530" max="11530" width="16.28125" style="1369" customWidth="1"/>
    <col min="11531" max="11531" width="16.140625" style="1369" customWidth="1"/>
    <col min="11532" max="11534" width="9.7109375" style="1369" customWidth="1"/>
    <col min="11535" max="11535" width="6.421875" style="1369" customWidth="1"/>
    <col min="11536" max="11540" width="11.421875" style="1369" hidden="1" customWidth="1"/>
    <col min="11541" max="11541" width="9.7109375" style="1369" customWidth="1"/>
    <col min="11542" max="11542" width="15.7109375" style="1369" customWidth="1"/>
    <col min="11543" max="11543" width="4.140625" style="1369" customWidth="1"/>
    <col min="11544" max="11776" width="11.421875" style="1369" customWidth="1"/>
    <col min="11777" max="11778" width="4.140625" style="1369" customWidth="1"/>
    <col min="11779" max="11779" width="5.421875" style="1369" customWidth="1"/>
    <col min="11780" max="11781" width="13.57421875" style="1369" customWidth="1"/>
    <col min="11782" max="11782" width="30.7109375" style="1369" customWidth="1"/>
    <col min="11783" max="11783" width="40.7109375" style="1369" customWidth="1"/>
    <col min="11784" max="11784" width="11.00390625" style="1369" customWidth="1"/>
    <col min="11785" max="11785" width="11.421875" style="1369" hidden="1" customWidth="1"/>
    <col min="11786" max="11786" width="16.28125" style="1369" customWidth="1"/>
    <col min="11787" max="11787" width="16.140625" style="1369" customWidth="1"/>
    <col min="11788" max="11790" width="9.7109375" style="1369" customWidth="1"/>
    <col min="11791" max="11791" width="6.421875" style="1369" customWidth="1"/>
    <col min="11792" max="11796" width="11.421875" style="1369" hidden="1" customWidth="1"/>
    <col min="11797" max="11797" width="9.7109375" style="1369" customWidth="1"/>
    <col min="11798" max="11798" width="15.7109375" style="1369" customWidth="1"/>
    <col min="11799" max="11799" width="4.140625" style="1369" customWidth="1"/>
    <col min="11800" max="12032" width="11.421875" style="1369" customWidth="1"/>
    <col min="12033" max="12034" width="4.140625" style="1369" customWidth="1"/>
    <col min="12035" max="12035" width="5.421875" style="1369" customWidth="1"/>
    <col min="12036" max="12037" width="13.57421875" style="1369" customWidth="1"/>
    <col min="12038" max="12038" width="30.7109375" style="1369" customWidth="1"/>
    <col min="12039" max="12039" width="40.7109375" style="1369" customWidth="1"/>
    <col min="12040" max="12040" width="11.00390625" style="1369" customWidth="1"/>
    <col min="12041" max="12041" width="11.421875" style="1369" hidden="1" customWidth="1"/>
    <col min="12042" max="12042" width="16.28125" style="1369" customWidth="1"/>
    <col min="12043" max="12043" width="16.140625" style="1369" customWidth="1"/>
    <col min="12044" max="12046" width="9.7109375" style="1369" customWidth="1"/>
    <col min="12047" max="12047" width="6.421875" style="1369" customWidth="1"/>
    <col min="12048" max="12052" width="11.421875" style="1369" hidden="1" customWidth="1"/>
    <col min="12053" max="12053" width="9.7109375" style="1369" customWidth="1"/>
    <col min="12054" max="12054" width="15.7109375" style="1369" customWidth="1"/>
    <col min="12055" max="12055" width="4.140625" style="1369" customWidth="1"/>
    <col min="12056" max="12288" width="11.421875" style="1369" customWidth="1"/>
    <col min="12289" max="12290" width="4.140625" style="1369" customWidth="1"/>
    <col min="12291" max="12291" width="5.421875" style="1369" customWidth="1"/>
    <col min="12292" max="12293" width="13.57421875" style="1369" customWidth="1"/>
    <col min="12294" max="12294" width="30.7109375" style="1369" customWidth="1"/>
    <col min="12295" max="12295" width="40.7109375" style="1369" customWidth="1"/>
    <col min="12296" max="12296" width="11.00390625" style="1369" customWidth="1"/>
    <col min="12297" max="12297" width="11.421875" style="1369" hidden="1" customWidth="1"/>
    <col min="12298" max="12298" width="16.28125" style="1369" customWidth="1"/>
    <col min="12299" max="12299" width="16.140625" style="1369" customWidth="1"/>
    <col min="12300" max="12302" width="9.7109375" style="1369" customWidth="1"/>
    <col min="12303" max="12303" width="6.421875" style="1369" customWidth="1"/>
    <col min="12304" max="12308" width="11.421875" style="1369" hidden="1" customWidth="1"/>
    <col min="12309" max="12309" width="9.7109375" style="1369" customWidth="1"/>
    <col min="12310" max="12310" width="15.7109375" style="1369" customWidth="1"/>
    <col min="12311" max="12311" width="4.140625" style="1369" customWidth="1"/>
    <col min="12312" max="12544" width="11.421875" style="1369" customWidth="1"/>
    <col min="12545" max="12546" width="4.140625" style="1369" customWidth="1"/>
    <col min="12547" max="12547" width="5.421875" style="1369" customWidth="1"/>
    <col min="12548" max="12549" width="13.57421875" style="1369" customWidth="1"/>
    <col min="12550" max="12550" width="30.7109375" style="1369" customWidth="1"/>
    <col min="12551" max="12551" width="40.7109375" style="1369" customWidth="1"/>
    <col min="12552" max="12552" width="11.00390625" style="1369" customWidth="1"/>
    <col min="12553" max="12553" width="11.421875" style="1369" hidden="1" customWidth="1"/>
    <col min="12554" max="12554" width="16.28125" style="1369" customWidth="1"/>
    <col min="12555" max="12555" width="16.140625" style="1369" customWidth="1"/>
    <col min="12556" max="12558" width="9.7109375" style="1369" customWidth="1"/>
    <col min="12559" max="12559" width="6.421875" style="1369" customWidth="1"/>
    <col min="12560" max="12564" width="11.421875" style="1369" hidden="1" customWidth="1"/>
    <col min="12565" max="12565" width="9.7109375" style="1369" customWidth="1"/>
    <col min="12566" max="12566" width="15.7109375" style="1369" customWidth="1"/>
    <col min="12567" max="12567" width="4.140625" style="1369" customWidth="1"/>
    <col min="12568" max="12800" width="11.421875" style="1369" customWidth="1"/>
    <col min="12801" max="12802" width="4.140625" style="1369" customWidth="1"/>
    <col min="12803" max="12803" width="5.421875" style="1369" customWidth="1"/>
    <col min="12804" max="12805" width="13.57421875" style="1369" customWidth="1"/>
    <col min="12806" max="12806" width="30.7109375" style="1369" customWidth="1"/>
    <col min="12807" max="12807" width="40.7109375" style="1369" customWidth="1"/>
    <col min="12808" max="12808" width="11.00390625" style="1369" customWidth="1"/>
    <col min="12809" max="12809" width="11.421875" style="1369" hidden="1" customWidth="1"/>
    <col min="12810" max="12810" width="16.28125" style="1369" customWidth="1"/>
    <col min="12811" max="12811" width="16.140625" style="1369" customWidth="1"/>
    <col min="12812" max="12814" width="9.7109375" style="1369" customWidth="1"/>
    <col min="12815" max="12815" width="6.421875" style="1369" customWidth="1"/>
    <col min="12816" max="12820" width="11.421875" style="1369" hidden="1" customWidth="1"/>
    <col min="12821" max="12821" width="9.7109375" style="1369" customWidth="1"/>
    <col min="12822" max="12822" width="15.7109375" style="1369" customWidth="1"/>
    <col min="12823" max="12823" width="4.140625" style="1369" customWidth="1"/>
    <col min="12824" max="13056" width="11.421875" style="1369" customWidth="1"/>
    <col min="13057" max="13058" width="4.140625" style="1369" customWidth="1"/>
    <col min="13059" max="13059" width="5.421875" style="1369" customWidth="1"/>
    <col min="13060" max="13061" width="13.57421875" style="1369" customWidth="1"/>
    <col min="13062" max="13062" width="30.7109375" style="1369" customWidth="1"/>
    <col min="13063" max="13063" width="40.7109375" style="1369" customWidth="1"/>
    <col min="13064" max="13064" width="11.00390625" style="1369" customWidth="1"/>
    <col min="13065" max="13065" width="11.421875" style="1369" hidden="1" customWidth="1"/>
    <col min="13066" max="13066" width="16.28125" style="1369" customWidth="1"/>
    <col min="13067" max="13067" width="16.140625" style="1369" customWidth="1"/>
    <col min="13068" max="13070" width="9.7109375" style="1369" customWidth="1"/>
    <col min="13071" max="13071" width="6.421875" style="1369" customWidth="1"/>
    <col min="13072" max="13076" width="11.421875" style="1369" hidden="1" customWidth="1"/>
    <col min="13077" max="13077" width="9.7109375" style="1369" customWidth="1"/>
    <col min="13078" max="13078" width="15.7109375" style="1369" customWidth="1"/>
    <col min="13079" max="13079" width="4.140625" style="1369" customWidth="1"/>
    <col min="13080" max="13312" width="11.421875" style="1369" customWidth="1"/>
    <col min="13313" max="13314" width="4.140625" style="1369" customWidth="1"/>
    <col min="13315" max="13315" width="5.421875" style="1369" customWidth="1"/>
    <col min="13316" max="13317" width="13.57421875" style="1369" customWidth="1"/>
    <col min="13318" max="13318" width="30.7109375" style="1369" customWidth="1"/>
    <col min="13319" max="13319" width="40.7109375" style="1369" customWidth="1"/>
    <col min="13320" max="13320" width="11.00390625" style="1369" customWidth="1"/>
    <col min="13321" max="13321" width="11.421875" style="1369" hidden="1" customWidth="1"/>
    <col min="13322" max="13322" width="16.28125" style="1369" customWidth="1"/>
    <col min="13323" max="13323" width="16.140625" style="1369" customWidth="1"/>
    <col min="13324" max="13326" width="9.7109375" style="1369" customWidth="1"/>
    <col min="13327" max="13327" width="6.421875" style="1369" customWidth="1"/>
    <col min="13328" max="13332" width="11.421875" style="1369" hidden="1" customWidth="1"/>
    <col min="13333" max="13333" width="9.7109375" style="1369" customWidth="1"/>
    <col min="13334" max="13334" width="15.7109375" style="1369" customWidth="1"/>
    <col min="13335" max="13335" width="4.140625" style="1369" customWidth="1"/>
    <col min="13336" max="13568" width="11.421875" style="1369" customWidth="1"/>
    <col min="13569" max="13570" width="4.140625" style="1369" customWidth="1"/>
    <col min="13571" max="13571" width="5.421875" style="1369" customWidth="1"/>
    <col min="13572" max="13573" width="13.57421875" style="1369" customWidth="1"/>
    <col min="13574" max="13574" width="30.7109375" style="1369" customWidth="1"/>
    <col min="13575" max="13575" width="40.7109375" style="1369" customWidth="1"/>
    <col min="13576" max="13576" width="11.00390625" style="1369" customWidth="1"/>
    <col min="13577" max="13577" width="11.421875" style="1369" hidden="1" customWidth="1"/>
    <col min="13578" max="13578" width="16.28125" style="1369" customWidth="1"/>
    <col min="13579" max="13579" width="16.140625" style="1369" customWidth="1"/>
    <col min="13580" max="13582" width="9.7109375" style="1369" customWidth="1"/>
    <col min="13583" max="13583" width="6.421875" style="1369" customWidth="1"/>
    <col min="13584" max="13588" width="11.421875" style="1369" hidden="1" customWidth="1"/>
    <col min="13589" max="13589" width="9.7109375" style="1369" customWidth="1"/>
    <col min="13590" max="13590" width="15.7109375" style="1369" customWidth="1"/>
    <col min="13591" max="13591" width="4.140625" style="1369" customWidth="1"/>
    <col min="13592" max="13824" width="11.421875" style="1369" customWidth="1"/>
    <col min="13825" max="13826" width="4.140625" style="1369" customWidth="1"/>
    <col min="13827" max="13827" width="5.421875" style="1369" customWidth="1"/>
    <col min="13828" max="13829" width="13.57421875" style="1369" customWidth="1"/>
    <col min="13830" max="13830" width="30.7109375" style="1369" customWidth="1"/>
    <col min="13831" max="13831" width="40.7109375" style="1369" customWidth="1"/>
    <col min="13832" max="13832" width="11.00390625" style="1369" customWidth="1"/>
    <col min="13833" max="13833" width="11.421875" style="1369" hidden="1" customWidth="1"/>
    <col min="13834" max="13834" width="16.28125" style="1369" customWidth="1"/>
    <col min="13835" max="13835" width="16.140625" style="1369" customWidth="1"/>
    <col min="13836" max="13838" width="9.7109375" style="1369" customWidth="1"/>
    <col min="13839" max="13839" width="6.421875" style="1369" customWidth="1"/>
    <col min="13840" max="13844" width="11.421875" style="1369" hidden="1" customWidth="1"/>
    <col min="13845" max="13845" width="9.7109375" style="1369" customWidth="1"/>
    <col min="13846" max="13846" width="15.7109375" style="1369" customWidth="1"/>
    <col min="13847" max="13847" width="4.140625" style="1369" customWidth="1"/>
    <col min="13848" max="14080" width="11.421875" style="1369" customWidth="1"/>
    <col min="14081" max="14082" width="4.140625" style="1369" customWidth="1"/>
    <col min="14083" max="14083" width="5.421875" style="1369" customWidth="1"/>
    <col min="14084" max="14085" width="13.57421875" style="1369" customWidth="1"/>
    <col min="14086" max="14086" width="30.7109375" style="1369" customWidth="1"/>
    <col min="14087" max="14087" width="40.7109375" style="1369" customWidth="1"/>
    <col min="14088" max="14088" width="11.00390625" style="1369" customWidth="1"/>
    <col min="14089" max="14089" width="11.421875" style="1369" hidden="1" customWidth="1"/>
    <col min="14090" max="14090" width="16.28125" style="1369" customWidth="1"/>
    <col min="14091" max="14091" width="16.140625" style="1369" customWidth="1"/>
    <col min="14092" max="14094" width="9.7109375" style="1369" customWidth="1"/>
    <col min="14095" max="14095" width="6.421875" style="1369" customWidth="1"/>
    <col min="14096" max="14100" width="11.421875" style="1369" hidden="1" customWidth="1"/>
    <col min="14101" max="14101" width="9.7109375" style="1369" customWidth="1"/>
    <col min="14102" max="14102" width="15.7109375" style="1369" customWidth="1"/>
    <col min="14103" max="14103" width="4.140625" style="1369" customWidth="1"/>
    <col min="14104" max="14336" width="11.421875" style="1369" customWidth="1"/>
    <col min="14337" max="14338" width="4.140625" style="1369" customWidth="1"/>
    <col min="14339" max="14339" width="5.421875" style="1369" customWidth="1"/>
    <col min="14340" max="14341" width="13.57421875" style="1369" customWidth="1"/>
    <col min="14342" max="14342" width="30.7109375" style="1369" customWidth="1"/>
    <col min="14343" max="14343" width="40.7109375" style="1369" customWidth="1"/>
    <col min="14344" max="14344" width="11.00390625" style="1369" customWidth="1"/>
    <col min="14345" max="14345" width="11.421875" style="1369" hidden="1" customWidth="1"/>
    <col min="14346" max="14346" width="16.28125" style="1369" customWidth="1"/>
    <col min="14347" max="14347" width="16.140625" style="1369" customWidth="1"/>
    <col min="14348" max="14350" width="9.7109375" style="1369" customWidth="1"/>
    <col min="14351" max="14351" width="6.421875" style="1369" customWidth="1"/>
    <col min="14352" max="14356" width="11.421875" style="1369" hidden="1" customWidth="1"/>
    <col min="14357" max="14357" width="9.7109375" style="1369" customWidth="1"/>
    <col min="14358" max="14358" width="15.7109375" style="1369" customWidth="1"/>
    <col min="14359" max="14359" width="4.140625" style="1369" customWidth="1"/>
    <col min="14360" max="14592" width="11.421875" style="1369" customWidth="1"/>
    <col min="14593" max="14594" width="4.140625" style="1369" customWidth="1"/>
    <col min="14595" max="14595" width="5.421875" style="1369" customWidth="1"/>
    <col min="14596" max="14597" width="13.57421875" style="1369" customWidth="1"/>
    <col min="14598" max="14598" width="30.7109375" style="1369" customWidth="1"/>
    <col min="14599" max="14599" width="40.7109375" style="1369" customWidth="1"/>
    <col min="14600" max="14600" width="11.00390625" style="1369" customWidth="1"/>
    <col min="14601" max="14601" width="11.421875" style="1369" hidden="1" customWidth="1"/>
    <col min="14602" max="14602" width="16.28125" style="1369" customWidth="1"/>
    <col min="14603" max="14603" width="16.140625" style="1369" customWidth="1"/>
    <col min="14604" max="14606" width="9.7109375" style="1369" customWidth="1"/>
    <col min="14607" max="14607" width="6.421875" style="1369" customWidth="1"/>
    <col min="14608" max="14612" width="11.421875" style="1369" hidden="1" customWidth="1"/>
    <col min="14613" max="14613" width="9.7109375" style="1369" customWidth="1"/>
    <col min="14614" max="14614" width="15.7109375" style="1369" customWidth="1"/>
    <col min="14615" max="14615" width="4.140625" style="1369" customWidth="1"/>
    <col min="14616" max="14848" width="11.421875" style="1369" customWidth="1"/>
    <col min="14849" max="14850" width="4.140625" style="1369" customWidth="1"/>
    <col min="14851" max="14851" width="5.421875" style="1369" customWidth="1"/>
    <col min="14852" max="14853" width="13.57421875" style="1369" customWidth="1"/>
    <col min="14854" max="14854" width="30.7109375" style="1369" customWidth="1"/>
    <col min="14855" max="14855" width="40.7109375" style="1369" customWidth="1"/>
    <col min="14856" max="14856" width="11.00390625" style="1369" customWidth="1"/>
    <col min="14857" max="14857" width="11.421875" style="1369" hidden="1" customWidth="1"/>
    <col min="14858" max="14858" width="16.28125" style="1369" customWidth="1"/>
    <col min="14859" max="14859" width="16.140625" style="1369" customWidth="1"/>
    <col min="14860" max="14862" width="9.7109375" style="1369" customWidth="1"/>
    <col min="14863" max="14863" width="6.421875" style="1369" customWidth="1"/>
    <col min="14864" max="14868" width="11.421875" style="1369" hidden="1" customWidth="1"/>
    <col min="14869" max="14869" width="9.7109375" style="1369" customWidth="1"/>
    <col min="14870" max="14870" width="15.7109375" style="1369" customWidth="1"/>
    <col min="14871" max="14871" width="4.140625" style="1369" customWidth="1"/>
    <col min="14872" max="15104" width="11.421875" style="1369" customWidth="1"/>
    <col min="15105" max="15106" width="4.140625" style="1369" customWidth="1"/>
    <col min="15107" max="15107" width="5.421875" style="1369" customWidth="1"/>
    <col min="15108" max="15109" width="13.57421875" style="1369" customWidth="1"/>
    <col min="15110" max="15110" width="30.7109375" style="1369" customWidth="1"/>
    <col min="15111" max="15111" width="40.7109375" style="1369" customWidth="1"/>
    <col min="15112" max="15112" width="11.00390625" style="1369" customWidth="1"/>
    <col min="15113" max="15113" width="11.421875" style="1369" hidden="1" customWidth="1"/>
    <col min="15114" max="15114" width="16.28125" style="1369" customWidth="1"/>
    <col min="15115" max="15115" width="16.140625" style="1369" customWidth="1"/>
    <col min="15116" max="15118" width="9.7109375" style="1369" customWidth="1"/>
    <col min="15119" max="15119" width="6.421875" style="1369" customWidth="1"/>
    <col min="15120" max="15124" width="11.421875" style="1369" hidden="1" customWidth="1"/>
    <col min="15125" max="15125" width="9.7109375" style="1369" customWidth="1"/>
    <col min="15126" max="15126" width="15.7109375" style="1369" customWidth="1"/>
    <col min="15127" max="15127" width="4.140625" style="1369" customWidth="1"/>
    <col min="15128" max="15360" width="11.421875" style="1369" customWidth="1"/>
    <col min="15361" max="15362" width="4.140625" style="1369" customWidth="1"/>
    <col min="15363" max="15363" width="5.421875" style="1369" customWidth="1"/>
    <col min="15364" max="15365" width="13.57421875" style="1369" customWidth="1"/>
    <col min="15366" max="15366" width="30.7109375" style="1369" customWidth="1"/>
    <col min="15367" max="15367" width="40.7109375" style="1369" customWidth="1"/>
    <col min="15368" max="15368" width="11.00390625" style="1369" customWidth="1"/>
    <col min="15369" max="15369" width="11.421875" style="1369" hidden="1" customWidth="1"/>
    <col min="15370" max="15370" width="16.28125" style="1369" customWidth="1"/>
    <col min="15371" max="15371" width="16.140625" style="1369" customWidth="1"/>
    <col min="15372" max="15374" width="9.7109375" style="1369" customWidth="1"/>
    <col min="15375" max="15375" width="6.421875" style="1369" customWidth="1"/>
    <col min="15376" max="15380" width="11.421875" style="1369" hidden="1" customWidth="1"/>
    <col min="15381" max="15381" width="9.7109375" style="1369" customWidth="1"/>
    <col min="15382" max="15382" width="15.7109375" style="1369" customWidth="1"/>
    <col min="15383" max="15383" width="4.140625" style="1369" customWidth="1"/>
    <col min="15384" max="15616" width="11.421875" style="1369" customWidth="1"/>
    <col min="15617" max="15618" width="4.140625" style="1369" customWidth="1"/>
    <col min="15619" max="15619" width="5.421875" style="1369" customWidth="1"/>
    <col min="15620" max="15621" width="13.57421875" style="1369" customWidth="1"/>
    <col min="15622" max="15622" width="30.7109375" style="1369" customWidth="1"/>
    <col min="15623" max="15623" width="40.7109375" style="1369" customWidth="1"/>
    <col min="15624" max="15624" width="11.00390625" style="1369" customWidth="1"/>
    <col min="15625" max="15625" width="11.421875" style="1369" hidden="1" customWidth="1"/>
    <col min="15626" max="15626" width="16.28125" style="1369" customWidth="1"/>
    <col min="15627" max="15627" width="16.140625" style="1369" customWidth="1"/>
    <col min="15628" max="15630" width="9.7109375" style="1369" customWidth="1"/>
    <col min="15631" max="15631" width="6.421875" style="1369" customWidth="1"/>
    <col min="15632" max="15636" width="11.421875" style="1369" hidden="1" customWidth="1"/>
    <col min="15637" max="15637" width="9.7109375" style="1369" customWidth="1"/>
    <col min="15638" max="15638" width="15.7109375" style="1369" customWidth="1"/>
    <col min="15639" max="15639" width="4.140625" style="1369" customWidth="1"/>
    <col min="15640" max="15872" width="11.421875" style="1369" customWidth="1"/>
    <col min="15873" max="15874" width="4.140625" style="1369" customWidth="1"/>
    <col min="15875" max="15875" width="5.421875" style="1369" customWidth="1"/>
    <col min="15876" max="15877" width="13.57421875" style="1369" customWidth="1"/>
    <col min="15878" max="15878" width="30.7109375" style="1369" customWidth="1"/>
    <col min="15879" max="15879" width="40.7109375" style="1369" customWidth="1"/>
    <col min="15880" max="15880" width="11.00390625" style="1369" customWidth="1"/>
    <col min="15881" max="15881" width="11.421875" style="1369" hidden="1" customWidth="1"/>
    <col min="15882" max="15882" width="16.28125" style="1369" customWidth="1"/>
    <col min="15883" max="15883" width="16.140625" style="1369" customWidth="1"/>
    <col min="15884" max="15886" width="9.7109375" style="1369" customWidth="1"/>
    <col min="15887" max="15887" width="6.421875" style="1369" customWidth="1"/>
    <col min="15888" max="15892" width="11.421875" style="1369" hidden="1" customWidth="1"/>
    <col min="15893" max="15893" width="9.7109375" style="1369" customWidth="1"/>
    <col min="15894" max="15894" width="15.7109375" style="1369" customWidth="1"/>
    <col min="15895" max="15895" width="4.140625" style="1369" customWidth="1"/>
    <col min="15896" max="16128" width="11.421875" style="1369" customWidth="1"/>
    <col min="16129" max="16130" width="4.140625" style="1369" customWidth="1"/>
    <col min="16131" max="16131" width="5.421875" style="1369" customWidth="1"/>
    <col min="16132" max="16133" width="13.57421875" style="1369" customWidth="1"/>
    <col min="16134" max="16134" width="30.7109375" style="1369" customWidth="1"/>
    <col min="16135" max="16135" width="40.7109375" style="1369" customWidth="1"/>
    <col min="16136" max="16136" width="11.00390625" style="1369" customWidth="1"/>
    <col min="16137" max="16137" width="11.421875" style="1369" hidden="1" customWidth="1"/>
    <col min="16138" max="16138" width="16.28125" style="1369" customWidth="1"/>
    <col min="16139" max="16139" width="16.140625" style="1369" customWidth="1"/>
    <col min="16140" max="16142" width="9.7109375" style="1369" customWidth="1"/>
    <col min="16143" max="16143" width="6.421875" style="1369" customWidth="1"/>
    <col min="16144" max="16148" width="11.421875" style="1369" hidden="1" customWidth="1"/>
    <col min="16149" max="16149" width="9.7109375" style="1369" customWidth="1"/>
    <col min="16150" max="16150" width="15.7109375" style="1369" customWidth="1"/>
    <col min="16151" max="16151" width="4.140625" style="1369" customWidth="1"/>
    <col min="16152" max="16384" width="11.421875" style="1369" customWidth="1"/>
  </cols>
  <sheetData>
    <row r="1" s="1370" customFormat="1" ht="26.25">
      <c r="W1" s="1371"/>
    </row>
    <row r="2" spans="1:23" s="1370" customFormat="1" ht="26.25">
      <c r="A2" s="1372"/>
      <c r="B2" s="1373" t="str">
        <f>'TOT-0116'!B2</f>
        <v>ANEXO II al Memorándum D.T.E.E. N° 231 / 2017</v>
      </c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  <c r="Q2" s="1373"/>
      <c r="R2" s="1373"/>
      <c r="S2" s="1373"/>
      <c r="T2" s="1373"/>
      <c r="U2" s="1373"/>
      <c r="V2" s="1373"/>
      <c r="W2" s="1373"/>
    </row>
    <row r="3" s="1375" customFormat="1" ht="12.75">
      <c r="A3" s="1374"/>
    </row>
    <row r="4" spans="1:4" s="1378" customFormat="1" ht="11.25">
      <c r="A4" s="1376" t="s">
        <v>2</v>
      </c>
      <c r="B4" s="1377"/>
      <c r="C4" s="1377"/>
      <c r="D4" s="1377"/>
    </row>
    <row r="5" spans="1:4" s="1378" customFormat="1" ht="11.25">
      <c r="A5" s="1376" t="s">
        <v>3</v>
      </c>
      <c r="B5" s="1377"/>
      <c r="C5" s="1377"/>
      <c r="D5" s="1377"/>
    </row>
    <row r="6" s="1375" customFormat="1" ht="13.5" thickBot="1"/>
    <row r="7" spans="2:23" s="1375" customFormat="1" ht="13.5" thickTop="1">
      <c r="B7" s="1379"/>
      <c r="C7" s="1380"/>
      <c r="D7" s="1380"/>
      <c r="E7" s="1380"/>
      <c r="F7" s="1380"/>
      <c r="G7" s="1380"/>
      <c r="H7" s="1380"/>
      <c r="I7" s="1380"/>
      <c r="J7" s="1380"/>
      <c r="K7" s="1380"/>
      <c r="L7" s="1380"/>
      <c r="M7" s="1380"/>
      <c r="N7" s="1380"/>
      <c r="O7" s="1380"/>
      <c r="P7" s="1380"/>
      <c r="Q7" s="1380"/>
      <c r="R7" s="1380"/>
      <c r="S7" s="1380"/>
      <c r="T7" s="1380"/>
      <c r="U7" s="1380"/>
      <c r="V7" s="1380"/>
      <c r="W7" s="2906"/>
    </row>
    <row r="8" spans="2:23" s="1383" customFormat="1" ht="20.25">
      <c r="B8" s="1384"/>
      <c r="C8" s="1385"/>
      <c r="D8" s="1385"/>
      <c r="E8" s="1385"/>
      <c r="F8" s="2907" t="s">
        <v>69</v>
      </c>
      <c r="N8" s="2908"/>
      <c r="O8" s="2908"/>
      <c r="P8" s="2909"/>
      <c r="Q8" s="1385"/>
      <c r="R8" s="1385"/>
      <c r="S8" s="1385"/>
      <c r="T8" s="1385"/>
      <c r="U8" s="1385"/>
      <c r="V8" s="1385"/>
      <c r="W8" s="2910"/>
    </row>
    <row r="9" spans="2:23" s="1375" customFormat="1" ht="12.75">
      <c r="B9" s="1389"/>
      <c r="C9" s="1390"/>
      <c r="D9" s="1390"/>
      <c r="E9" s="1390"/>
      <c r="F9" s="2911"/>
      <c r="G9" s="2911"/>
      <c r="H9" s="2911"/>
      <c r="I9" s="2911"/>
      <c r="J9" s="2911"/>
      <c r="K9" s="2911"/>
      <c r="L9" s="2911"/>
      <c r="M9" s="2911"/>
      <c r="N9" s="2911"/>
      <c r="O9" s="2911"/>
      <c r="P9" s="2911"/>
      <c r="Q9" s="1390"/>
      <c r="R9" s="1390"/>
      <c r="S9" s="1390"/>
      <c r="T9" s="1390"/>
      <c r="U9" s="1390"/>
      <c r="V9" s="1390"/>
      <c r="W9" s="2912"/>
    </row>
    <row r="10" spans="2:23" s="1383" customFormat="1" ht="20.25">
      <c r="B10" s="1384"/>
      <c r="C10" s="1385"/>
      <c r="D10" s="1385"/>
      <c r="E10" s="1385"/>
      <c r="F10" s="2913" t="s">
        <v>223</v>
      </c>
      <c r="G10" s="2914"/>
      <c r="H10" s="2908"/>
      <c r="I10" s="2915"/>
      <c r="K10" s="2915"/>
      <c r="L10" s="2915"/>
      <c r="M10" s="2915"/>
      <c r="N10" s="2915"/>
      <c r="O10" s="2915"/>
      <c r="P10" s="2915"/>
      <c r="Q10" s="1385"/>
      <c r="R10" s="1385"/>
      <c r="S10" s="1385"/>
      <c r="T10" s="1385"/>
      <c r="U10" s="1385"/>
      <c r="V10" s="1385"/>
      <c r="W10" s="2910"/>
    </row>
    <row r="11" spans="2:23" s="1375" customFormat="1" ht="13.5">
      <c r="B11" s="1389"/>
      <c r="C11" s="1390"/>
      <c r="D11" s="1390"/>
      <c r="E11" s="1390"/>
      <c r="F11" s="2916"/>
      <c r="G11" s="2916"/>
      <c r="H11" s="1374"/>
      <c r="I11" s="2917"/>
      <c r="J11" s="2918"/>
      <c r="K11" s="2917"/>
      <c r="L11" s="2917"/>
      <c r="M11" s="2917"/>
      <c r="N11" s="2917"/>
      <c r="O11" s="2917"/>
      <c r="P11" s="2917"/>
      <c r="Q11" s="1390"/>
      <c r="R11" s="1390"/>
      <c r="S11" s="1390"/>
      <c r="T11" s="1390"/>
      <c r="U11" s="1390"/>
      <c r="V11" s="1390"/>
      <c r="W11" s="2912"/>
    </row>
    <row r="12" spans="2:23" s="1383" customFormat="1" ht="20.25">
      <c r="B12" s="1384"/>
      <c r="C12" s="1385"/>
      <c r="D12" s="1385"/>
      <c r="E12" s="1385"/>
      <c r="F12" s="2913" t="s">
        <v>423</v>
      </c>
      <c r="G12" s="2914"/>
      <c r="H12" s="2908"/>
      <c r="I12" s="2915"/>
      <c r="K12" s="2915"/>
      <c r="L12" s="2915"/>
      <c r="M12" s="2915"/>
      <c r="N12" s="2915"/>
      <c r="O12" s="2915"/>
      <c r="P12" s="2915"/>
      <c r="Q12" s="1385"/>
      <c r="R12" s="1385"/>
      <c r="S12" s="1385"/>
      <c r="T12" s="1385"/>
      <c r="U12" s="1385"/>
      <c r="V12" s="1385"/>
      <c r="W12" s="2910"/>
    </row>
    <row r="13" spans="2:23" s="1375" customFormat="1" ht="13.5">
      <c r="B13" s="1389"/>
      <c r="C13" s="1390"/>
      <c r="D13" s="1390"/>
      <c r="E13" s="1390"/>
      <c r="F13" s="2916"/>
      <c r="G13" s="2916"/>
      <c r="H13" s="1374"/>
      <c r="I13" s="2917"/>
      <c r="J13" s="2918"/>
      <c r="K13" s="2917"/>
      <c r="L13" s="2917"/>
      <c r="M13" s="2917"/>
      <c r="N13" s="2917"/>
      <c r="O13" s="2917"/>
      <c r="P13" s="2917"/>
      <c r="Q13" s="1390"/>
      <c r="R13" s="1390"/>
      <c r="S13" s="1390"/>
      <c r="T13" s="1390"/>
      <c r="U13" s="1390"/>
      <c r="V13" s="1390"/>
      <c r="W13" s="2912"/>
    </row>
    <row r="14" spans="2:23" s="1375" customFormat="1" ht="19.5">
      <c r="B14" s="1224" t="str">
        <f>'TOT-0116'!B14</f>
        <v>Desde el 01 al 31 de enero de 2016</v>
      </c>
      <c r="C14" s="1404"/>
      <c r="D14" s="1404"/>
      <c r="E14" s="1404"/>
      <c r="F14" s="1404"/>
      <c r="G14" s="1404"/>
      <c r="H14" s="1404"/>
      <c r="I14" s="2919"/>
      <c r="J14" s="2919"/>
      <c r="K14" s="2919"/>
      <c r="L14" s="2919"/>
      <c r="M14" s="2919"/>
      <c r="N14" s="2919"/>
      <c r="O14" s="2919"/>
      <c r="P14" s="2919"/>
      <c r="Q14" s="1404"/>
      <c r="R14" s="1404"/>
      <c r="S14" s="1404"/>
      <c r="T14" s="1404"/>
      <c r="U14" s="1404"/>
      <c r="V14" s="1404"/>
      <c r="W14" s="2920"/>
    </row>
    <row r="15" spans="2:23" s="1375" customFormat="1" ht="14.25" thickBot="1">
      <c r="B15" s="2921"/>
      <c r="C15" s="2922"/>
      <c r="D15" s="2922"/>
      <c r="E15" s="2922"/>
      <c r="F15" s="2922"/>
      <c r="G15" s="2922"/>
      <c r="H15" s="2922"/>
      <c r="I15" s="2923"/>
      <c r="J15" s="2923"/>
      <c r="K15" s="2923"/>
      <c r="L15" s="2923"/>
      <c r="M15" s="2923"/>
      <c r="N15" s="2923"/>
      <c r="O15" s="2923"/>
      <c r="P15" s="2923"/>
      <c r="Q15" s="2922"/>
      <c r="R15" s="2922"/>
      <c r="S15" s="2922"/>
      <c r="T15" s="2922"/>
      <c r="U15" s="2922"/>
      <c r="V15" s="2922"/>
      <c r="W15" s="2924"/>
    </row>
    <row r="16" spans="2:23" s="1375" customFormat="1" ht="15" thickBot="1" thickTop="1">
      <c r="B16" s="1389"/>
      <c r="C16" s="1390"/>
      <c r="D16" s="1390"/>
      <c r="E16" s="1390"/>
      <c r="F16" s="2925"/>
      <c r="G16" s="2925"/>
      <c r="H16" s="2926" t="s">
        <v>81</v>
      </c>
      <c r="I16" s="1390"/>
      <c r="J16" s="2918"/>
      <c r="K16" s="1390"/>
      <c r="L16" s="1390"/>
      <c r="M16" s="1390"/>
      <c r="N16" s="1390"/>
      <c r="O16" s="1390"/>
      <c r="P16" s="1390"/>
      <c r="Q16" s="1390"/>
      <c r="R16" s="1390"/>
      <c r="S16" s="1390"/>
      <c r="T16" s="1390"/>
      <c r="U16" s="1390"/>
      <c r="V16" s="1390"/>
      <c r="W16" s="2912"/>
    </row>
    <row r="17" spans="2:23" s="1375" customFormat="1" ht="17.1" customHeight="1" thickBot="1" thickTop="1">
      <c r="B17" s="1389"/>
      <c r="C17" s="1390"/>
      <c r="D17" s="1390"/>
      <c r="E17" s="1390"/>
      <c r="F17" s="2927" t="s">
        <v>82</v>
      </c>
      <c r="G17" s="2928" t="s">
        <v>261</v>
      </c>
      <c r="H17" s="2929">
        <v>200</v>
      </c>
      <c r="V17" s="1414"/>
      <c r="W17" s="2912"/>
    </row>
    <row r="18" spans="2:23" s="1375" customFormat="1" ht="17.1" customHeight="1" thickBot="1" thickTop="1">
      <c r="B18" s="1389"/>
      <c r="C18" s="1390"/>
      <c r="D18" s="1390"/>
      <c r="E18" s="1390"/>
      <c r="F18" s="2930" t="s">
        <v>83</v>
      </c>
      <c r="G18" s="2931">
        <v>149.0364</v>
      </c>
      <c r="H18" s="2929">
        <v>100</v>
      </c>
      <c r="O18" s="1390"/>
      <c r="P18" s="1390"/>
      <c r="Q18" s="1390"/>
      <c r="R18" s="1390"/>
      <c r="S18" s="1390"/>
      <c r="T18" s="1390"/>
      <c r="U18" s="1390"/>
      <c r="V18" s="1390"/>
      <c r="W18" s="2912"/>
    </row>
    <row r="19" spans="2:23" s="1375" customFormat="1" ht="17.1" customHeight="1" thickBot="1" thickTop="1">
      <c r="B19" s="1389"/>
      <c r="C19" s="1390"/>
      <c r="D19" s="1390"/>
      <c r="E19" s="1390"/>
      <c r="F19" s="2932" t="s">
        <v>84</v>
      </c>
      <c r="G19" s="2931">
        <v>132.49859999999998</v>
      </c>
      <c r="H19" s="2929">
        <v>40</v>
      </c>
      <c r="K19" s="1412"/>
      <c r="L19" s="1413"/>
      <c r="M19" s="1390"/>
      <c r="O19" s="1390"/>
      <c r="Q19" s="1390"/>
      <c r="R19" s="1390"/>
      <c r="S19" s="1390"/>
      <c r="T19" s="1390"/>
      <c r="U19" s="1390"/>
      <c r="V19" s="1390"/>
      <c r="W19" s="2912"/>
    </row>
    <row r="20" spans="2:23" s="1375" customFormat="1" ht="17.1" customHeight="1" thickBot="1" thickTop="1">
      <c r="B20" s="1389"/>
      <c r="C20" s="1415">
        <v>3</v>
      </c>
      <c r="D20" s="1415">
        <v>4</v>
      </c>
      <c r="E20" s="1415">
        <v>5</v>
      </c>
      <c r="F20" s="1415">
        <v>6</v>
      </c>
      <c r="G20" s="1415">
        <v>7</v>
      </c>
      <c r="H20" s="1415">
        <v>8</v>
      </c>
      <c r="I20" s="1415">
        <v>9</v>
      </c>
      <c r="J20" s="1415">
        <v>10</v>
      </c>
      <c r="K20" s="1415">
        <v>11</v>
      </c>
      <c r="L20" s="1415">
        <v>12</v>
      </c>
      <c r="M20" s="1415">
        <v>13</v>
      </c>
      <c r="N20" s="1415">
        <v>14</v>
      </c>
      <c r="O20" s="1415">
        <v>15</v>
      </c>
      <c r="P20" s="1415">
        <v>16</v>
      </c>
      <c r="Q20" s="1415">
        <v>17</v>
      </c>
      <c r="R20" s="1415">
        <v>18</v>
      </c>
      <c r="S20" s="1415">
        <v>19</v>
      </c>
      <c r="T20" s="1415">
        <v>20</v>
      </c>
      <c r="U20" s="1415">
        <v>21</v>
      </c>
      <c r="V20" s="1415">
        <v>22</v>
      </c>
      <c r="W20" s="2912"/>
    </row>
    <row r="21" spans="2:23" s="1375" customFormat="1" ht="33.95" customHeight="1" thickBot="1" thickTop="1">
      <c r="B21" s="1389"/>
      <c r="C21" s="2933" t="s">
        <v>13</v>
      </c>
      <c r="D21" s="1416" t="s">
        <v>242</v>
      </c>
      <c r="E21" s="1416" t="s">
        <v>243</v>
      </c>
      <c r="F21" s="1419" t="s">
        <v>27</v>
      </c>
      <c r="G21" s="2934" t="s">
        <v>28</v>
      </c>
      <c r="H21" s="2935" t="s">
        <v>14</v>
      </c>
      <c r="I21" s="2936" t="s">
        <v>16</v>
      </c>
      <c r="J21" s="1417" t="s">
        <v>17</v>
      </c>
      <c r="K21" s="2934" t="s">
        <v>18</v>
      </c>
      <c r="L21" s="2937" t="s">
        <v>36</v>
      </c>
      <c r="M21" s="2937" t="s">
        <v>31</v>
      </c>
      <c r="N21" s="1424" t="s">
        <v>19</v>
      </c>
      <c r="O21" s="1423" t="s">
        <v>32</v>
      </c>
      <c r="P21" s="2938" t="s">
        <v>37</v>
      </c>
      <c r="Q21" s="2939" t="s">
        <v>70</v>
      </c>
      <c r="R21" s="2940" t="s">
        <v>35</v>
      </c>
      <c r="S21" s="2941"/>
      <c r="T21" s="2942" t="s">
        <v>22</v>
      </c>
      <c r="U21" s="1435" t="s">
        <v>74</v>
      </c>
      <c r="V21" s="2943" t="s">
        <v>24</v>
      </c>
      <c r="W21" s="2912"/>
    </row>
    <row r="22" spans="2:23" s="1375" customFormat="1" ht="17.1" customHeight="1" thickTop="1">
      <c r="B22" s="1389"/>
      <c r="C22" s="2944"/>
      <c r="D22" s="2944"/>
      <c r="E22" s="2944"/>
      <c r="F22" s="2945"/>
      <c r="G22" s="2945"/>
      <c r="H22" s="2945"/>
      <c r="I22" s="2946"/>
      <c r="J22" s="2945"/>
      <c r="K22" s="2945"/>
      <c r="L22" s="2945"/>
      <c r="M22" s="2945"/>
      <c r="N22" s="2945"/>
      <c r="O22" s="2945"/>
      <c r="P22" s="2947"/>
      <c r="Q22" s="2948"/>
      <c r="R22" s="2949"/>
      <c r="S22" s="2950"/>
      <c r="T22" s="2951"/>
      <c r="U22" s="2945"/>
      <c r="V22" s="2952"/>
      <c r="W22" s="2912"/>
    </row>
    <row r="23" spans="2:23" s="1375" customFormat="1" ht="17.1" customHeight="1">
      <c r="B23" s="1389"/>
      <c r="C23" s="1493"/>
      <c r="D23" s="1493"/>
      <c r="E23" s="1493"/>
      <c r="F23" s="2953"/>
      <c r="G23" s="2953"/>
      <c r="H23" s="2953"/>
      <c r="I23" s="2954"/>
      <c r="J23" s="2953"/>
      <c r="K23" s="2953"/>
      <c r="L23" s="2953"/>
      <c r="M23" s="2953"/>
      <c r="N23" s="2953"/>
      <c r="O23" s="2953"/>
      <c r="P23" s="2955"/>
      <c r="Q23" s="2956"/>
      <c r="R23" s="2957"/>
      <c r="S23" s="2958"/>
      <c r="T23" s="2959"/>
      <c r="U23" s="2953"/>
      <c r="V23" s="2960"/>
      <c r="W23" s="2912"/>
    </row>
    <row r="24" spans="2:23" s="1375" customFormat="1" ht="17.1" customHeight="1">
      <c r="B24" s="1389"/>
      <c r="C24" s="1493">
        <v>62</v>
      </c>
      <c r="D24" s="1493">
        <v>297361</v>
      </c>
      <c r="E24" s="1490">
        <v>5379</v>
      </c>
      <c r="F24" s="1821" t="s">
        <v>424</v>
      </c>
      <c r="G24" s="1821" t="s">
        <v>425</v>
      </c>
      <c r="H24" s="1822">
        <v>220</v>
      </c>
      <c r="I24" s="2961">
        <f aca="true" t="shared" si="0" ref="I24:I43">IF(H24=500,$G$17,IF(H24=220,$G$18,$G$19))</f>
        <v>149.0364</v>
      </c>
      <c r="J24" s="1823">
        <v>42381.28888888889</v>
      </c>
      <c r="K24" s="1824">
        <v>42381.705555555556</v>
      </c>
      <c r="L24" s="2962">
        <f aca="true" t="shared" si="1" ref="L24:L43">IF(F24="","",(K24-J24)*24)</f>
        <v>9.999999999941792</v>
      </c>
      <c r="M24" s="2963">
        <f aca="true" t="shared" si="2" ref="M24:M43">IF(F24="","",ROUND((K24-J24)*24*60,0))</f>
        <v>600</v>
      </c>
      <c r="N24" s="1465" t="s">
        <v>304</v>
      </c>
      <c r="O24" s="1467" t="str">
        <f aca="true" t="shared" si="3" ref="O24:O43">IF(F24="","",IF(N24="P","--","NO"))</f>
        <v>--</v>
      </c>
      <c r="P24" s="2964">
        <f aca="true" t="shared" si="4" ref="P24:P43">IF(H24=500,$H$17,IF(H24=220,$H$18,$H$19))</f>
        <v>100</v>
      </c>
      <c r="Q24" s="2965">
        <f aca="true" t="shared" si="5" ref="Q24:Q43">IF(N24="P",I24*P24*ROUND(M24/60,2)*0.1,"--")</f>
        <v>14903.64</v>
      </c>
      <c r="R24" s="2957" t="str">
        <f aca="true" t="shared" si="6" ref="R24:R43">IF(AND(N24="F",O24="NO"),I24*P24,"--")</f>
        <v>--</v>
      </c>
      <c r="S24" s="2958" t="str">
        <f aca="true" t="shared" si="7" ref="S24:S43">IF(N24="F",I24*P24*ROUND(M24/60,2),"--")</f>
        <v>--</v>
      </c>
      <c r="T24" s="2959" t="str">
        <f aca="true" t="shared" si="8" ref="T24:T43">IF(N24="RF",I24*P24*ROUND(M24/60,2),"--")</f>
        <v>--</v>
      </c>
      <c r="U24" s="1467" t="str">
        <f aca="true" t="shared" si="9" ref="U24:U43">IF(F24="","","SI")</f>
        <v>SI</v>
      </c>
      <c r="V24" s="2966">
        <f aca="true" t="shared" si="10" ref="V24:V43">IF(F24="","",SUM(Q24:T24)*IF(U24="SI",1,2))</f>
        <v>14903.64</v>
      </c>
      <c r="W24" s="2912"/>
    </row>
    <row r="25" spans="2:23" s="1375" customFormat="1" ht="17.1" customHeight="1">
      <c r="B25" s="1389"/>
      <c r="C25" s="1493">
        <v>63</v>
      </c>
      <c r="D25" s="1493">
        <v>297388</v>
      </c>
      <c r="E25" s="1490">
        <v>5380</v>
      </c>
      <c r="F25" s="1821" t="s">
        <v>424</v>
      </c>
      <c r="G25" s="1821" t="s">
        <v>426</v>
      </c>
      <c r="H25" s="1822">
        <v>220</v>
      </c>
      <c r="I25" s="2961">
        <f t="shared" si="0"/>
        <v>149.0364</v>
      </c>
      <c r="J25" s="1823">
        <v>42384.32152777778</v>
      </c>
      <c r="K25" s="1824">
        <v>42384.73472222222</v>
      </c>
      <c r="L25" s="2962">
        <f t="shared" si="1"/>
        <v>9.91666666668607</v>
      </c>
      <c r="M25" s="2963">
        <f t="shared" si="2"/>
        <v>595</v>
      </c>
      <c r="N25" s="1465" t="s">
        <v>304</v>
      </c>
      <c r="O25" s="1467" t="str">
        <f t="shared" si="3"/>
        <v>--</v>
      </c>
      <c r="P25" s="2964">
        <f t="shared" si="4"/>
        <v>100</v>
      </c>
      <c r="Q25" s="2965">
        <f t="shared" si="5"/>
        <v>14784.41088</v>
      </c>
      <c r="R25" s="2957" t="str">
        <f t="shared" si="6"/>
        <v>--</v>
      </c>
      <c r="S25" s="2958" t="str">
        <f t="shared" si="7"/>
        <v>--</v>
      </c>
      <c r="T25" s="2959" t="str">
        <f t="shared" si="8"/>
        <v>--</v>
      </c>
      <c r="U25" s="1467" t="str">
        <f t="shared" si="9"/>
        <v>SI</v>
      </c>
      <c r="V25" s="2966">
        <f t="shared" si="10"/>
        <v>14784.41088</v>
      </c>
      <c r="W25" s="2912"/>
    </row>
    <row r="26" spans="2:23" s="1375" customFormat="1" ht="17.1" customHeight="1">
      <c r="B26" s="1389"/>
      <c r="C26" s="1493"/>
      <c r="D26" s="1493"/>
      <c r="E26" s="1493"/>
      <c r="F26" s="2257"/>
      <c r="G26" s="2257"/>
      <c r="H26" s="2967"/>
      <c r="I26" s="2961">
        <f t="shared" si="0"/>
        <v>132.49859999999998</v>
      </c>
      <c r="J26" s="1823"/>
      <c r="K26" s="1824"/>
      <c r="L26" s="2962" t="str">
        <f aca="true" t="shared" si="11" ref="L26:L32">IF(F26="","",(K26-J26)*24)</f>
        <v/>
      </c>
      <c r="M26" s="2963" t="str">
        <f aca="true" t="shared" si="12" ref="M26:M32">IF(F26="","",ROUND((K26-J26)*24*60,0))</f>
        <v/>
      </c>
      <c r="N26" s="1465"/>
      <c r="O26" s="1467" t="str">
        <f t="shared" si="3"/>
        <v/>
      </c>
      <c r="P26" s="2964">
        <f t="shared" si="4"/>
        <v>40</v>
      </c>
      <c r="Q26" s="2965" t="str">
        <f t="shared" si="5"/>
        <v>--</v>
      </c>
      <c r="R26" s="2957" t="str">
        <f t="shared" si="6"/>
        <v>--</v>
      </c>
      <c r="S26" s="2958" t="str">
        <f t="shared" si="7"/>
        <v>--</v>
      </c>
      <c r="T26" s="2959" t="str">
        <f t="shared" si="8"/>
        <v>--</v>
      </c>
      <c r="U26" s="1467" t="str">
        <f t="shared" si="9"/>
        <v/>
      </c>
      <c r="V26" s="2966" t="str">
        <f t="shared" si="10"/>
        <v/>
      </c>
      <c r="W26" s="2912"/>
    </row>
    <row r="27" spans="2:23" s="1375" customFormat="1" ht="17.1" customHeight="1">
      <c r="B27" s="1389"/>
      <c r="C27" s="1493"/>
      <c r="D27" s="1493"/>
      <c r="E27" s="1455"/>
      <c r="F27" s="2257"/>
      <c r="G27" s="2257"/>
      <c r="H27" s="2967"/>
      <c r="I27" s="2961"/>
      <c r="J27" s="1823"/>
      <c r="K27" s="1824"/>
      <c r="L27" s="2962" t="str">
        <f t="shared" si="11"/>
        <v/>
      </c>
      <c r="M27" s="2963" t="str">
        <f t="shared" si="12"/>
        <v/>
      </c>
      <c r="N27" s="1465"/>
      <c r="O27" s="1467" t="str">
        <f t="shared" si="3"/>
        <v/>
      </c>
      <c r="P27" s="2964"/>
      <c r="Q27" s="2965"/>
      <c r="R27" s="2957"/>
      <c r="S27" s="2958"/>
      <c r="T27" s="2959"/>
      <c r="U27" s="1467" t="str">
        <f t="shared" si="9"/>
        <v/>
      </c>
      <c r="V27" s="2966" t="str">
        <f t="shared" si="10"/>
        <v/>
      </c>
      <c r="W27" s="2912"/>
    </row>
    <row r="28" spans="2:23" s="1375" customFormat="1" ht="17.1" customHeight="1">
      <c r="B28" s="1389"/>
      <c r="C28" s="1493"/>
      <c r="D28" s="1493"/>
      <c r="E28" s="1490"/>
      <c r="F28" s="2257"/>
      <c r="G28" s="2257"/>
      <c r="H28" s="2967"/>
      <c r="I28" s="2961">
        <f t="shared" si="0"/>
        <v>132.49859999999998</v>
      </c>
      <c r="J28" s="1823"/>
      <c r="K28" s="1824"/>
      <c r="L28" s="2962" t="str">
        <f t="shared" si="11"/>
        <v/>
      </c>
      <c r="M28" s="2963" t="str">
        <f t="shared" si="12"/>
        <v/>
      </c>
      <c r="N28" s="1465"/>
      <c r="O28" s="1467" t="str">
        <f t="shared" si="3"/>
        <v/>
      </c>
      <c r="P28" s="2964">
        <f t="shared" si="4"/>
        <v>40</v>
      </c>
      <c r="Q28" s="2965" t="str">
        <f t="shared" si="5"/>
        <v>--</v>
      </c>
      <c r="R28" s="2957" t="str">
        <f t="shared" si="6"/>
        <v>--</v>
      </c>
      <c r="S28" s="2958" t="str">
        <f t="shared" si="7"/>
        <v>--</v>
      </c>
      <c r="T28" s="2959" t="str">
        <f t="shared" si="8"/>
        <v>--</v>
      </c>
      <c r="U28" s="1467" t="str">
        <f t="shared" si="9"/>
        <v/>
      </c>
      <c r="V28" s="2966" t="str">
        <f t="shared" si="10"/>
        <v/>
      </c>
      <c r="W28" s="2912"/>
    </row>
    <row r="29" spans="2:23" s="1375" customFormat="1" ht="17.1" customHeight="1">
      <c r="B29" s="1389"/>
      <c r="C29" s="1493"/>
      <c r="D29" s="1493"/>
      <c r="E29" s="1493"/>
      <c r="F29" s="2257"/>
      <c r="G29" s="2257"/>
      <c r="H29" s="2967"/>
      <c r="I29" s="2961">
        <f t="shared" si="0"/>
        <v>132.49859999999998</v>
      </c>
      <c r="J29" s="1823"/>
      <c r="K29" s="1824"/>
      <c r="L29" s="2962" t="str">
        <f t="shared" si="11"/>
        <v/>
      </c>
      <c r="M29" s="2963" t="str">
        <f t="shared" si="12"/>
        <v/>
      </c>
      <c r="N29" s="1465"/>
      <c r="O29" s="1467" t="str">
        <f t="shared" si="3"/>
        <v/>
      </c>
      <c r="P29" s="2964">
        <f t="shared" si="4"/>
        <v>40</v>
      </c>
      <c r="Q29" s="2965" t="str">
        <f t="shared" si="5"/>
        <v>--</v>
      </c>
      <c r="R29" s="2957" t="str">
        <f t="shared" si="6"/>
        <v>--</v>
      </c>
      <c r="S29" s="2958" t="str">
        <f t="shared" si="7"/>
        <v>--</v>
      </c>
      <c r="T29" s="2959" t="str">
        <f t="shared" si="8"/>
        <v>--</v>
      </c>
      <c r="U29" s="1467" t="str">
        <f t="shared" si="9"/>
        <v/>
      </c>
      <c r="V29" s="2966" t="str">
        <f t="shared" si="10"/>
        <v/>
      </c>
      <c r="W29" s="2912"/>
    </row>
    <row r="30" spans="2:23" s="1375" customFormat="1" ht="17.1" customHeight="1">
      <c r="B30" s="1389"/>
      <c r="C30" s="1493"/>
      <c r="D30" s="1493"/>
      <c r="E30" s="1490"/>
      <c r="F30" s="2257"/>
      <c r="G30" s="2257"/>
      <c r="H30" s="2967"/>
      <c r="I30" s="2961">
        <f t="shared" si="0"/>
        <v>132.49859999999998</v>
      </c>
      <c r="J30" s="1823"/>
      <c r="K30" s="1824"/>
      <c r="L30" s="2962" t="str">
        <f t="shared" si="11"/>
        <v/>
      </c>
      <c r="M30" s="2963" t="str">
        <f t="shared" si="12"/>
        <v/>
      </c>
      <c r="N30" s="1465"/>
      <c r="O30" s="1467" t="str">
        <f t="shared" si="3"/>
        <v/>
      </c>
      <c r="P30" s="2964">
        <f t="shared" si="4"/>
        <v>40</v>
      </c>
      <c r="Q30" s="2965" t="str">
        <f t="shared" si="5"/>
        <v>--</v>
      </c>
      <c r="R30" s="2957" t="str">
        <f t="shared" si="6"/>
        <v>--</v>
      </c>
      <c r="S30" s="2958" t="str">
        <f t="shared" si="7"/>
        <v>--</v>
      </c>
      <c r="T30" s="2959" t="str">
        <f t="shared" si="8"/>
        <v>--</v>
      </c>
      <c r="U30" s="1467" t="str">
        <f t="shared" si="9"/>
        <v/>
      </c>
      <c r="V30" s="2966" t="str">
        <f t="shared" si="10"/>
        <v/>
      </c>
      <c r="W30" s="2912"/>
    </row>
    <row r="31" spans="2:23" s="1375" customFormat="1" ht="17.1" customHeight="1">
      <c r="B31" s="1389"/>
      <c r="C31" s="1493"/>
      <c r="D31" s="1493"/>
      <c r="E31" s="1493"/>
      <c r="F31" s="2257"/>
      <c r="G31" s="2257"/>
      <c r="H31" s="2967"/>
      <c r="I31" s="2961">
        <f t="shared" si="0"/>
        <v>132.49859999999998</v>
      </c>
      <c r="J31" s="1823"/>
      <c r="K31" s="1824"/>
      <c r="L31" s="2962" t="str">
        <f t="shared" si="11"/>
        <v/>
      </c>
      <c r="M31" s="2963" t="str">
        <f t="shared" si="12"/>
        <v/>
      </c>
      <c r="N31" s="1465"/>
      <c r="O31" s="1467" t="str">
        <f t="shared" si="3"/>
        <v/>
      </c>
      <c r="P31" s="2964">
        <f t="shared" si="4"/>
        <v>40</v>
      </c>
      <c r="Q31" s="2965" t="str">
        <f t="shared" si="5"/>
        <v>--</v>
      </c>
      <c r="R31" s="2957" t="str">
        <f t="shared" si="6"/>
        <v>--</v>
      </c>
      <c r="S31" s="2958" t="str">
        <f t="shared" si="7"/>
        <v>--</v>
      </c>
      <c r="T31" s="2959" t="str">
        <f t="shared" si="8"/>
        <v>--</v>
      </c>
      <c r="U31" s="1467" t="str">
        <f t="shared" si="9"/>
        <v/>
      </c>
      <c r="V31" s="2966" t="str">
        <f t="shared" si="10"/>
        <v/>
      </c>
      <c r="W31" s="2912"/>
    </row>
    <row r="32" spans="2:23" s="1375" customFormat="1" ht="17.1" customHeight="1">
      <c r="B32" s="1389"/>
      <c r="C32" s="1493"/>
      <c r="D32" s="1493"/>
      <c r="E32" s="1490"/>
      <c r="F32" s="2257"/>
      <c r="G32" s="2257"/>
      <c r="H32" s="2967"/>
      <c r="I32" s="2961">
        <f t="shared" si="0"/>
        <v>132.49859999999998</v>
      </c>
      <c r="J32" s="1823"/>
      <c r="K32" s="1824"/>
      <c r="L32" s="2962" t="str">
        <f t="shared" si="11"/>
        <v/>
      </c>
      <c r="M32" s="2963" t="str">
        <f t="shared" si="12"/>
        <v/>
      </c>
      <c r="N32" s="1465"/>
      <c r="O32" s="1467" t="str">
        <f t="shared" si="3"/>
        <v/>
      </c>
      <c r="P32" s="2964">
        <f t="shared" si="4"/>
        <v>40</v>
      </c>
      <c r="Q32" s="2965" t="str">
        <f t="shared" si="5"/>
        <v>--</v>
      </c>
      <c r="R32" s="2957" t="str">
        <f t="shared" si="6"/>
        <v>--</v>
      </c>
      <c r="S32" s="2958" t="str">
        <f t="shared" si="7"/>
        <v>--</v>
      </c>
      <c r="T32" s="2959" t="str">
        <f t="shared" si="8"/>
        <v>--</v>
      </c>
      <c r="U32" s="1467" t="str">
        <f t="shared" si="9"/>
        <v/>
      </c>
      <c r="V32" s="2966" t="str">
        <f t="shared" si="10"/>
        <v/>
      </c>
      <c r="W32" s="2912"/>
    </row>
    <row r="33" spans="2:23" s="1375" customFormat="1" ht="17.1" customHeight="1">
      <c r="B33" s="1389"/>
      <c r="C33" s="1493"/>
      <c r="D33" s="1493"/>
      <c r="E33" s="1493"/>
      <c r="F33" s="2257"/>
      <c r="G33" s="2257"/>
      <c r="H33" s="2967"/>
      <c r="I33" s="2961">
        <f t="shared" si="0"/>
        <v>132.49859999999998</v>
      </c>
      <c r="J33" s="1823"/>
      <c r="K33" s="1824"/>
      <c r="L33" s="2962" t="str">
        <f t="shared" si="1"/>
        <v/>
      </c>
      <c r="M33" s="2963" t="str">
        <f t="shared" si="2"/>
        <v/>
      </c>
      <c r="N33" s="1465"/>
      <c r="O33" s="1467" t="str">
        <f t="shared" si="3"/>
        <v/>
      </c>
      <c r="P33" s="2964">
        <f t="shared" si="4"/>
        <v>40</v>
      </c>
      <c r="Q33" s="2965" t="str">
        <f t="shared" si="5"/>
        <v>--</v>
      </c>
      <c r="R33" s="2957" t="str">
        <f t="shared" si="6"/>
        <v>--</v>
      </c>
      <c r="S33" s="2958" t="str">
        <f t="shared" si="7"/>
        <v>--</v>
      </c>
      <c r="T33" s="2959" t="str">
        <f t="shared" si="8"/>
        <v>--</v>
      </c>
      <c r="U33" s="1467" t="str">
        <f t="shared" si="9"/>
        <v/>
      </c>
      <c r="V33" s="2966" t="str">
        <f t="shared" si="10"/>
        <v/>
      </c>
      <c r="W33" s="2912"/>
    </row>
    <row r="34" spans="2:23" s="1375" customFormat="1" ht="17.1" customHeight="1">
      <c r="B34" s="1389"/>
      <c r="C34" s="1493"/>
      <c r="D34" s="1493"/>
      <c r="E34" s="1490"/>
      <c r="F34" s="2257"/>
      <c r="G34" s="2257"/>
      <c r="H34" s="2967"/>
      <c r="I34" s="2961">
        <f t="shared" si="0"/>
        <v>132.49859999999998</v>
      </c>
      <c r="J34" s="1823"/>
      <c r="K34" s="1824"/>
      <c r="L34" s="2962" t="str">
        <f t="shared" si="1"/>
        <v/>
      </c>
      <c r="M34" s="2963" t="str">
        <f t="shared" si="2"/>
        <v/>
      </c>
      <c r="N34" s="1465"/>
      <c r="O34" s="1467" t="str">
        <f t="shared" si="3"/>
        <v/>
      </c>
      <c r="P34" s="2964">
        <f t="shared" si="4"/>
        <v>40</v>
      </c>
      <c r="Q34" s="2965" t="str">
        <f t="shared" si="5"/>
        <v>--</v>
      </c>
      <c r="R34" s="2957" t="str">
        <f t="shared" si="6"/>
        <v>--</v>
      </c>
      <c r="S34" s="2958" t="str">
        <f t="shared" si="7"/>
        <v>--</v>
      </c>
      <c r="T34" s="2959" t="str">
        <f t="shared" si="8"/>
        <v>--</v>
      </c>
      <c r="U34" s="1467" t="str">
        <f t="shared" si="9"/>
        <v/>
      </c>
      <c r="V34" s="2966" t="str">
        <f t="shared" si="10"/>
        <v/>
      </c>
      <c r="W34" s="2912"/>
    </row>
    <row r="35" spans="2:23" s="1375" customFormat="1" ht="17.1" customHeight="1">
      <c r="B35" s="1389"/>
      <c r="C35" s="1493"/>
      <c r="D35" s="1493"/>
      <c r="E35" s="1493"/>
      <c r="F35" s="2257"/>
      <c r="G35" s="2257"/>
      <c r="H35" s="2967"/>
      <c r="I35" s="2961">
        <f t="shared" si="0"/>
        <v>132.49859999999998</v>
      </c>
      <c r="J35" s="1823"/>
      <c r="K35" s="1824"/>
      <c r="L35" s="2962" t="str">
        <f t="shared" si="1"/>
        <v/>
      </c>
      <c r="M35" s="2963" t="str">
        <f t="shared" si="2"/>
        <v/>
      </c>
      <c r="N35" s="1465"/>
      <c r="O35" s="1467" t="str">
        <f t="shared" si="3"/>
        <v/>
      </c>
      <c r="P35" s="2964">
        <f t="shared" si="4"/>
        <v>40</v>
      </c>
      <c r="Q35" s="2965" t="str">
        <f t="shared" si="5"/>
        <v>--</v>
      </c>
      <c r="R35" s="2957" t="str">
        <f t="shared" si="6"/>
        <v>--</v>
      </c>
      <c r="S35" s="2958" t="str">
        <f t="shared" si="7"/>
        <v>--</v>
      </c>
      <c r="T35" s="2959" t="str">
        <f t="shared" si="8"/>
        <v>--</v>
      </c>
      <c r="U35" s="1467" t="str">
        <f t="shared" si="9"/>
        <v/>
      </c>
      <c r="V35" s="2966" t="str">
        <f t="shared" si="10"/>
        <v/>
      </c>
      <c r="W35" s="2912"/>
    </row>
    <row r="36" spans="2:23" s="1375" customFormat="1" ht="17.1" customHeight="1">
      <c r="B36" s="1389"/>
      <c r="C36" s="1493"/>
      <c r="D36" s="1493"/>
      <c r="E36" s="1490"/>
      <c r="F36" s="2257"/>
      <c r="G36" s="2257"/>
      <c r="H36" s="2967"/>
      <c r="I36" s="2961">
        <f t="shared" si="0"/>
        <v>132.49859999999998</v>
      </c>
      <c r="J36" s="1823"/>
      <c r="K36" s="1824"/>
      <c r="L36" s="2962" t="str">
        <f t="shared" si="1"/>
        <v/>
      </c>
      <c r="M36" s="2963" t="str">
        <f t="shared" si="2"/>
        <v/>
      </c>
      <c r="N36" s="1465"/>
      <c r="O36" s="1467" t="str">
        <f t="shared" si="3"/>
        <v/>
      </c>
      <c r="P36" s="2964">
        <f t="shared" si="4"/>
        <v>40</v>
      </c>
      <c r="Q36" s="2965" t="str">
        <f t="shared" si="5"/>
        <v>--</v>
      </c>
      <c r="R36" s="2957" t="str">
        <f t="shared" si="6"/>
        <v>--</v>
      </c>
      <c r="S36" s="2958" t="str">
        <f t="shared" si="7"/>
        <v>--</v>
      </c>
      <c r="T36" s="2959" t="str">
        <f t="shared" si="8"/>
        <v>--</v>
      </c>
      <c r="U36" s="1467" t="str">
        <f t="shared" si="9"/>
        <v/>
      </c>
      <c r="V36" s="2966" t="str">
        <f t="shared" si="10"/>
        <v/>
      </c>
      <c r="W36" s="2912"/>
    </row>
    <row r="37" spans="2:23" s="1375" customFormat="1" ht="17.1" customHeight="1">
      <c r="B37" s="1389"/>
      <c r="C37" s="1493"/>
      <c r="D37" s="1493"/>
      <c r="E37" s="1493"/>
      <c r="F37" s="2257"/>
      <c r="G37" s="2257"/>
      <c r="H37" s="2967"/>
      <c r="I37" s="2961">
        <f t="shared" si="0"/>
        <v>132.49859999999998</v>
      </c>
      <c r="J37" s="1823"/>
      <c r="K37" s="1824"/>
      <c r="L37" s="2962" t="str">
        <f t="shared" si="1"/>
        <v/>
      </c>
      <c r="M37" s="2963" t="str">
        <f t="shared" si="2"/>
        <v/>
      </c>
      <c r="N37" s="1465"/>
      <c r="O37" s="1467" t="str">
        <f t="shared" si="3"/>
        <v/>
      </c>
      <c r="P37" s="2964">
        <f t="shared" si="4"/>
        <v>40</v>
      </c>
      <c r="Q37" s="2965" t="str">
        <f t="shared" si="5"/>
        <v>--</v>
      </c>
      <c r="R37" s="2957" t="str">
        <f t="shared" si="6"/>
        <v>--</v>
      </c>
      <c r="S37" s="2958" t="str">
        <f t="shared" si="7"/>
        <v>--</v>
      </c>
      <c r="T37" s="2959" t="str">
        <f t="shared" si="8"/>
        <v>--</v>
      </c>
      <c r="U37" s="1467" t="str">
        <f t="shared" si="9"/>
        <v/>
      </c>
      <c r="V37" s="2966" t="str">
        <f t="shared" si="10"/>
        <v/>
      </c>
      <c r="W37" s="2912"/>
    </row>
    <row r="38" spans="2:23" s="1375" customFormat="1" ht="17.1" customHeight="1">
      <c r="B38" s="1389"/>
      <c r="C38" s="1493"/>
      <c r="D38" s="1493"/>
      <c r="E38" s="1490"/>
      <c r="F38" s="2257"/>
      <c r="G38" s="2257"/>
      <c r="H38" s="2967"/>
      <c r="I38" s="2961">
        <f t="shared" si="0"/>
        <v>132.49859999999998</v>
      </c>
      <c r="J38" s="1823"/>
      <c r="K38" s="1824"/>
      <c r="L38" s="2962" t="str">
        <f t="shared" si="1"/>
        <v/>
      </c>
      <c r="M38" s="2963" t="str">
        <f t="shared" si="2"/>
        <v/>
      </c>
      <c r="N38" s="1465"/>
      <c r="O38" s="1467" t="str">
        <f t="shared" si="3"/>
        <v/>
      </c>
      <c r="P38" s="2964">
        <f t="shared" si="4"/>
        <v>40</v>
      </c>
      <c r="Q38" s="2965" t="str">
        <f t="shared" si="5"/>
        <v>--</v>
      </c>
      <c r="R38" s="2957" t="str">
        <f t="shared" si="6"/>
        <v>--</v>
      </c>
      <c r="S38" s="2958" t="str">
        <f t="shared" si="7"/>
        <v>--</v>
      </c>
      <c r="T38" s="2959" t="str">
        <f t="shared" si="8"/>
        <v>--</v>
      </c>
      <c r="U38" s="1467" t="str">
        <f t="shared" si="9"/>
        <v/>
      </c>
      <c r="V38" s="2966" t="str">
        <f t="shared" si="10"/>
        <v/>
      </c>
      <c r="W38" s="2912"/>
    </row>
    <row r="39" spans="2:23" s="1375" customFormat="1" ht="17.1" customHeight="1">
      <c r="B39" s="1389"/>
      <c r="C39" s="1493"/>
      <c r="D39" s="1493"/>
      <c r="E39" s="1493"/>
      <c r="F39" s="2257"/>
      <c r="G39" s="2257"/>
      <c r="H39" s="2967"/>
      <c r="I39" s="2961">
        <f t="shared" si="0"/>
        <v>132.49859999999998</v>
      </c>
      <c r="J39" s="1823"/>
      <c r="K39" s="1824"/>
      <c r="L39" s="2962" t="str">
        <f t="shared" si="1"/>
        <v/>
      </c>
      <c r="M39" s="2963" t="str">
        <f t="shared" si="2"/>
        <v/>
      </c>
      <c r="N39" s="1465"/>
      <c r="O39" s="1467" t="str">
        <f t="shared" si="3"/>
        <v/>
      </c>
      <c r="P39" s="2964">
        <f t="shared" si="4"/>
        <v>40</v>
      </c>
      <c r="Q39" s="2965" t="str">
        <f t="shared" si="5"/>
        <v>--</v>
      </c>
      <c r="R39" s="2957" t="str">
        <f t="shared" si="6"/>
        <v>--</v>
      </c>
      <c r="S39" s="2958" t="str">
        <f t="shared" si="7"/>
        <v>--</v>
      </c>
      <c r="T39" s="2959" t="str">
        <f t="shared" si="8"/>
        <v>--</v>
      </c>
      <c r="U39" s="1467" t="str">
        <f t="shared" si="9"/>
        <v/>
      </c>
      <c r="V39" s="2966" t="str">
        <f t="shared" si="10"/>
        <v/>
      </c>
      <c r="W39" s="2912"/>
    </row>
    <row r="40" spans="2:23" s="1375" customFormat="1" ht="17.1" customHeight="1">
      <c r="B40" s="1389"/>
      <c r="C40" s="1493"/>
      <c r="D40" s="1493"/>
      <c r="E40" s="1490"/>
      <c r="F40" s="2257"/>
      <c r="G40" s="2257"/>
      <c r="H40" s="2967"/>
      <c r="I40" s="2961">
        <f t="shared" si="0"/>
        <v>132.49859999999998</v>
      </c>
      <c r="J40" s="1823"/>
      <c r="K40" s="1824"/>
      <c r="L40" s="2962" t="str">
        <f t="shared" si="1"/>
        <v/>
      </c>
      <c r="M40" s="2963" t="str">
        <f t="shared" si="2"/>
        <v/>
      </c>
      <c r="N40" s="1465"/>
      <c r="O40" s="1467" t="str">
        <f t="shared" si="3"/>
        <v/>
      </c>
      <c r="P40" s="2964">
        <f t="shared" si="4"/>
        <v>40</v>
      </c>
      <c r="Q40" s="2965" t="str">
        <f t="shared" si="5"/>
        <v>--</v>
      </c>
      <c r="R40" s="2957" t="str">
        <f t="shared" si="6"/>
        <v>--</v>
      </c>
      <c r="S40" s="2958" t="str">
        <f t="shared" si="7"/>
        <v>--</v>
      </c>
      <c r="T40" s="2959" t="str">
        <f t="shared" si="8"/>
        <v>--</v>
      </c>
      <c r="U40" s="1467" t="str">
        <f t="shared" si="9"/>
        <v/>
      </c>
      <c r="V40" s="2966" t="str">
        <f t="shared" si="10"/>
        <v/>
      </c>
      <c r="W40" s="2912"/>
    </row>
    <row r="41" spans="2:23" s="1375" customFormat="1" ht="17.1" customHeight="1">
      <c r="B41" s="1389"/>
      <c r="C41" s="1493"/>
      <c r="D41" s="1493"/>
      <c r="E41" s="1493"/>
      <c r="F41" s="2257"/>
      <c r="G41" s="2257"/>
      <c r="H41" s="2967"/>
      <c r="I41" s="2961">
        <f t="shared" si="0"/>
        <v>132.49859999999998</v>
      </c>
      <c r="J41" s="1823"/>
      <c r="K41" s="1824"/>
      <c r="L41" s="2962" t="str">
        <f t="shared" si="1"/>
        <v/>
      </c>
      <c r="M41" s="2963" t="str">
        <f t="shared" si="2"/>
        <v/>
      </c>
      <c r="N41" s="1465"/>
      <c r="O41" s="1467" t="str">
        <f t="shared" si="3"/>
        <v/>
      </c>
      <c r="P41" s="2964">
        <f t="shared" si="4"/>
        <v>40</v>
      </c>
      <c r="Q41" s="2965" t="str">
        <f t="shared" si="5"/>
        <v>--</v>
      </c>
      <c r="R41" s="2957" t="str">
        <f t="shared" si="6"/>
        <v>--</v>
      </c>
      <c r="S41" s="2958" t="str">
        <f t="shared" si="7"/>
        <v>--</v>
      </c>
      <c r="T41" s="2959" t="str">
        <f t="shared" si="8"/>
        <v>--</v>
      </c>
      <c r="U41" s="1467" t="str">
        <f t="shared" si="9"/>
        <v/>
      </c>
      <c r="V41" s="2966" t="str">
        <f t="shared" si="10"/>
        <v/>
      </c>
      <c r="W41" s="2912"/>
    </row>
    <row r="42" spans="2:23" s="1375" customFormat="1" ht="17.1" customHeight="1">
      <c r="B42" s="1389"/>
      <c r="C42" s="1493"/>
      <c r="D42" s="1493"/>
      <c r="E42" s="1490"/>
      <c r="F42" s="2257"/>
      <c r="G42" s="2257"/>
      <c r="H42" s="2967"/>
      <c r="I42" s="2961">
        <f t="shared" si="0"/>
        <v>132.49859999999998</v>
      </c>
      <c r="J42" s="1823"/>
      <c r="K42" s="1824"/>
      <c r="L42" s="2962" t="str">
        <f t="shared" si="1"/>
        <v/>
      </c>
      <c r="M42" s="2963" t="str">
        <f t="shared" si="2"/>
        <v/>
      </c>
      <c r="N42" s="1465"/>
      <c r="O42" s="1467" t="str">
        <f t="shared" si="3"/>
        <v/>
      </c>
      <c r="P42" s="2964">
        <f t="shared" si="4"/>
        <v>40</v>
      </c>
      <c r="Q42" s="2965" t="str">
        <f t="shared" si="5"/>
        <v>--</v>
      </c>
      <c r="R42" s="2957" t="str">
        <f t="shared" si="6"/>
        <v>--</v>
      </c>
      <c r="S42" s="2958" t="str">
        <f t="shared" si="7"/>
        <v>--</v>
      </c>
      <c r="T42" s="2959" t="str">
        <f t="shared" si="8"/>
        <v>--</v>
      </c>
      <c r="U42" s="1467" t="str">
        <f t="shared" si="9"/>
        <v/>
      </c>
      <c r="V42" s="2966" t="str">
        <f t="shared" si="10"/>
        <v/>
      </c>
      <c r="W42" s="2912"/>
    </row>
    <row r="43" spans="2:23" s="1375" customFormat="1" ht="17.1" customHeight="1">
      <c r="B43" s="1389"/>
      <c r="C43" s="1493"/>
      <c r="D43" s="1493"/>
      <c r="E43" s="1493"/>
      <c r="F43" s="2257"/>
      <c r="G43" s="2257"/>
      <c r="H43" s="2967"/>
      <c r="I43" s="2961">
        <f t="shared" si="0"/>
        <v>132.49859999999998</v>
      </c>
      <c r="J43" s="1823"/>
      <c r="K43" s="1824"/>
      <c r="L43" s="2962" t="str">
        <f t="shared" si="1"/>
        <v/>
      </c>
      <c r="M43" s="2963" t="str">
        <f t="shared" si="2"/>
        <v/>
      </c>
      <c r="N43" s="1465"/>
      <c r="O43" s="1467" t="str">
        <f t="shared" si="3"/>
        <v/>
      </c>
      <c r="P43" s="2964">
        <f t="shared" si="4"/>
        <v>40</v>
      </c>
      <c r="Q43" s="2965" t="str">
        <f t="shared" si="5"/>
        <v>--</v>
      </c>
      <c r="R43" s="2957" t="str">
        <f t="shared" si="6"/>
        <v>--</v>
      </c>
      <c r="S43" s="2958" t="str">
        <f t="shared" si="7"/>
        <v>--</v>
      </c>
      <c r="T43" s="2959" t="str">
        <f t="shared" si="8"/>
        <v>--</v>
      </c>
      <c r="U43" s="1467" t="str">
        <f t="shared" si="9"/>
        <v/>
      </c>
      <c r="V43" s="2966" t="str">
        <f t="shared" si="10"/>
        <v/>
      </c>
      <c r="W43" s="2912"/>
    </row>
    <row r="44" spans="2:23" s="1375" customFormat="1" ht="17.1" customHeight="1" thickBot="1">
      <c r="B44" s="1389"/>
      <c r="C44" s="1502"/>
      <c r="D44" s="1502"/>
      <c r="E44" s="1502"/>
      <c r="F44" s="1502"/>
      <c r="G44" s="1502"/>
      <c r="H44" s="1502"/>
      <c r="I44" s="2968"/>
      <c r="J44" s="2969"/>
      <c r="K44" s="2969"/>
      <c r="L44" s="2970"/>
      <c r="M44" s="2970"/>
      <c r="N44" s="2969"/>
      <c r="O44" s="1509"/>
      <c r="P44" s="2971"/>
      <c r="Q44" s="2972"/>
      <c r="R44" s="2973"/>
      <c r="S44" s="2974"/>
      <c r="T44" s="2975"/>
      <c r="U44" s="1509"/>
      <c r="V44" s="2976"/>
      <c r="W44" s="2912"/>
    </row>
    <row r="45" spans="2:23" s="1375" customFormat="1" ht="17.1" customHeight="1" thickBot="1" thickTop="1">
      <c r="B45" s="1389"/>
      <c r="C45" s="1525" t="s">
        <v>25</v>
      </c>
      <c r="D45" s="2977" t="s">
        <v>369</v>
      </c>
      <c r="E45" s="1525"/>
      <c r="F45" s="1526"/>
      <c r="G45" s="1369"/>
      <c r="H45" s="1390"/>
      <c r="I45" s="1390"/>
      <c r="J45" s="1390"/>
      <c r="K45" s="1390"/>
      <c r="L45" s="1390"/>
      <c r="M45" s="1390"/>
      <c r="N45" s="1390"/>
      <c r="O45" s="1390"/>
      <c r="P45" s="1390"/>
      <c r="Q45" s="2978">
        <f>SUM(Q22:Q44)</f>
        <v>29688.05088</v>
      </c>
      <c r="R45" s="2979">
        <f>SUM(R22:R44)</f>
        <v>0</v>
      </c>
      <c r="S45" s="2980">
        <f>SUM(S22:S44)</f>
        <v>0</v>
      </c>
      <c r="T45" s="2981">
        <f>SUM(T22:T44)</f>
        <v>0</v>
      </c>
      <c r="U45" s="2982"/>
      <c r="V45" s="2983">
        <f>ROUND(SUM(V22:V44),2)</f>
        <v>29688.05</v>
      </c>
      <c r="W45" s="2912"/>
    </row>
    <row r="46" spans="2:23" s="1375" customFormat="1" ht="17.1" customHeight="1" thickBot="1" thickTop="1">
      <c r="B46" s="1540"/>
      <c r="C46" s="1541"/>
      <c r="D46" s="1541"/>
      <c r="E46" s="1541"/>
      <c r="F46" s="1541"/>
      <c r="G46" s="1541"/>
      <c r="H46" s="1541"/>
      <c r="I46" s="1541"/>
      <c r="J46" s="1541"/>
      <c r="K46" s="1541"/>
      <c r="L46" s="1541"/>
      <c r="M46" s="1541"/>
      <c r="N46" s="1541"/>
      <c r="O46" s="1541"/>
      <c r="P46" s="1541"/>
      <c r="Q46" s="1541"/>
      <c r="R46" s="1541"/>
      <c r="S46" s="1541"/>
      <c r="T46" s="1541"/>
      <c r="U46" s="1541"/>
      <c r="V46" s="1541"/>
      <c r="W46" s="1542"/>
    </row>
    <row r="47" spans="23:25" ht="17.1" customHeight="1" thickTop="1">
      <c r="W47" s="2984"/>
      <c r="X47" s="2984"/>
      <c r="Y47" s="2984"/>
    </row>
    <row r="48" spans="23:25" ht="17.1" customHeight="1">
      <c r="W48" s="2984"/>
      <c r="X48" s="2984"/>
      <c r="Y48" s="2984"/>
    </row>
    <row r="49" spans="23:25" ht="17.1" customHeight="1">
      <c r="W49" s="2984"/>
      <c r="X49" s="2984"/>
      <c r="Y49" s="2984"/>
    </row>
    <row r="50" spans="23:25" ht="17.1" customHeight="1">
      <c r="W50" s="2984"/>
      <c r="X50" s="2984"/>
      <c r="Y50" s="2984"/>
    </row>
    <row r="51" spans="23:25" ht="17.1" customHeight="1">
      <c r="W51" s="2984"/>
      <c r="X51" s="2984"/>
      <c r="Y51" s="2984"/>
    </row>
    <row r="52" spans="6:25" ht="17.1" customHeight="1">
      <c r="F52" s="2984"/>
      <c r="G52" s="2984"/>
      <c r="H52" s="2984"/>
      <c r="I52" s="2984"/>
      <c r="J52" s="2984"/>
      <c r="K52" s="2984"/>
      <c r="L52" s="2984"/>
      <c r="M52" s="2984"/>
      <c r="N52" s="2984"/>
      <c r="O52" s="2984"/>
      <c r="P52" s="2984"/>
      <c r="Q52" s="2984"/>
      <c r="R52" s="2984"/>
      <c r="S52" s="2984"/>
      <c r="T52" s="2984"/>
      <c r="U52" s="2984"/>
      <c r="V52" s="2984"/>
      <c r="W52" s="2984"/>
      <c r="X52" s="2984"/>
      <c r="Y52" s="2984"/>
    </row>
    <row r="53" spans="6:25" ht="17.1" customHeight="1">
      <c r="F53" s="2984"/>
      <c r="G53" s="2984"/>
      <c r="H53" s="2984"/>
      <c r="I53" s="2984"/>
      <c r="J53" s="2984"/>
      <c r="K53" s="2984"/>
      <c r="L53" s="2984"/>
      <c r="M53" s="2984"/>
      <c r="N53" s="2984"/>
      <c r="O53" s="2984"/>
      <c r="P53" s="2984"/>
      <c r="Q53" s="2984"/>
      <c r="R53" s="2984"/>
      <c r="S53" s="2984"/>
      <c r="T53" s="2984"/>
      <c r="U53" s="2984"/>
      <c r="V53" s="2984"/>
      <c r="W53" s="2984"/>
      <c r="X53" s="2984"/>
      <c r="Y53" s="2984"/>
    </row>
    <row r="54" spans="6:25" ht="17.1" customHeight="1">
      <c r="F54" s="2984"/>
      <c r="G54" s="2984"/>
      <c r="H54" s="2984"/>
      <c r="I54" s="2984"/>
      <c r="J54" s="2984"/>
      <c r="K54" s="2984"/>
      <c r="L54" s="2984"/>
      <c r="M54" s="2984"/>
      <c r="N54" s="2984"/>
      <c r="O54" s="2984"/>
      <c r="P54" s="2984"/>
      <c r="Q54" s="2984"/>
      <c r="R54" s="2984"/>
      <c r="S54" s="2984"/>
      <c r="T54" s="2984"/>
      <c r="U54" s="2984"/>
      <c r="V54" s="2984"/>
      <c r="W54" s="2984"/>
      <c r="X54" s="2984"/>
      <c r="Y54" s="2984"/>
    </row>
    <row r="55" spans="6:25" ht="17.1" customHeight="1">
      <c r="F55" s="2984"/>
      <c r="G55" s="2984"/>
      <c r="H55" s="2984"/>
      <c r="I55" s="2984"/>
      <c r="J55" s="2984"/>
      <c r="K55" s="2984"/>
      <c r="L55" s="2984"/>
      <c r="M55" s="2984"/>
      <c r="N55" s="2984"/>
      <c r="O55" s="2984"/>
      <c r="P55" s="2984"/>
      <c r="Q55" s="2984"/>
      <c r="R55" s="2984"/>
      <c r="S55" s="2984"/>
      <c r="T55" s="2984"/>
      <c r="U55" s="2984"/>
      <c r="V55" s="2984"/>
      <c r="W55" s="2984"/>
      <c r="X55" s="2984"/>
      <c r="Y55" s="2984"/>
    </row>
    <row r="56" spans="6:25" ht="17.1" customHeight="1">
      <c r="F56" s="2984"/>
      <c r="G56" s="2984"/>
      <c r="H56" s="2984"/>
      <c r="I56" s="2984"/>
      <c r="J56" s="2984"/>
      <c r="K56" s="2984"/>
      <c r="L56" s="2984"/>
      <c r="M56" s="2984"/>
      <c r="N56" s="2984"/>
      <c r="O56" s="2984"/>
      <c r="P56" s="2984"/>
      <c r="Q56" s="2984"/>
      <c r="R56" s="2984"/>
      <c r="S56" s="2984"/>
      <c r="T56" s="2984"/>
      <c r="U56" s="2984"/>
      <c r="V56" s="2984"/>
      <c r="W56" s="2984"/>
      <c r="X56" s="2984"/>
      <c r="Y56" s="2984"/>
    </row>
    <row r="57" spans="6:25" ht="17.1" customHeight="1">
      <c r="F57" s="2984"/>
      <c r="G57" s="2984"/>
      <c r="H57" s="2984"/>
      <c r="I57" s="2984"/>
      <c r="J57" s="2984"/>
      <c r="K57" s="2984"/>
      <c r="L57" s="2984"/>
      <c r="M57" s="2984"/>
      <c r="N57" s="2984"/>
      <c r="O57" s="2984"/>
      <c r="P57" s="2984"/>
      <c r="Q57" s="2984"/>
      <c r="R57" s="2984"/>
      <c r="S57" s="2984"/>
      <c r="T57" s="2984"/>
      <c r="U57" s="2984"/>
      <c r="V57" s="2984"/>
      <c r="W57" s="2984"/>
      <c r="X57" s="2984"/>
      <c r="Y57" s="2984"/>
    </row>
    <row r="58" spans="6:25" ht="17.1" customHeight="1">
      <c r="F58" s="2984"/>
      <c r="G58" s="2984"/>
      <c r="H58" s="2984"/>
      <c r="I58" s="2984"/>
      <c r="J58" s="2984"/>
      <c r="K58" s="2984"/>
      <c r="L58" s="2984"/>
      <c r="M58" s="2984"/>
      <c r="N58" s="2984"/>
      <c r="O58" s="2984"/>
      <c r="P58" s="2984"/>
      <c r="Q58" s="2984"/>
      <c r="R58" s="2984"/>
      <c r="S58" s="2984"/>
      <c r="T58" s="2984"/>
      <c r="U58" s="2984"/>
      <c r="V58" s="2984"/>
      <c r="W58" s="2984"/>
      <c r="X58" s="2984"/>
      <c r="Y58" s="2984"/>
    </row>
    <row r="59" spans="6:25" ht="17.1" customHeight="1">
      <c r="F59" s="2984"/>
      <c r="G59" s="2984"/>
      <c r="H59" s="2984"/>
      <c r="I59" s="2984"/>
      <c r="J59" s="2984"/>
      <c r="K59" s="2984"/>
      <c r="L59" s="2984"/>
      <c r="M59" s="2984"/>
      <c r="N59" s="2984"/>
      <c r="O59" s="2984"/>
      <c r="P59" s="2984"/>
      <c r="Q59" s="2984"/>
      <c r="R59" s="2984"/>
      <c r="S59" s="2984"/>
      <c r="T59" s="2984"/>
      <c r="U59" s="2984"/>
      <c r="V59" s="2984"/>
      <c r="W59" s="2984"/>
      <c r="X59" s="2984"/>
      <c r="Y59" s="2984"/>
    </row>
    <row r="60" spans="6:25" ht="17.1" customHeight="1">
      <c r="F60" s="2984"/>
      <c r="G60" s="2984"/>
      <c r="H60" s="2984"/>
      <c r="I60" s="2984"/>
      <c r="J60" s="2984"/>
      <c r="K60" s="2984"/>
      <c r="L60" s="2984"/>
      <c r="M60" s="2984"/>
      <c r="N60" s="2984"/>
      <c r="O60" s="2984"/>
      <c r="P60" s="2984"/>
      <c r="Q60" s="2984"/>
      <c r="R60" s="2984"/>
      <c r="S60" s="2984"/>
      <c r="T60" s="2984"/>
      <c r="U60" s="2984"/>
      <c r="V60" s="2984"/>
      <c r="W60" s="2984"/>
      <c r="X60" s="2984"/>
      <c r="Y60" s="2984"/>
    </row>
    <row r="61" spans="6:25" ht="17.1" customHeight="1">
      <c r="F61" s="2984"/>
      <c r="G61" s="2984"/>
      <c r="H61" s="2984"/>
      <c r="I61" s="2984"/>
      <c r="J61" s="2984"/>
      <c r="K61" s="2984"/>
      <c r="L61" s="2984"/>
      <c r="M61" s="2984"/>
      <c r="N61" s="2984"/>
      <c r="O61" s="2984"/>
      <c r="P61" s="2984"/>
      <c r="Q61" s="2984"/>
      <c r="R61" s="2984"/>
      <c r="S61" s="2984"/>
      <c r="T61" s="2984"/>
      <c r="U61" s="2984"/>
      <c r="V61" s="2984"/>
      <c r="W61" s="2984"/>
      <c r="X61" s="2984"/>
      <c r="Y61" s="2984"/>
    </row>
    <row r="62" spans="6:25" ht="17.1" customHeight="1">
      <c r="F62" s="2984"/>
      <c r="G62" s="2984"/>
      <c r="H62" s="2984"/>
      <c r="I62" s="2984"/>
      <c r="J62" s="2984"/>
      <c r="K62" s="2984"/>
      <c r="L62" s="2984"/>
      <c r="M62" s="2984"/>
      <c r="N62" s="2984"/>
      <c r="O62" s="2984"/>
      <c r="P62" s="2984"/>
      <c r="Q62" s="2984"/>
      <c r="R62" s="2984"/>
      <c r="S62" s="2984"/>
      <c r="T62" s="2984"/>
      <c r="U62" s="2984"/>
      <c r="V62" s="2984"/>
      <c r="W62" s="2984"/>
      <c r="X62" s="2984"/>
      <c r="Y62" s="2984"/>
    </row>
    <row r="63" spans="6:25" ht="17.1" customHeight="1">
      <c r="F63" s="2984"/>
      <c r="G63" s="2984"/>
      <c r="H63" s="2984"/>
      <c r="I63" s="2984"/>
      <c r="J63" s="2984"/>
      <c r="K63" s="2984"/>
      <c r="L63" s="2984"/>
      <c r="M63" s="2984"/>
      <c r="N63" s="2984"/>
      <c r="O63" s="2984"/>
      <c r="P63" s="2984"/>
      <c r="Q63" s="2984"/>
      <c r="R63" s="2984"/>
      <c r="S63" s="2984"/>
      <c r="T63" s="2984"/>
      <c r="U63" s="2984"/>
      <c r="V63" s="2984"/>
      <c r="W63" s="2984"/>
      <c r="X63" s="2984"/>
      <c r="Y63" s="2984"/>
    </row>
    <row r="64" spans="6:25" ht="17.1" customHeight="1">
      <c r="F64" s="2984"/>
      <c r="G64" s="2984"/>
      <c r="H64" s="2984"/>
      <c r="I64" s="2984"/>
      <c r="J64" s="2984"/>
      <c r="K64" s="2984"/>
      <c r="L64" s="2984"/>
      <c r="M64" s="2984"/>
      <c r="N64" s="2984"/>
      <c r="O64" s="2984"/>
      <c r="P64" s="2984"/>
      <c r="Q64" s="2984"/>
      <c r="R64" s="2984"/>
      <c r="S64" s="2984"/>
      <c r="T64" s="2984"/>
      <c r="U64" s="2984"/>
      <c r="V64" s="2984"/>
      <c r="W64" s="2984"/>
      <c r="X64" s="2984"/>
      <c r="Y64" s="2984"/>
    </row>
    <row r="65" spans="6:25" ht="17.1" customHeight="1">
      <c r="F65" s="2984"/>
      <c r="G65" s="2984"/>
      <c r="H65" s="2984"/>
      <c r="I65" s="2984"/>
      <c r="J65" s="2984"/>
      <c r="K65" s="2984"/>
      <c r="L65" s="2984"/>
      <c r="M65" s="2984"/>
      <c r="N65" s="2984"/>
      <c r="O65" s="2984"/>
      <c r="P65" s="2984"/>
      <c r="Q65" s="2984"/>
      <c r="R65" s="2984"/>
      <c r="S65" s="2984"/>
      <c r="T65" s="2984"/>
      <c r="U65" s="2984"/>
      <c r="V65" s="2984"/>
      <c r="W65" s="2984"/>
      <c r="X65" s="2984"/>
      <c r="Y65" s="2984"/>
    </row>
    <row r="66" spans="6:25" ht="17.1" customHeight="1">
      <c r="F66" s="2984"/>
      <c r="G66" s="2984"/>
      <c r="H66" s="2984"/>
      <c r="I66" s="2984"/>
      <c r="J66" s="2984"/>
      <c r="K66" s="2984"/>
      <c r="L66" s="2984"/>
      <c r="M66" s="2984"/>
      <c r="N66" s="2984"/>
      <c r="O66" s="2984"/>
      <c r="P66" s="2984"/>
      <c r="Q66" s="2984"/>
      <c r="R66" s="2984"/>
      <c r="S66" s="2984"/>
      <c r="T66" s="2984"/>
      <c r="U66" s="2984"/>
      <c r="V66" s="2984"/>
      <c r="W66" s="2984"/>
      <c r="X66" s="2984"/>
      <c r="Y66" s="2984"/>
    </row>
    <row r="67" spans="6:25" ht="17.1" customHeight="1">
      <c r="F67" s="2984"/>
      <c r="G67" s="2984"/>
      <c r="H67" s="2984"/>
      <c r="I67" s="2984"/>
      <c r="J67" s="2984"/>
      <c r="K67" s="2984"/>
      <c r="L67" s="2984"/>
      <c r="M67" s="2984"/>
      <c r="N67" s="2984"/>
      <c r="O67" s="2984"/>
      <c r="P67" s="2984"/>
      <c r="Q67" s="2984"/>
      <c r="R67" s="2984"/>
      <c r="S67" s="2984"/>
      <c r="T67" s="2984"/>
      <c r="U67" s="2984"/>
      <c r="V67" s="2984"/>
      <c r="W67" s="2984"/>
      <c r="X67" s="2984"/>
      <c r="Y67" s="2984"/>
    </row>
    <row r="68" spans="6:25" ht="17.1" customHeight="1">
      <c r="F68" s="2984"/>
      <c r="G68" s="2984"/>
      <c r="H68" s="2984"/>
      <c r="I68" s="2984"/>
      <c r="J68" s="2984"/>
      <c r="K68" s="2984"/>
      <c r="L68" s="2984"/>
      <c r="M68" s="2984"/>
      <c r="N68" s="2984"/>
      <c r="O68" s="2984"/>
      <c r="P68" s="2984"/>
      <c r="Q68" s="2984"/>
      <c r="R68" s="2984"/>
      <c r="S68" s="2984"/>
      <c r="T68" s="2984"/>
      <c r="U68" s="2984"/>
      <c r="V68" s="2984"/>
      <c r="W68" s="2984"/>
      <c r="X68" s="2984"/>
      <c r="Y68" s="2984"/>
    </row>
    <row r="69" spans="6:25" ht="17.1" customHeight="1">
      <c r="F69" s="2984"/>
      <c r="G69" s="2984"/>
      <c r="H69" s="2984"/>
      <c r="I69" s="2984"/>
      <c r="J69" s="2984"/>
      <c r="K69" s="2984"/>
      <c r="L69" s="2984"/>
      <c r="M69" s="2984"/>
      <c r="N69" s="2984"/>
      <c r="O69" s="2984"/>
      <c r="P69" s="2984"/>
      <c r="Q69" s="2984"/>
      <c r="R69" s="2984"/>
      <c r="S69" s="2984"/>
      <c r="T69" s="2984"/>
      <c r="U69" s="2984"/>
      <c r="V69" s="2984"/>
      <c r="W69" s="2984"/>
      <c r="X69" s="2984"/>
      <c r="Y69" s="2984"/>
    </row>
    <row r="70" spans="6:25" ht="17.1" customHeight="1">
      <c r="F70" s="2984"/>
      <c r="G70" s="2984"/>
      <c r="H70" s="2984"/>
      <c r="I70" s="2984"/>
      <c r="J70" s="2984"/>
      <c r="K70" s="2984"/>
      <c r="L70" s="2984"/>
      <c r="M70" s="2984"/>
      <c r="N70" s="2984"/>
      <c r="O70" s="2984"/>
      <c r="P70" s="2984"/>
      <c r="Q70" s="2984"/>
      <c r="R70" s="2984"/>
      <c r="S70" s="2984"/>
      <c r="T70" s="2984"/>
      <c r="U70" s="2984"/>
      <c r="V70" s="2984"/>
      <c r="W70" s="2984"/>
      <c r="X70" s="2984"/>
      <c r="Y70" s="2984"/>
    </row>
    <row r="71" spans="6:25" ht="17.1" customHeight="1">
      <c r="F71" s="2984"/>
      <c r="G71" s="2984"/>
      <c r="H71" s="2984"/>
      <c r="I71" s="2984"/>
      <c r="J71" s="2984"/>
      <c r="K71" s="2984"/>
      <c r="L71" s="2984"/>
      <c r="M71" s="2984"/>
      <c r="N71" s="2984"/>
      <c r="O71" s="2984"/>
      <c r="P71" s="2984"/>
      <c r="Q71" s="2984"/>
      <c r="R71" s="2984"/>
      <c r="S71" s="2984"/>
      <c r="T71" s="2984"/>
      <c r="U71" s="2984"/>
      <c r="V71" s="2984"/>
      <c r="W71" s="2984"/>
      <c r="X71" s="2984"/>
      <c r="Y71" s="2984"/>
    </row>
    <row r="72" spans="6:25" ht="17.1" customHeight="1">
      <c r="F72" s="2984"/>
      <c r="G72" s="2984"/>
      <c r="H72" s="2984"/>
      <c r="I72" s="2984"/>
      <c r="J72" s="2984"/>
      <c r="K72" s="2984"/>
      <c r="L72" s="2984"/>
      <c r="M72" s="2984"/>
      <c r="N72" s="2984"/>
      <c r="O72" s="2984"/>
      <c r="P72" s="2984"/>
      <c r="Q72" s="2984"/>
      <c r="R72" s="2984"/>
      <c r="S72" s="2984"/>
      <c r="T72" s="2984"/>
      <c r="U72" s="2984"/>
      <c r="V72" s="2984"/>
      <c r="W72" s="2984"/>
      <c r="X72" s="2984"/>
      <c r="Y72" s="2984"/>
    </row>
    <row r="73" spans="6:25" ht="17.1" customHeight="1">
      <c r="F73" s="2984"/>
      <c r="G73" s="2984"/>
      <c r="H73" s="2984"/>
      <c r="I73" s="2984"/>
      <c r="J73" s="2984"/>
      <c r="K73" s="2984"/>
      <c r="L73" s="2984"/>
      <c r="M73" s="2984"/>
      <c r="N73" s="2984"/>
      <c r="O73" s="2984"/>
      <c r="P73" s="2984"/>
      <c r="Q73" s="2984"/>
      <c r="R73" s="2984"/>
      <c r="S73" s="2984"/>
      <c r="T73" s="2984"/>
      <c r="U73" s="2984"/>
      <c r="V73" s="2984"/>
      <c r="W73" s="2984"/>
      <c r="X73" s="2984"/>
      <c r="Y73" s="2984"/>
    </row>
    <row r="74" spans="6:25" ht="17.1" customHeight="1">
      <c r="F74" s="2984"/>
      <c r="G74" s="2984"/>
      <c r="H74" s="2984"/>
      <c r="I74" s="2984"/>
      <c r="J74" s="2984"/>
      <c r="K74" s="2984"/>
      <c r="L74" s="2984"/>
      <c r="M74" s="2984"/>
      <c r="N74" s="2984"/>
      <c r="O74" s="2984"/>
      <c r="P74" s="2984"/>
      <c r="Q74" s="2984"/>
      <c r="R74" s="2984"/>
      <c r="S74" s="2984"/>
      <c r="T74" s="2984"/>
      <c r="U74" s="2984"/>
      <c r="V74" s="2984"/>
      <c r="W74" s="2984"/>
      <c r="X74" s="2984"/>
      <c r="Y74" s="2984"/>
    </row>
    <row r="75" spans="6:25" ht="17.1" customHeight="1">
      <c r="F75" s="2984"/>
      <c r="G75" s="2984"/>
      <c r="H75" s="2984"/>
      <c r="I75" s="2984"/>
      <c r="J75" s="2984"/>
      <c r="K75" s="2984"/>
      <c r="L75" s="2984"/>
      <c r="M75" s="2984"/>
      <c r="N75" s="2984"/>
      <c r="O75" s="2984"/>
      <c r="P75" s="2984"/>
      <c r="Q75" s="2984"/>
      <c r="R75" s="2984"/>
      <c r="S75" s="2984"/>
      <c r="T75" s="2984"/>
      <c r="U75" s="2984"/>
      <c r="V75" s="2984"/>
      <c r="W75" s="2984"/>
      <c r="X75" s="2984"/>
      <c r="Y75" s="2984"/>
    </row>
    <row r="76" spans="6:25" ht="17.1" customHeight="1">
      <c r="F76" s="2984"/>
      <c r="G76" s="2984"/>
      <c r="H76" s="2984"/>
      <c r="I76" s="2984"/>
      <c r="J76" s="2984"/>
      <c r="K76" s="2984"/>
      <c r="L76" s="2984"/>
      <c r="M76" s="2984"/>
      <c r="N76" s="2984"/>
      <c r="O76" s="2984"/>
      <c r="P76" s="2984"/>
      <c r="Q76" s="2984"/>
      <c r="R76" s="2984"/>
      <c r="S76" s="2984"/>
      <c r="T76" s="2984"/>
      <c r="U76" s="2984"/>
      <c r="V76" s="2984"/>
      <c r="W76" s="2984"/>
      <c r="X76" s="2984"/>
      <c r="Y76" s="2984"/>
    </row>
    <row r="77" spans="6:25" ht="17.1" customHeight="1">
      <c r="F77" s="2984"/>
      <c r="G77" s="2984"/>
      <c r="H77" s="2984"/>
      <c r="I77" s="2984"/>
      <c r="J77" s="2984"/>
      <c r="K77" s="2984"/>
      <c r="L77" s="2984"/>
      <c r="M77" s="2984"/>
      <c r="N77" s="2984"/>
      <c r="O77" s="2984"/>
      <c r="P77" s="2984"/>
      <c r="Q77" s="2984"/>
      <c r="R77" s="2984"/>
      <c r="S77" s="2984"/>
      <c r="T77" s="2984"/>
      <c r="U77" s="2984"/>
      <c r="V77" s="2984"/>
      <c r="W77" s="2984"/>
      <c r="X77" s="2984"/>
      <c r="Y77" s="2984"/>
    </row>
    <row r="78" spans="6:25" ht="17.1" customHeight="1">
      <c r="F78" s="2984"/>
      <c r="G78" s="2984"/>
      <c r="H78" s="2984"/>
      <c r="I78" s="2984"/>
      <c r="J78" s="2984"/>
      <c r="K78" s="2984"/>
      <c r="L78" s="2984"/>
      <c r="M78" s="2984"/>
      <c r="N78" s="2984"/>
      <c r="O78" s="2984"/>
      <c r="P78" s="2984"/>
      <c r="Q78" s="2984"/>
      <c r="R78" s="2984"/>
      <c r="S78" s="2984"/>
      <c r="T78" s="2984"/>
      <c r="U78" s="2984"/>
      <c r="V78" s="2984"/>
      <c r="W78" s="2984"/>
      <c r="X78" s="2984"/>
      <c r="Y78" s="2984"/>
    </row>
    <row r="79" spans="6:25" ht="17.1" customHeight="1">
      <c r="F79" s="2984"/>
      <c r="G79" s="2984"/>
      <c r="H79" s="2984"/>
      <c r="I79" s="2984"/>
      <c r="J79" s="2984"/>
      <c r="K79" s="2984"/>
      <c r="L79" s="2984"/>
      <c r="M79" s="2984"/>
      <c r="N79" s="2984"/>
      <c r="O79" s="2984"/>
      <c r="P79" s="2984"/>
      <c r="Q79" s="2984"/>
      <c r="R79" s="2984"/>
      <c r="S79" s="2984"/>
      <c r="T79" s="2984"/>
      <c r="U79" s="2984"/>
      <c r="V79" s="2984"/>
      <c r="W79" s="2984"/>
      <c r="X79" s="2984"/>
      <c r="Y79" s="2984"/>
    </row>
    <row r="80" spans="6:25" ht="17.1" customHeight="1">
      <c r="F80" s="2984"/>
      <c r="G80" s="2984"/>
      <c r="H80" s="2984"/>
      <c r="I80" s="2984"/>
      <c r="J80" s="2984"/>
      <c r="K80" s="2984"/>
      <c r="L80" s="2984"/>
      <c r="M80" s="2984"/>
      <c r="N80" s="2984"/>
      <c r="O80" s="2984"/>
      <c r="P80" s="2984"/>
      <c r="Q80" s="2984"/>
      <c r="R80" s="2984"/>
      <c r="S80" s="2984"/>
      <c r="T80" s="2984"/>
      <c r="U80" s="2984"/>
      <c r="V80" s="2984"/>
      <c r="W80" s="2984"/>
      <c r="X80" s="2984"/>
      <c r="Y80" s="2984"/>
    </row>
    <row r="81" spans="6:25" ht="17.1" customHeight="1">
      <c r="F81" s="2984"/>
      <c r="G81" s="2984"/>
      <c r="H81" s="2984"/>
      <c r="I81" s="2984"/>
      <c r="J81" s="2984"/>
      <c r="K81" s="2984"/>
      <c r="L81" s="2984"/>
      <c r="M81" s="2984"/>
      <c r="N81" s="2984"/>
      <c r="O81" s="2984"/>
      <c r="P81" s="2984"/>
      <c r="Q81" s="2984"/>
      <c r="R81" s="2984"/>
      <c r="S81" s="2984"/>
      <c r="T81" s="2984"/>
      <c r="U81" s="2984"/>
      <c r="V81" s="2984"/>
      <c r="W81" s="2984"/>
      <c r="X81" s="2984"/>
      <c r="Y81" s="2984"/>
    </row>
    <row r="82" spans="6:25" ht="17.1" customHeight="1">
      <c r="F82" s="2984"/>
      <c r="G82" s="2984"/>
      <c r="H82" s="2984"/>
      <c r="I82" s="2984"/>
      <c r="J82" s="2984"/>
      <c r="K82" s="2984"/>
      <c r="L82" s="2984"/>
      <c r="M82" s="2984"/>
      <c r="N82" s="2984"/>
      <c r="O82" s="2984"/>
      <c r="P82" s="2984"/>
      <c r="Q82" s="2984"/>
      <c r="R82" s="2984"/>
      <c r="S82" s="2984"/>
      <c r="T82" s="2984"/>
      <c r="U82" s="2984"/>
      <c r="V82" s="2984"/>
      <c r="W82" s="2984"/>
      <c r="X82" s="2984"/>
      <c r="Y82" s="2984"/>
    </row>
    <row r="83" spans="6:25" ht="17.1" customHeight="1">
      <c r="F83" s="2984"/>
      <c r="G83" s="2984"/>
      <c r="H83" s="2984"/>
      <c r="I83" s="2984"/>
      <c r="J83" s="2984"/>
      <c r="K83" s="2984"/>
      <c r="L83" s="2984"/>
      <c r="M83" s="2984"/>
      <c r="N83" s="2984"/>
      <c r="O83" s="2984"/>
      <c r="P83" s="2984"/>
      <c r="Q83" s="2984"/>
      <c r="R83" s="2984"/>
      <c r="S83" s="2984"/>
      <c r="T83" s="2984"/>
      <c r="U83" s="2984"/>
      <c r="V83" s="2984"/>
      <c r="W83" s="2984"/>
      <c r="X83" s="2984"/>
      <c r="Y83" s="2984"/>
    </row>
    <row r="84" spans="6:25" ht="17.1" customHeight="1">
      <c r="F84" s="2984"/>
      <c r="G84" s="2984"/>
      <c r="H84" s="2984"/>
      <c r="I84" s="2984"/>
      <c r="J84" s="2984"/>
      <c r="K84" s="2984"/>
      <c r="L84" s="2984"/>
      <c r="M84" s="2984"/>
      <c r="N84" s="2984"/>
      <c r="O84" s="2984"/>
      <c r="P84" s="2984"/>
      <c r="Q84" s="2984"/>
      <c r="R84" s="2984"/>
      <c r="S84" s="2984"/>
      <c r="T84" s="2984"/>
      <c r="U84" s="2984"/>
      <c r="V84" s="2984"/>
      <c r="W84" s="2984"/>
      <c r="X84" s="2984"/>
      <c r="Y84" s="2984"/>
    </row>
    <row r="85" spans="6:25" ht="17.1" customHeight="1">
      <c r="F85" s="2984"/>
      <c r="G85" s="2984"/>
      <c r="H85" s="2984"/>
      <c r="I85" s="2984"/>
      <c r="J85" s="2984"/>
      <c r="K85" s="2984"/>
      <c r="L85" s="2984"/>
      <c r="M85" s="2984"/>
      <c r="N85" s="2984"/>
      <c r="O85" s="2984"/>
      <c r="P85" s="2984"/>
      <c r="Q85" s="2984"/>
      <c r="R85" s="2984"/>
      <c r="S85" s="2984"/>
      <c r="T85" s="2984"/>
      <c r="U85" s="2984"/>
      <c r="V85" s="2984"/>
      <c r="W85" s="2984"/>
      <c r="X85" s="2984"/>
      <c r="Y85" s="2984"/>
    </row>
    <row r="86" spans="6:25" ht="17.1" customHeight="1">
      <c r="F86" s="2984"/>
      <c r="G86" s="2984"/>
      <c r="H86" s="2984"/>
      <c r="I86" s="2984"/>
      <c r="J86" s="2984"/>
      <c r="K86" s="2984"/>
      <c r="L86" s="2984"/>
      <c r="M86" s="2984"/>
      <c r="N86" s="2984"/>
      <c r="O86" s="2984"/>
      <c r="P86" s="2984"/>
      <c r="Q86" s="2984"/>
      <c r="R86" s="2984"/>
      <c r="S86" s="2984"/>
      <c r="T86" s="2984"/>
      <c r="U86" s="2984"/>
      <c r="V86" s="2984"/>
      <c r="W86" s="2984"/>
      <c r="X86" s="2984"/>
      <c r="Y86" s="2984"/>
    </row>
    <row r="87" spans="6:25" ht="17.1" customHeight="1">
      <c r="F87" s="2984"/>
      <c r="G87" s="2984"/>
      <c r="H87" s="2984"/>
      <c r="I87" s="2984"/>
      <c r="J87" s="2984"/>
      <c r="K87" s="2984"/>
      <c r="L87" s="2984"/>
      <c r="M87" s="2984"/>
      <c r="N87" s="2984"/>
      <c r="O87" s="2984"/>
      <c r="P87" s="2984"/>
      <c r="Q87" s="2984"/>
      <c r="R87" s="2984"/>
      <c r="S87" s="2984"/>
      <c r="T87" s="2984"/>
      <c r="U87" s="2984"/>
      <c r="V87" s="2984"/>
      <c r="W87" s="2984"/>
      <c r="X87" s="2984"/>
      <c r="Y87" s="2984"/>
    </row>
    <row r="88" spans="6:25" ht="17.1" customHeight="1">
      <c r="F88" s="2984"/>
      <c r="G88" s="2984"/>
      <c r="H88" s="2984"/>
      <c r="I88" s="2984"/>
      <c r="J88" s="2984"/>
      <c r="K88" s="2984"/>
      <c r="L88" s="2984"/>
      <c r="M88" s="2984"/>
      <c r="N88" s="2984"/>
      <c r="O88" s="2984"/>
      <c r="P88" s="2984"/>
      <c r="Q88" s="2984"/>
      <c r="R88" s="2984"/>
      <c r="S88" s="2984"/>
      <c r="T88" s="2984"/>
      <c r="U88" s="2984"/>
      <c r="V88" s="2984"/>
      <c r="W88" s="2984"/>
      <c r="X88" s="2984"/>
      <c r="Y88" s="2984"/>
    </row>
    <row r="89" spans="6:25" ht="17.1" customHeight="1">
      <c r="F89" s="2984"/>
      <c r="G89" s="2984"/>
      <c r="H89" s="2984"/>
      <c r="I89" s="2984"/>
      <c r="J89" s="2984"/>
      <c r="K89" s="2984"/>
      <c r="L89" s="2984"/>
      <c r="M89" s="2984"/>
      <c r="N89" s="2984"/>
      <c r="O89" s="2984"/>
      <c r="P89" s="2984"/>
      <c r="Q89" s="2984"/>
      <c r="R89" s="2984"/>
      <c r="S89" s="2984"/>
      <c r="T89" s="2984"/>
      <c r="U89" s="2984"/>
      <c r="V89" s="2984"/>
      <c r="W89" s="2984"/>
      <c r="X89" s="2984"/>
      <c r="Y89" s="2984"/>
    </row>
    <row r="90" spans="6:25" ht="17.1" customHeight="1">
      <c r="F90" s="2984"/>
      <c r="G90" s="2984"/>
      <c r="H90" s="2984"/>
      <c r="I90" s="2984"/>
      <c r="J90" s="2984"/>
      <c r="K90" s="2984"/>
      <c r="L90" s="2984"/>
      <c r="M90" s="2984"/>
      <c r="N90" s="2984"/>
      <c r="O90" s="2984"/>
      <c r="P90" s="2984"/>
      <c r="Q90" s="2984"/>
      <c r="R90" s="2984"/>
      <c r="S90" s="2984"/>
      <c r="T90" s="2984"/>
      <c r="U90" s="2984"/>
      <c r="V90" s="2984"/>
      <c r="W90" s="2984"/>
      <c r="X90" s="2984"/>
      <c r="Y90" s="2984"/>
    </row>
    <row r="91" spans="6:25" ht="17.1" customHeight="1">
      <c r="F91" s="2984"/>
      <c r="G91" s="2984"/>
      <c r="H91" s="2984"/>
      <c r="I91" s="2984"/>
      <c r="J91" s="2984"/>
      <c r="K91" s="2984"/>
      <c r="L91" s="2984"/>
      <c r="M91" s="2984"/>
      <c r="N91" s="2984"/>
      <c r="O91" s="2984"/>
      <c r="P91" s="2984"/>
      <c r="Q91" s="2984"/>
      <c r="R91" s="2984"/>
      <c r="S91" s="2984"/>
      <c r="T91" s="2984"/>
      <c r="U91" s="2984"/>
      <c r="V91" s="2984"/>
      <c r="W91" s="2984"/>
      <c r="X91" s="2984"/>
      <c r="Y91" s="2984"/>
    </row>
    <row r="92" spans="6:25" ht="17.1" customHeight="1">
      <c r="F92" s="2984"/>
      <c r="G92" s="2984"/>
      <c r="H92" s="2984"/>
      <c r="I92" s="2984"/>
      <c r="J92" s="2984"/>
      <c r="K92" s="2984"/>
      <c r="L92" s="2984"/>
      <c r="M92" s="2984"/>
      <c r="N92" s="2984"/>
      <c r="O92" s="2984"/>
      <c r="P92" s="2984"/>
      <c r="Q92" s="2984"/>
      <c r="R92" s="2984"/>
      <c r="S92" s="2984"/>
      <c r="T92" s="2984"/>
      <c r="U92" s="2984"/>
      <c r="V92" s="2984"/>
      <c r="W92" s="2984"/>
      <c r="X92" s="2984"/>
      <c r="Y92" s="2984"/>
    </row>
    <row r="93" spans="6:25" ht="17.1" customHeight="1">
      <c r="F93" s="2984"/>
      <c r="G93" s="2984"/>
      <c r="H93" s="2984"/>
      <c r="I93" s="2984"/>
      <c r="J93" s="2984"/>
      <c r="K93" s="2984"/>
      <c r="L93" s="2984"/>
      <c r="M93" s="2984"/>
      <c r="N93" s="2984"/>
      <c r="O93" s="2984"/>
      <c r="P93" s="2984"/>
      <c r="Q93" s="2984"/>
      <c r="R93" s="2984"/>
      <c r="S93" s="2984"/>
      <c r="T93" s="2984"/>
      <c r="U93" s="2984"/>
      <c r="V93" s="2984"/>
      <c r="W93" s="2984"/>
      <c r="X93" s="2984"/>
      <c r="Y93" s="2984"/>
    </row>
    <row r="94" spans="6:25" ht="17.1" customHeight="1">
      <c r="F94" s="2984"/>
      <c r="G94" s="2984"/>
      <c r="H94" s="2984"/>
      <c r="I94" s="2984"/>
      <c r="J94" s="2984"/>
      <c r="K94" s="2984"/>
      <c r="L94" s="2984"/>
      <c r="M94" s="2984"/>
      <c r="N94" s="2984"/>
      <c r="O94" s="2984"/>
      <c r="P94" s="2984"/>
      <c r="Q94" s="2984"/>
      <c r="R94" s="2984"/>
      <c r="S94" s="2984"/>
      <c r="T94" s="2984"/>
      <c r="U94" s="2984"/>
      <c r="V94" s="2984"/>
      <c r="W94" s="2984"/>
      <c r="X94" s="2984"/>
      <c r="Y94" s="2984"/>
    </row>
    <row r="95" spans="6:25" ht="17.1" customHeight="1">
      <c r="F95" s="2984"/>
      <c r="G95" s="2984"/>
      <c r="H95" s="2984"/>
      <c r="I95" s="2984"/>
      <c r="J95" s="2984"/>
      <c r="K95" s="2984"/>
      <c r="L95" s="2984"/>
      <c r="M95" s="2984"/>
      <c r="N95" s="2984"/>
      <c r="O95" s="2984"/>
      <c r="P95" s="2984"/>
      <c r="Q95" s="2984"/>
      <c r="R95" s="2984"/>
      <c r="S95" s="2984"/>
      <c r="T95" s="2984"/>
      <c r="U95" s="2984"/>
      <c r="V95" s="2984"/>
      <c r="W95" s="2984"/>
      <c r="X95" s="2984"/>
      <c r="Y95" s="2984"/>
    </row>
    <row r="96" spans="6:25" ht="17.1" customHeight="1">
      <c r="F96" s="2984"/>
      <c r="G96" s="2984"/>
      <c r="H96" s="2984"/>
      <c r="I96" s="2984"/>
      <c r="J96" s="2984"/>
      <c r="K96" s="2984"/>
      <c r="L96" s="2984"/>
      <c r="M96" s="2984"/>
      <c r="N96" s="2984"/>
      <c r="O96" s="2984"/>
      <c r="P96" s="2984"/>
      <c r="Q96" s="2984"/>
      <c r="R96" s="2984"/>
      <c r="S96" s="2984"/>
      <c r="T96" s="2984"/>
      <c r="U96" s="2984"/>
      <c r="V96" s="2984"/>
      <c r="W96" s="2984"/>
      <c r="X96" s="2984"/>
      <c r="Y96" s="2984"/>
    </row>
    <row r="97" spans="6:25" ht="17.1" customHeight="1">
      <c r="F97" s="2984"/>
      <c r="G97" s="2984"/>
      <c r="H97" s="2984"/>
      <c r="I97" s="2984"/>
      <c r="J97" s="2984"/>
      <c r="K97" s="2984"/>
      <c r="L97" s="2984"/>
      <c r="M97" s="2984"/>
      <c r="N97" s="2984"/>
      <c r="O97" s="2984"/>
      <c r="P97" s="2984"/>
      <c r="Q97" s="2984"/>
      <c r="R97" s="2984"/>
      <c r="S97" s="2984"/>
      <c r="T97" s="2984"/>
      <c r="U97" s="2984"/>
      <c r="V97" s="2984"/>
      <c r="W97" s="2984"/>
      <c r="X97" s="2984"/>
      <c r="Y97" s="2984"/>
    </row>
    <row r="98" spans="6:25" ht="17.1" customHeight="1">
      <c r="F98" s="2984"/>
      <c r="G98" s="2984"/>
      <c r="H98" s="2984"/>
      <c r="I98" s="2984"/>
      <c r="J98" s="2984"/>
      <c r="K98" s="2984"/>
      <c r="L98" s="2984"/>
      <c r="M98" s="2984"/>
      <c r="N98" s="2984"/>
      <c r="O98" s="2984"/>
      <c r="P98" s="2984"/>
      <c r="Q98" s="2984"/>
      <c r="R98" s="2984"/>
      <c r="S98" s="2984"/>
      <c r="T98" s="2984"/>
      <c r="U98" s="2984"/>
      <c r="V98" s="2984"/>
      <c r="W98" s="2984"/>
      <c r="X98" s="2984"/>
      <c r="Y98" s="2984"/>
    </row>
    <row r="99" spans="6:25" ht="17.1" customHeight="1">
      <c r="F99" s="2984"/>
      <c r="G99" s="2984"/>
      <c r="H99" s="2984"/>
      <c r="I99" s="2984"/>
      <c r="J99" s="2984"/>
      <c r="K99" s="2984"/>
      <c r="L99" s="2984"/>
      <c r="M99" s="2984"/>
      <c r="N99" s="2984"/>
      <c r="O99" s="2984"/>
      <c r="P99" s="2984"/>
      <c r="Q99" s="2984"/>
      <c r="R99" s="2984"/>
      <c r="S99" s="2984"/>
      <c r="T99" s="2984"/>
      <c r="U99" s="2984"/>
      <c r="V99" s="2984"/>
      <c r="W99" s="2984"/>
      <c r="X99" s="2984"/>
      <c r="Y99" s="2984"/>
    </row>
    <row r="100" spans="6:25" ht="17.1" customHeight="1">
      <c r="F100" s="2984"/>
      <c r="G100" s="2984"/>
      <c r="H100" s="2984"/>
      <c r="I100" s="2984"/>
      <c r="J100" s="2984"/>
      <c r="K100" s="2984"/>
      <c r="L100" s="2984"/>
      <c r="M100" s="2984"/>
      <c r="N100" s="2984"/>
      <c r="O100" s="2984"/>
      <c r="P100" s="2984"/>
      <c r="Q100" s="2984"/>
      <c r="R100" s="2984"/>
      <c r="S100" s="2984"/>
      <c r="T100" s="2984"/>
      <c r="U100" s="2984"/>
      <c r="V100" s="2984"/>
      <c r="W100" s="2984"/>
      <c r="X100" s="2984"/>
      <c r="Y100" s="2984"/>
    </row>
    <row r="101" spans="6:25" ht="17.1" customHeight="1">
      <c r="F101" s="2984"/>
      <c r="G101" s="2984"/>
      <c r="H101" s="2984"/>
      <c r="I101" s="2984"/>
      <c r="J101" s="2984"/>
      <c r="K101" s="2984"/>
      <c r="L101" s="2984"/>
      <c r="M101" s="2984"/>
      <c r="N101" s="2984"/>
      <c r="O101" s="2984"/>
      <c r="P101" s="2984"/>
      <c r="Q101" s="2984"/>
      <c r="R101" s="2984"/>
      <c r="S101" s="2984"/>
      <c r="T101" s="2984"/>
      <c r="U101" s="2984"/>
      <c r="V101" s="2984"/>
      <c r="W101" s="2984"/>
      <c r="X101" s="2984"/>
      <c r="Y101" s="2984"/>
    </row>
    <row r="102" spans="6:25" ht="17.1" customHeight="1">
      <c r="F102" s="2984"/>
      <c r="G102" s="2984"/>
      <c r="H102" s="2984"/>
      <c r="I102" s="2984"/>
      <c r="J102" s="2984"/>
      <c r="K102" s="2984"/>
      <c r="L102" s="2984"/>
      <c r="M102" s="2984"/>
      <c r="N102" s="2984"/>
      <c r="O102" s="2984"/>
      <c r="P102" s="2984"/>
      <c r="Q102" s="2984"/>
      <c r="R102" s="2984"/>
      <c r="S102" s="2984"/>
      <c r="T102" s="2984"/>
      <c r="U102" s="2984"/>
      <c r="V102" s="2984"/>
      <c r="W102" s="2984"/>
      <c r="X102" s="2984"/>
      <c r="Y102" s="2984"/>
    </row>
    <row r="103" spans="6:25" ht="17.1" customHeight="1">
      <c r="F103" s="2984"/>
      <c r="G103" s="2984"/>
      <c r="H103" s="2984"/>
      <c r="I103" s="2984"/>
      <c r="J103" s="2984"/>
      <c r="K103" s="2984"/>
      <c r="L103" s="2984"/>
      <c r="M103" s="2984"/>
      <c r="N103" s="2984"/>
      <c r="O103" s="2984"/>
      <c r="P103" s="2984"/>
      <c r="Q103" s="2984"/>
      <c r="R103" s="2984"/>
      <c r="S103" s="2984"/>
      <c r="T103" s="2984"/>
      <c r="U103" s="2984"/>
      <c r="V103" s="2984"/>
      <c r="W103" s="2984"/>
      <c r="X103" s="2984"/>
      <c r="Y103" s="2984"/>
    </row>
    <row r="104" spans="6:25" ht="17.1" customHeight="1">
      <c r="F104" s="2984"/>
      <c r="G104" s="2984"/>
      <c r="H104" s="2984"/>
      <c r="I104" s="2984"/>
      <c r="J104" s="2984"/>
      <c r="K104" s="2984"/>
      <c r="L104" s="2984"/>
      <c r="M104" s="2984"/>
      <c r="N104" s="2984"/>
      <c r="O104" s="2984"/>
      <c r="P104" s="2984"/>
      <c r="Q104" s="2984"/>
      <c r="R104" s="2984"/>
      <c r="S104" s="2984"/>
      <c r="T104" s="2984"/>
      <c r="U104" s="2984"/>
      <c r="V104" s="2984"/>
      <c r="W104" s="2984"/>
      <c r="X104" s="2984"/>
      <c r="Y104" s="2984"/>
    </row>
    <row r="105" spans="6:25" ht="17.1" customHeight="1">
      <c r="F105" s="2984"/>
      <c r="G105" s="2984"/>
      <c r="H105" s="2984"/>
      <c r="I105" s="2984"/>
      <c r="J105" s="2984"/>
      <c r="K105" s="2984"/>
      <c r="L105" s="2984"/>
      <c r="M105" s="2984"/>
      <c r="N105" s="2984"/>
      <c r="O105" s="2984"/>
      <c r="P105" s="2984"/>
      <c r="Q105" s="2984"/>
      <c r="R105" s="2984"/>
      <c r="S105" s="2984"/>
      <c r="T105" s="2984"/>
      <c r="U105" s="2984"/>
      <c r="V105" s="2984"/>
      <c r="W105" s="2984"/>
      <c r="X105" s="2984"/>
      <c r="Y105" s="2984"/>
    </row>
    <row r="106" spans="6:25" ht="17.1" customHeight="1">
      <c r="F106" s="2984"/>
      <c r="G106" s="2984"/>
      <c r="H106" s="2984"/>
      <c r="I106" s="2984"/>
      <c r="J106" s="2984"/>
      <c r="K106" s="2984"/>
      <c r="L106" s="2984"/>
      <c r="M106" s="2984"/>
      <c r="N106" s="2984"/>
      <c r="O106" s="2984"/>
      <c r="P106" s="2984"/>
      <c r="Q106" s="2984"/>
      <c r="R106" s="2984"/>
      <c r="S106" s="2984"/>
      <c r="T106" s="2984"/>
      <c r="U106" s="2984"/>
      <c r="V106" s="2984"/>
      <c r="W106" s="2984"/>
      <c r="X106" s="2984"/>
      <c r="Y106" s="2984"/>
    </row>
    <row r="107" spans="6:25" ht="17.1" customHeight="1">
      <c r="F107" s="2984"/>
      <c r="G107" s="2984"/>
      <c r="H107" s="2984"/>
      <c r="I107" s="2984"/>
      <c r="J107" s="2984"/>
      <c r="K107" s="2984"/>
      <c r="L107" s="2984"/>
      <c r="M107" s="2984"/>
      <c r="N107" s="2984"/>
      <c r="O107" s="2984"/>
      <c r="P107" s="2984"/>
      <c r="Q107" s="2984"/>
      <c r="R107" s="2984"/>
      <c r="S107" s="2984"/>
      <c r="T107" s="2984"/>
      <c r="U107" s="2984"/>
      <c r="V107" s="2984"/>
      <c r="W107" s="2984"/>
      <c r="X107" s="2984"/>
      <c r="Y107" s="2984"/>
    </row>
    <row r="108" spans="6:25" ht="17.1" customHeight="1">
      <c r="F108" s="2984"/>
      <c r="G108" s="2984"/>
      <c r="H108" s="2984"/>
      <c r="I108" s="2984"/>
      <c r="J108" s="2984"/>
      <c r="K108" s="2984"/>
      <c r="L108" s="2984"/>
      <c r="M108" s="2984"/>
      <c r="N108" s="2984"/>
      <c r="O108" s="2984"/>
      <c r="P108" s="2984"/>
      <c r="Q108" s="2984"/>
      <c r="R108" s="2984"/>
      <c r="S108" s="2984"/>
      <c r="T108" s="2984"/>
      <c r="U108" s="2984"/>
      <c r="V108" s="2984"/>
      <c r="W108" s="2984"/>
      <c r="X108" s="2984"/>
      <c r="Y108" s="2984"/>
    </row>
    <row r="109" spans="6:25" ht="17.1" customHeight="1">
      <c r="F109" s="2984"/>
      <c r="G109" s="2984"/>
      <c r="H109" s="2984"/>
      <c r="I109" s="2984"/>
      <c r="J109" s="2984"/>
      <c r="K109" s="2984"/>
      <c r="L109" s="2984"/>
      <c r="M109" s="2984"/>
      <c r="N109" s="2984"/>
      <c r="O109" s="2984"/>
      <c r="P109" s="2984"/>
      <c r="Q109" s="2984"/>
      <c r="R109" s="2984"/>
      <c r="S109" s="2984"/>
      <c r="T109" s="2984"/>
      <c r="U109" s="2984"/>
      <c r="V109" s="2984"/>
      <c r="W109" s="2984"/>
      <c r="X109" s="2984"/>
      <c r="Y109" s="2984"/>
    </row>
    <row r="110" spans="6:25" ht="17.1" customHeight="1">
      <c r="F110" s="2984"/>
      <c r="G110" s="2984"/>
      <c r="H110" s="2984"/>
      <c r="I110" s="2984"/>
      <c r="J110" s="2984"/>
      <c r="K110" s="2984"/>
      <c r="L110" s="2984"/>
      <c r="M110" s="2984"/>
      <c r="N110" s="2984"/>
      <c r="O110" s="2984"/>
      <c r="P110" s="2984"/>
      <c r="Q110" s="2984"/>
      <c r="R110" s="2984"/>
      <c r="S110" s="2984"/>
      <c r="T110" s="2984"/>
      <c r="U110" s="2984"/>
      <c r="V110" s="2984"/>
      <c r="W110" s="2984"/>
      <c r="X110" s="2984"/>
      <c r="Y110" s="2984"/>
    </row>
    <row r="111" spans="6:25" ht="17.1" customHeight="1">
      <c r="F111" s="2984"/>
      <c r="G111" s="2984"/>
      <c r="H111" s="2984"/>
      <c r="I111" s="2984"/>
      <c r="J111" s="2984"/>
      <c r="K111" s="2984"/>
      <c r="L111" s="2984"/>
      <c r="M111" s="2984"/>
      <c r="N111" s="2984"/>
      <c r="O111" s="2984"/>
      <c r="P111" s="2984"/>
      <c r="Q111" s="2984"/>
      <c r="R111" s="2984"/>
      <c r="S111" s="2984"/>
      <c r="T111" s="2984"/>
      <c r="U111" s="2984"/>
      <c r="V111" s="2984"/>
      <c r="W111" s="2984"/>
      <c r="X111" s="2984"/>
      <c r="Y111" s="2984"/>
    </row>
    <row r="112" spans="6:25" ht="17.1" customHeight="1">
      <c r="F112" s="2984"/>
      <c r="G112" s="2984"/>
      <c r="H112" s="2984"/>
      <c r="I112" s="2984"/>
      <c r="J112" s="2984"/>
      <c r="K112" s="2984"/>
      <c r="L112" s="2984"/>
      <c r="M112" s="2984"/>
      <c r="N112" s="2984"/>
      <c r="O112" s="2984"/>
      <c r="P112" s="2984"/>
      <c r="Q112" s="2984"/>
      <c r="R112" s="2984"/>
      <c r="S112" s="2984"/>
      <c r="T112" s="2984"/>
      <c r="U112" s="2984"/>
      <c r="V112" s="2984"/>
      <c r="W112" s="2984"/>
      <c r="X112" s="2984"/>
      <c r="Y112" s="2984"/>
    </row>
    <row r="113" spans="6:25" ht="17.1" customHeight="1">
      <c r="F113" s="2984"/>
      <c r="G113" s="2984"/>
      <c r="H113" s="2984"/>
      <c r="I113" s="2984"/>
      <c r="J113" s="2984"/>
      <c r="K113" s="2984"/>
      <c r="L113" s="2984"/>
      <c r="M113" s="2984"/>
      <c r="N113" s="2984"/>
      <c r="O113" s="2984"/>
      <c r="P113" s="2984"/>
      <c r="Q113" s="2984"/>
      <c r="R113" s="2984"/>
      <c r="S113" s="2984"/>
      <c r="T113" s="2984"/>
      <c r="U113" s="2984"/>
      <c r="V113" s="2984"/>
      <c r="W113" s="2984"/>
      <c r="X113" s="2984"/>
      <c r="Y113" s="2984"/>
    </row>
    <row r="114" spans="6:25" ht="17.1" customHeight="1">
      <c r="F114" s="2984"/>
      <c r="G114" s="2984"/>
      <c r="H114" s="2984"/>
      <c r="I114" s="2984"/>
      <c r="J114" s="2984"/>
      <c r="K114" s="2984"/>
      <c r="L114" s="2984"/>
      <c r="M114" s="2984"/>
      <c r="N114" s="2984"/>
      <c r="O114" s="2984"/>
      <c r="P114" s="2984"/>
      <c r="Q114" s="2984"/>
      <c r="R114" s="2984"/>
      <c r="S114" s="2984"/>
      <c r="T114" s="2984"/>
      <c r="U114" s="2984"/>
      <c r="V114" s="2984"/>
      <c r="W114" s="2984"/>
      <c r="X114" s="2984"/>
      <c r="Y114" s="2984"/>
    </row>
    <row r="115" spans="6:25" ht="17.1" customHeight="1">
      <c r="F115" s="2984"/>
      <c r="G115" s="2984"/>
      <c r="H115" s="2984"/>
      <c r="I115" s="2984"/>
      <c r="J115" s="2984"/>
      <c r="K115" s="2984"/>
      <c r="L115" s="2984"/>
      <c r="M115" s="2984"/>
      <c r="N115" s="2984"/>
      <c r="O115" s="2984"/>
      <c r="P115" s="2984"/>
      <c r="Q115" s="2984"/>
      <c r="R115" s="2984"/>
      <c r="S115" s="2984"/>
      <c r="T115" s="2984"/>
      <c r="U115" s="2984"/>
      <c r="V115" s="2984"/>
      <c r="W115" s="2984"/>
      <c r="X115" s="2984"/>
      <c r="Y115" s="2984"/>
    </row>
    <row r="116" spans="6:25" ht="17.1" customHeight="1">
      <c r="F116" s="2984"/>
      <c r="G116" s="2984"/>
      <c r="H116" s="2984"/>
      <c r="I116" s="2984"/>
      <c r="J116" s="2984"/>
      <c r="K116" s="2984"/>
      <c r="L116" s="2984"/>
      <c r="M116" s="2984"/>
      <c r="N116" s="2984"/>
      <c r="O116" s="2984"/>
      <c r="P116" s="2984"/>
      <c r="Q116" s="2984"/>
      <c r="R116" s="2984"/>
      <c r="S116" s="2984"/>
      <c r="T116" s="2984"/>
      <c r="U116" s="2984"/>
      <c r="V116" s="2984"/>
      <c r="W116" s="2984"/>
      <c r="X116" s="2984"/>
      <c r="Y116" s="2984"/>
    </row>
    <row r="117" spans="6:25" ht="17.1" customHeight="1">
      <c r="F117" s="2984"/>
      <c r="G117" s="2984"/>
      <c r="H117" s="2984"/>
      <c r="I117" s="2984"/>
      <c r="J117" s="2984"/>
      <c r="K117" s="2984"/>
      <c r="L117" s="2984"/>
      <c r="M117" s="2984"/>
      <c r="N117" s="2984"/>
      <c r="O117" s="2984"/>
      <c r="P117" s="2984"/>
      <c r="Q117" s="2984"/>
      <c r="R117" s="2984"/>
      <c r="S117" s="2984"/>
      <c r="T117" s="2984"/>
      <c r="U117" s="2984"/>
      <c r="V117" s="2984"/>
      <c r="W117" s="2984"/>
      <c r="X117" s="2984"/>
      <c r="Y117" s="2984"/>
    </row>
    <row r="118" spans="6:25" ht="17.1" customHeight="1">
      <c r="F118" s="2984"/>
      <c r="G118" s="2984"/>
      <c r="H118" s="2984"/>
      <c r="I118" s="2984"/>
      <c r="J118" s="2984"/>
      <c r="K118" s="2984"/>
      <c r="L118" s="2984"/>
      <c r="M118" s="2984"/>
      <c r="N118" s="2984"/>
      <c r="O118" s="2984"/>
      <c r="P118" s="2984"/>
      <c r="Q118" s="2984"/>
      <c r="R118" s="2984"/>
      <c r="S118" s="2984"/>
      <c r="T118" s="2984"/>
      <c r="U118" s="2984"/>
      <c r="V118" s="2984"/>
      <c r="W118" s="2984"/>
      <c r="X118" s="2984"/>
      <c r="Y118" s="2984"/>
    </row>
    <row r="119" spans="6:25" ht="17.1" customHeight="1">
      <c r="F119" s="2984"/>
      <c r="G119" s="2984"/>
      <c r="H119" s="2984"/>
      <c r="I119" s="2984"/>
      <c r="J119" s="2984"/>
      <c r="K119" s="2984"/>
      <c r="L119" s="2984"/>
      <c r="M119" s="2984"/>
      <c r="N119" s="2984"/>
      <c r="O119" s="2984"/>
      <c r="P119" s="2984"/>
      <c r="Q119" s="2984"/>
      <c r="R119" s="2984"/>
      <c r="S119" s="2984"/>
      <c r="T119" s="2984"/>
      <c r="U119" s="2984"/>
      <c r="V119" s="2984"/>
      <c r="W119" s="2984"/>
      <c r="X119" s="2984"/>
      <c r="Y119" s="2984"/>
    </row>
    <row r="120" spans="6:25" ht="17.1" customHeight="1">
      <c r="F120" s="2984"/>
      <c r="G120" s="2984"/>
      <c r="H120" s="2984"/>
      <c r="I120" s="2984"/>
      <c r="J120" s="2984"/>
      <c r="K120" s="2984"/>
      <c r="L120" s="2984"/>
      <c r="M120" s="2984"/>
      <c r="N120" s="2984"/>
      <c r="O120" s="2984"/>
      <c r="P120" s="2984"/>
      <c r="Q120" s="2984"/>
      <c r="R120" s="2984"/>
      <c r="S120" s="2984"/>
      <c r="T120" s="2984"/>
      <c r="U120" s="2984"/>
      <c r="V120" s="2984"/>
      <c r="W120" s="2984"/>
      <c r="X120" s="2984"/>
      <c r="Y120" s="2984"/>
    </row>
    <row r="121" spans="6:25" ht="17.1" customHeight="1">
      <c r="F121" s="2984"/>
      <c r="G121" s="2984"/>
      <c r="H121" s="2984"/>
      <c r="I121" s="2984"/>
      <c r="J121" s="2984"/>
      <c r="K121" s="2984"/>
      <c r="L121" s="2984"/>
      <c r="M121" s="2984"/>
      <c r="N121" s="2984"/>
      <c r="O121" s="2984"/>
      <c r="P121" s="2984"/>
      <c r="Q121" s="2984"/>
      <c r="R121" s="2984"/>
      <c r="S121" s="2984"/>
      <c r="T121" s="2984"/>
      <c r="U121" s="2984"/>
      <c r="V121" s="2984"/>
      <c r="W121" s="2984"/>
      <c r="X121" s="2984"/>
      <c r="Y121" s="2984"/>
    </row>
    <row r="122" spans="6:25" ht="17.1" customHeight="1">
      <c r="F122" s="2984"/>
      <c r="G122" s="2984"/>
      <c r="H122" s="2984"/>
      <c r="I122" s="2984"/>
      <c r="J122" s="2984"/>
      <c r="K122" s="2984"/>
      <c r="L122" s="2984"/>
      <c r="M122" s="2984"/>
      <c r="N122" s="2984"/>
      <c r="O122" s="2984"/>
      <c r="P122" s="2984"/>
      <c r="Q122" s="2984"/>
      <c r="R122" s="2984"/>
      <c r="S122" s="2984"/>
      <c r="T122" s="2984"/>
      <c r="U122" s="2984"/>
      <c r="V122" s="2984"/>
      <c r="W122" s="2984"/>
      <c r="X122" s="2984"/>
      <c r="Y122" s="2984"/>
    </row>
    <row r="123" spans="6:25" ht="17.1" customHeight="1">
      <c r="F123" s="2984"/>
      <c r="G123" s="2984"/>
      <c r="H123" s="2984"/>
      <c r="I123" s="2984"/>
      <c r="J123" s="2984"/>
      <c r="K123" s="2984"/>
      <c r="L123" s="2984"/>
      <c r="M123" s="2984"/>
      <c r="N123" s="2984"/>
      <c r="O123" s="2984"/>
      <c r="P123" s="2984"/>
      <c r="Q123" s="2984"/>
      <c r="R123" s="2984"/>
      <c r="S123" s="2984"/>
      <c r="T123" s="2984"/>
      <c r="U123" s="2984"/>
      <c r="V123" s="2984"/>
      <c r="W123" s="2984"/>
      <c r="X123" s="2984"/>
      <c r="Y123" s="2984"/>
    </row>
    <row r="124" spans="6:25" ht="17.1" customHeight="1">
      <c r="F124" s="2984"/>
      <c r="G124" s="2984"/>
      <c r="H124" s="2984"/>
      <c r="I124" s="2984"/>
      <c r="J124" s="2984"/>
      <c r="K124" s="2984"/>
      <c r="L124" s="2984"/>
      <c r="M124" s="2984"/>
      <c r="N124" s="2984"/>
      <c r="O124" s="2984"/>
      <c r="P124" s="2984"/>
      <c r="Q124" s="2984"/>
      <c r="R124" s="2984"/>
      <c r="S124" s="2984"/>
      <c r="T124" s="2984"/>
      <c r="U124" s="2984"/>
      <c r="V124" s="2984"/>
      <c r="W124" s="2984"/>
      <c r="X124" s="2984"/>
      <c r="Y124" s="2984"/>
    </row>
    <row r="125" spans="6:25" ht="17.1" customHeight="1">
      <c r="F125" s="2984"/>
      <c r="G125" s="2984"/>
      <c r="H125" s="2984"/>
      <c r="I125" s="2984"/>
      <c r="J125" s="2984"/>
      <c r="K125" s="2984"/>
      <c r="L125" s="2984"/>
      <c r="M125" s="2984"/>
      <c r="N125" s="2984"/>
      <c r="O125" s="2984"/>
      <c r="P125" s="2984"/>
      <c r="Q125" s="2984"/>
      <c r="R125" s="2984"/>
      <c r="S125" s="2984"/>
      <c r="T125" s="2984"/>
      <c r="U125" s="2984"/>
      <c r="V125" s="2984"/>
      <c r="W125" s="2984"/>
      <c r="X125" s="2984"/>
      <c r="Y125" s="2984"/>
    </row>
    <row r="126" spans="6:25" ht="17.1" customHeight="1">
      <c r="F126" s="2984"/>
      <c r="G126" s="2984"/>
      <c r="H126" s="2984"/>
      <c r="I126" s="2984"/>
      <c r="J126" s="2984"/>
      <c r="K126" s="2984"/>
      <c r="L126" s="2984"/>
      <c r="M126" s="2984"/>
      <c r="N126" s="2984"/>
      <c r="O126" s="2984"/>
      <c r="P126" s="2984"/>
      <c r="Q126" s="2984"/>
      <c r="R126" s="2984"/>
      <c r="S126" s="2984"/>
      <c r="T126" s="2984"/>
      <c r="U126" s="2984"/>
      <c r="V126" s="2984"/>
      <c r="W126" s="2984"/>
      <c r="X126" s="2984"/>
      <c r="Y126" s="2984"/>
    </row>
    <row r="127" spans="6:25" ht="17.1" customHeight="1">
      <c r="F127" s="2984"/>
      <c r="G127" s="2984"/>
      <c r="H127" s="2984"/>
      <c r="I127" s="2984"/>
      <c r="J127" s="2984"/>
      <c r="K127" s="2984"/>
      <c r="L127" s="2984"/>
      <c r="M127" s="2984"/>
      <c r="N127" s="2984"/>
      <c r="O127" s="2984"/>
      <c r="P127" s="2984"/>
      <c r="Q127" s="2984"/>
      <c r="R127" s="2984"/>
      <c r="S127" s="2984"/>
      <c r="T127" s="2984"/>
      <c r="U127" s="2984"/>
      <c r="V127" s="2984"/>
      <c r="W127" s="2984"/>
      <c r="X127" s="2984"/>
      <c r="Y127" s="2984"/>
    </row>
    <row r="128" spans="6:25" ht="17.1" customHeight="1">
      <c r="F128" s="2984"/>
      <c r="G128" s="2984"/>
      <c r="H128" s="2984"/>
      <c r="I128" s="2984"/>
      <c r="J128" s="2984"/>
      <c r="K128" s="2984"/>
      <c r="L128" s="2984"/>
      <c r="M128" s="2984"/>
      <c r="N128" s="2984"/>
      <c r="O128" s="2984"/>
      <c r="P128" s="2984"/>
      <c r="Q128" s="2984"/>
      <c r="R128" s="2984"/>
      <c r="S128" s="2984"/>
      <c r="T128" s="2984"/>
      <c r="U128" s="2984"/>
      <c r="V128" s="2984"/>
      <c r="W128" s="2984"/>
      <c r="X128" s="2984"/>
      <c r="Y128" s="2984"/>
    </row>
    <row r="129" spans="6:25" ht="17.1" customHeight="1">
      <c r="F129" s="2984"/>
      <c r="G129" s="2984"/>
      <c r="H129" s="2984"/>
      <c r="I129" s="2984"/>
      <c r="J129" s="2984"/>
      <c r="K129" s="2984"/>
      <c r="L129" s="2984"/>
      <c r="M129" s="2984"/>
      <c r="N129" s="2984"/>
      <c r="O129" s="2984"/>
      <c r="P129" s="2984"/>
      <c r="Q129" s="2984"/>
      <c r="R129" s="2984"/>
      <c r="S129" s="2984"/>
      <c r="T129" s="2984"/>
      <c r="U129" s="2984"/>
      <c r="V129" s="2984"/>
      <c r="W129" s="2984"/>
      <c r="X129" s="2984"/>
      <c r="Y129" s="2984"/>
    </row>
    <row r="130" spans="6:25" ht="17.1" customHeight="1">
      <c r="F130" s="2984"/>
      <c r="G130" s="2984"/>
      <c r="H130" s="2984"/>
      <c r="I130" s="2984"/>
      <c r="J130" s="2984"/>
      <c r="K130" s="2984"/>
      <c r="L130" s="2984"/>
      <c r="M130" s="2984"/>
      <c r="N130" s="2984"/>
      <c r="O130" s="2984"/>
      <c r="P130" s="2984"/>
      <c r="Q130" s="2984"/>
      <c r="R130" s="2984"/>
      <c r="S130" s="2984"/>
      <c r="T130" s="2984"/>
      <c r="U130" s="2984"/>
      <c r="V130" s="2984"/>
      <c r="W130" s="2984"/>
      <c r="X130" s="2984"/>
      <c r="Y130" s="2984"/>
    </row>
    <row r="131" spans="6:25" ht="17.1" customHeight="1">
      <c r="F131" s="2984"/>
      <c r="G131" s="2984"/>
      <c r="H131" s="2984"/>
      <c r="I131" s="2984"/>
      <c r="J131" s="2984"/>
      <c r="K131" s="2984"/>
      <c r="L131" s="2984"/>
      <c r="M131" s="2984"/>
      <c r="N131" s="2984"/>
      <c r="O131" s="2984"/>
      <c r="P131" s="2984"/>
      <c r="Q131" s="2984"/>
      <c r="R131" s="2984"/>
      <c r="S131" s="2984"/>
      <c r="T131" s="2984"/>
      <c r="U131" s="2984"/>
      <c r="V131" s="2984"/>
      <c r="W131" s="2984"/>
      <c r="X131" s="2984"/>
      <c r="Y131" s="2984"/>
    </row>
    <row r="132" spans="6:25" ht="17.1" customHeight="1">
      <c r="F132" s="2984"/>
      <c r="G132" s="2984"/>
      <c r="H132" s="2984"/>
      <c r="I132" s="2984"/>
      <c r="J132" s="2984"/>
      <c r="K132" s="2984"/>
      <c r="L132" s="2984"/>
      <c r="M132" s="2984"/>
      <c r="N132" s="2984"/>
      <c r="O132" s="2984"/>
      <c r="P132" s="2984"/>
      <c r="Q132" s="2984"/>
      <c r="R132" s="2984"/>
      <c r="S132" s="2984"/>
      <c r="T132" s="2984"/>
      <c r="U132" s="2984"/>
      <c r="V132" s="2984"/>
      <c r="W132" s="2984"/>
      <c r="X132" s="2984"/>
      <c r="Y132" s="2984"/>
    </row>
    <row r="133" spans="6:25" ht="17.1" customHeight="1">
      <c r="F133" s="2984"/>
      <c r="G133" s="2984"/>
      <c r="H133" s="2984"/>
      <c r="I133" s="2984"/>
      <c r="J133" s="2984"/>
      <c r="K133" s="2984"/>
      <c r="L133" s="2984"/>
      <c r="M133" s="2984"/>
      <c r="N133" s="2984"/>
      <c r="O133" s="2984"/>
      <c r="P133" s="2984"/>
      <c r="Q133" s="2984"/>
      <c r="R133" s="2984"/>
      <c r="S133" s="2984"/>
      <c r="T133" s="2984"/>
      <c r="U133" s="2984"/>
      <c r="V133" s="2984"/>
      <c r="W133" s="2984"/>
      <c r="X133" s="2984"/>
      <c r="Y133" s="2984"/>
    </row>
    <row r="134" spans="6:25" ht="17.1" customHeight="1">
      <c r="F134" s="2984"/>
      <c r="G134" s="2984"/>
      <c r="H134" s="2984"/>
      <c r="I134" s="2984"/>
      <c r="J134" s="2984"/>
      <c r="K134" s="2984"/>
      <c r="L134" s="2984"/>
      <c r="M134" s="2984"/>
      <c r="N134" s="2984"/>
      <c r="O134" s="2984"/>
      <c r="P134" s="2984"/>
      <c r="Q134" s="2984"/>
      <c r="R134" s="2984"/>
      <c r="S134" s="2984"/>
      <c r="T134" s="2984"/>
      <c r="U134" s="2984"/>
      <c r="V134" s="2984"/>
      <c r="W134" s="2984"/>
      <c r="X134" s="2984"/>
      <c r="Y134" s="2984"/>
    </row>
    <row r="135" spans="6:25" ht="17.1" customHeight="1">
      <c r="F135" s="2984"/>
      <c r="G135" s="2984"/>
      <c r="H135" s="2984"/>
      <c r="I135" s="2984"/>
      <c r="J135" s="2984"/>
      <c r="K135" s="2984"/>
      <c r="L135" s="2984"/>
      <c r="M135" s="2984"/>
      <c r="N135" s="2984"/>
      <c r="O135" s="2984"/>
      <c r="P135" s="2984"/>
      <c r="Q135" s="2984"/>
      <c r="R135" s="2984"/>
      <c r="S135" s="2984"/>
      <c r="T135" s="2984"/>
      <c r="U135" s="2984"/>
      <c r="V135" s="2984"/>
      <c r="W135" s="2984"/>
      <c r="X135" s="2984"/>
      <c r="Y135" s="2984"/>
    </row>
    <row r="136" spans="6:25" ht="17.1" customHeight="1">
      <c r="F136" s="2984"/>
      <c r="G136" s="2984"/>
      <c r="H136" s="2984"/>
      <c r="I136" s="2984"/>
      <c r="J136" s="2984"/>
      <c r="K136" s="2984"/>
      <c r="L136" s="2984"/>
      <c r="M136" s="2984"/>
      <c r="N136" s="2984"/>
      <c r="O136" s="2984"/>
      <c r="P136" s="2984"/>
      <c r="Q136" s="2984"/>
      <c r="R136" s="2984"/>
      <c r="S136" s="2984"/>
      <c r="T136" s="2984"/>
      <c r="U136" s="2984"/>
      <c r="V136" s="2984"/>
      <c r="W136" s="2984"/>
      <c r="X136" s="2984"/>
      <c r="Y136" s="2984"/>
    </row>
    <row r="137" spans="6:25" ht="17.1" customHeight="1">
      <c r="F137" s="2984"/>
      <c r="G137" s="2984"/>
      <c r="H137" s="2984"/>
      <c r="I137" s="2984"/>
      <c r="J137" s="2984"/>
      <c r="K137" s="2984"/>
      <c r="L137" s="2984"/>
      <c r="M137" s="2984"/>
      <c r="N137" s="2984"/>
      <c r="O137" s="2984"/>
      <c r="P137" s="2984"/>
      <c r="Q137" s="2984"/>
      <c r="R137" s="2984"/>
      <c r="S137" s="2984"/>
      <c r="T137" s="2984"/>
      <c r="U137" s="2984"/>
      <c r="V137" s="2984"/>
      <c r="W137" s="2984"/>
      <c r="X137" s="2984"/>
      <c r="Y137" s="2984"/>
    </row>
    <row r="138" spans="6:25" ht="17.1" customHeight="1">
      <c r="F138" s="2984"/>
      <c r="G138" s="2984"/>
      <c r="H138" s="2984"/>
      <c r="I138" s="2984"/>
      <c r="J138" s="2984"/>
      <c r="K138" s="2984"/>
      <c r="L138" s="2984"/>
      <c r="M138" s="2984"/>
      <c r="N138" s="2984"/>
      <c r="O138" s="2984"/>
      <c r="P138" s="2984"/>
      <c r="Q138" s="2984"/>
      <c r="R138" s="2984"/>
      <c r="S138" s="2984"/>
      <c r="T138" s="2984"/>
      <c r="U138" s="2984"/>
      <c r="V138" s="2984"/>
      <c r="W138" s="2984"/>
      <c r="X138" s="2984"/>
      <c r="Y138" s="2984"/>
    </row>
    <row r="139" spans="6:25" ht="17.1" customHeight="1">
      <c r="F139" s="2984"/>
      <c r="G139" s="2984"/>
      <c r="H139" s="2984"/>
      <c r="I139" s="2984"/>
      <c r="J139" s="2984"/>
      <c r="K139" s="2984"/>
      <c r="L139" s="2984"/>
      <c r="M139" s="2984"/>
      <c r="N139" s="2984"/>
      <c r="O139" s="2984"/>
      <c r="P139" s="2984"/>
      <c r="Q139" s="2984"/>
      <c r="R139" s="2984"/>
      <c r="S139" s="2984"/>
      <c r="T139" s="2984"/>
      <c r="U139" s="2984"/>
      <c r="V139" s="2984"/>
      <c r="W139" s="2984"/>
      <c r="X139" s="2984"/>
      <c r="Y139" s="2984"/>
    </row>
    <row r="140" spans="6:25" ht="17.1" customHeight="1">
      <c r="F140" s="2984"/>
      <c r="G140" s="2984"/>
      <c r="H140" s="2984"/>
      <c r="I140" s="2984"/>
      <c r="J140" s="2984"/>
      <c r="K140" s="2984"/>
      <c r="L140" s="2984"/>
      <c r="M140" s="2984"/>
      <c r="N140" s="2984"/>
      <c r="O140" s="2984"/>
      <c r="P140" s="2984"/>
      <c r="Q140" s="2984"/>
      <c r="R140" s="2984"/>
      <c r="S140" s="2984"/>
      <c r="T140" s="2984"/>
      <c r="U140" s="2984"/>
      <c r="V140" s="2984"/>
      <c r="W140" s="2984"/>
      <c r="X140" s="2984"/>
      <c r="Y140" s="2984"/>
    </row>
    <row r="141" spans="6:25" ht="17.1" customHeight="1">
      <c r="F141" s="2984"/>
      <c r="G141" s="2984"/>
      <c r="H141" s="2984"/>
      <c r="I141" s="2984"/>
      <c r="J141" s="2984"/>
      <c r="K141" s="2984"/>
      <c r="L141" s="2984"/>
      <c r="M141" s="2984"/>
      <c r="N141" s="2984"/>
      <c r="O141" s="2984"/>
      <c r="P141" s="2984"/>
      <c r="Q141" s="2984"/>
      <c r="R141" s="2984"/>
      <c r="S141" s="2984"/>
      <c r="T141" s="2984"/>
      <c r="U141" s="2984"/>
      <c r="V141" s="2984"/>
      <c r="W141" s="2984"/>
      <c r="X141" s="2984"/>
      <c r="Y141" s="2984"/>
    </row>
    <row r="142" spans="6:25" ht="17.1" customHeight="1">
      <c r="F142" s="2984"/>
      <c r="G142" s="2984"/>
      <c r="H142" s="2984"/>
      <c r="I142" s="2984"/>
      <c r="J142" s="2984"/>
      <c r="K142" s="2984"/>
      <c r="L142" s="2984"/>
      <c r="M142" s="2984"/>
      <c r="N142" s="2984"/>
      <c r="O142" s="2984"/>
      <c r="P142" s="2984"/>
      <c r="Q142" s="2984"/>
      <c r="R142" s="2984"/>
      <c r="S142" s="2984"/>
      <c r="T142" s="2984"/>
      <c r="U142" s="2984"/>
      <c r="V142" s="2984"/>
      <c r="W142" s="2984"/>
      <c r="X142" s="2984"/>
      <c r="Y142" s="2984"/>
    </row>
    <row r="143" spans="6:25" ht="17.1" customHeight="1">
      <c r="F143" s="2984"/>
      <c r="G143" s="2984"/>
      <c r="H143" s="2984"/>
      <c r="I143" s="2984"/>
      <c r="J143" s="2984"/>
      <c r="K143" s="2984"/>
      <c r="L143" s="2984"/>
      <c r="M143" s="2984"/>
      <c r="N143" s="2984"/>
      <c r="O143" s="2984"/>
      <c r="P143" s="2984"/>
      <c r="Q143" s="2984"/>
      <c r="R143" s="2984"/>
      <c r="S143" s="2984"/>
      <c r="T143" s="2984"/>
      <c r="U143" s="2984"/>
      <c r="V143" s="2984"/>
      <c r="W143" s="2984"/>
      <c r="X143" s="2984"/>
      <c r="Y143" s="2984"/>
    </row>
    <row r="144" spans="6:25" ht="17.1" customHeight="1">
      <c r="F144" s="2984"/>
      <c r="G144" s="2984"/>
      <c r="H144" s="2984"/>
      <c r="I144" s="2984"/>
      <c r="J144" s="2984"/>
      <c r="K144" s="2984"/>
      <c r="L144" s="2984"/>
      <c r="M144" s="2984"/>
      <c r="N144" s="2984"/>
      <c r="O144" s="2984"/>
      <c r="P144" s="2984"/>
      <c r="Q144" s="2984"/>
      <c r="R144" s="2984"/>
      <c r="S144" s="2984"/>
      <c r="T144" s="2984"/>
      <c r="U144" s="2984"/>
      <c r="V144" s="2984"/>
      <c r="W144" s="2984"/>
      <c r="X144" s="2984"/>
      <c r="Y144" s="2984"/>
    </row>
    <row r="145" spans="6:25" ht="17.1" customHeight="1">
      <c r="F145" s="2984"/>
      <c r="G145" s="2984"/>
      <c r="H145" s="2984"/>
      <c r="I145" s="2984"/>
      <c r="J145" s="2984"/>
      <c r="K145" s="2984"/>
      <c r="L145" s="2984"/>
      <c r="M145" s="2984"/>
      <c r="N145" s="2984"/>
      <c r="O145" s="2984"/>
      <c r="P145" s="2984"/>
      <c r="Q145" s="2984"/>
      <c r="R145" s="2984"/>
      <c r="S145" s="2984"/>
      <c r="T145" s="2984"/>
      <c r="U145" s="2984"/>
      <c r="V145" s="2984"/>
      <c r="W145" s="2984"/>
      <c r="X145" s="2984"/>
      <c r="Y145" s="2984"/>
    </row>
    <row r="146" spans="6:25" ht="17.1" customHeight="1">
      <c r="F146" s="2984"/>
      <c r="G146" s="2984"/>
      <c r="H146" s="2984"/>
      <c r="I146" s="2984"/>
      <c r="J146" s="2984"/>
      <c r="K146" s="2984"/>
      <c r="L146" s="2984"/>
      <c r="M146" s="2984"/>
      <c r="N146" s="2984"/>
      <c r="O146" s="2984"/>
      <c r="P146" s="2984"/>
      <c r="Q146" s="2984"/>
      <c r="R146" s="2984"/>
      <c r="S146" s="2984"/>
      <c r="T146" s="2984"/>
      <c r="U146" s="2984"/>
      <c r="V146" s="2984"/>
      <c r="W146" s="2984"/>
      <c r="X146" s="2984"/>
      <c r="Y146" s="2984"/>
    </row>
    <row r="147" spans="6:25" ht="17.1" customHeight="1">
      <c r="F147" s="2984"/>
      <c r="G147" s="2984"/>
      <c r="H147" s="2984"/>
      <c r="I147" s="2984"/>
      <c r="J147" s="2984"/>
      <c r="K147" s="2984"/>
      <c r="L147" s="2984"/>
      <c r="M147" s="2984"/>
      <c r="N147" s="2984"/>
      <c r="O147" s="2984"/>
      <c r="P147" s="2984"/>
      <c r="Q147" s="2984"/>
      <c r="R147" s="2984"/>
      <c r="S147" s="2984"/>
      <c r="T147" s="2984"/>
      <c r="U147" s="2984"/>
      <c r="V147" s="2984"/>
      <c r="W147" s="2984"/>
      <c r="X147" s="2984"/>
      <c r="Y147" s="2984"/>
    </row>
    <row r="148" spans="6:25" ht="17.1" customHeight="1">
      <c r="F148" s="2984"/>
      <c r="G148" s="2984"/>
      <c r="H148" s="2984"/>
      <c r="I148" s="2984"/>
      <c r="J148" s="2984"/>
      <c r="K148" s="2984"/>
      <c r="L148" s="2984"/>
      <c r="M148" s="2984"/>
      <c r="N148" s="2984"/>
      <c r="O148" s="2984"/>
      <c r="P148" s="2984"/>
      <c r="Q148" s="2984"/>
      <c r="R148" s="2984"/>
      <c r="S148" s="2984"/>
      <c r="T148" s="2984"/>
      <c r="U148" s="2984"/>
      <c r="V148" s="2984"/>
      <c r="W148" s="2984"/>
      <c r="X148" s="2984"/>
      <c r="Y148" s="2984"/>
    </row>
    <row r="149" spans="6:25" ht="17.1" customHeight="1">
      <c r="F149" s="2984"/>
      <c r="G149" s="2984"/>
      <c r="H149" s="2984"/>
      <c r="I149" s="2984"/>
      <c r="J149" s="2984"/>
      <c r="K149" s="2984"/>
      <c r="L149" s="2984"/>
      <c r="M149" s="2984"/>
      <c r="N149" s="2984"/>
      <c r="O149" s="2984"/>
      <c r="P149" s="2984"/>
      <c r="Q149" s="2984"/>
      <c r="R149" s="2984"/>
      <c r="S149" s="2984"/>
      <c r="T149" s="2984"/>
      <c r="U149" s="2984"/>
      <c r="V149" s="2984"/>
      <c r="W149" s="2984"/>
      <c r="X149" s="2984"/>
      <c r="Y149" s="2984"/>
    </row>
    <row r="150" spans="6:25" ht="17.1" customHeight="1">
      <c r="F150" s="2984"/>
      <c r="G150" s="2984"/>
      <c r="H150" s="2984"/>
      <c r="I150" s="2984"/>
      <c r="J150" s="2984"/>
      <c r="K150" s="2984"/>
      <c r="L150" s="2984"/>
      <c r="M150" s="2984"/>
      <c r="N150" s="2984"/>
      <c r="O150" s="2984"/>
      <c r="P150" s="2984"/>
      <c r="Q150" s="2984"/>
      <c r="R150" s="2984"/>
      <c r="S150" s="2984"/>
      <c r="T150" s="2984"/>
      <c r="U150" s="2984"/>
      <c r="V150" s="2984"/>
      <c r="W150" s="2984"/>
      <c r="X150" s="2984"/>
      <c r="Y150" s="2984"/>
    </row>
    <row r="151" spans="6:25" ht="17.1" customHeight="1">
      <c r="F151" s="2984"/>
      <c r="G151" s="2984"/>
      <c r="H151" s="2984"/>
      <c r="I151" s="2984"/>
      <c r="J151" s="2984"/>
      <c r="K151" s="2984"/>
      <c r="L151" s="2984"/>
      <c r="M151" s="2984"/>
      <c r="N151" s="2984"/>
      <c r="O151" s="2984"/>
      <c r="P151" s="2984"/>
      <c r="Q151" s="2984"/>
      <c r="R151" s="2984"/>
      <c r="S151" s="2984"/>
      <c r="T151" s="2984"/>
      <c r="U151" s="2984"/>
      <c r="V151" s="2984"/>
      <c r="W151" s="2984"/>
      <c r="X151" s="2984"/>
      <c r="Y151" s="2984"/>
    </row>
    <row r="152" spans="6:25" ht="17.1" customHeight="1">
      <c r="F152" s="2984"/>
      <c r="G152" s="2984"/>
      <c r="H152" s="2984"/>
      <c r="I152" s="2984"/>
      <c r="J152" s="2984"/>
      <c r="K152" s="2984"/>
      <c r="L152" s="2984"/>
      <c r="M152" s="2984"/>
      <c r="N152" s="2984"/>
      <c r="O152" s="2984"/>
      <c r="P152" s="2984"/>
      <c r="Q152" s="2984"/>
      <c r="R152" s="2984"/>
      <c r="S152" s="2984"/>
      <c r="T152" s="2984"/>
      <c r="U152" s="2984"/>
      <c r="V152" s="2984"/>
      <c r="W152" s="2984"/>
      <c r="X152" s="2984"/>
      <c r="Y152" s="2984"/>
    </row>
    <row r="153" spans="6:25" ht="17.1" customHeight="1">
      <c r="F153" s="2984"/>
      <c r="G153" s="2984"/>
      <c r="H153" s="2984"/>
      <c r="I153" s="2984"/>
      <c r="J153" s="2984"/>
      <c r="K153" s="2984"/>
      <c r="L153" s="2984"/>
      <c r="M153" s="2984"/>
      <c r="N153" s="2984"/>
      <c r="O153" s="2984"/>
      <c r="P153" s="2984"/>
      <c r="Q153" s="2984"/>
      <c r="R153" s="2984"/>
      <c r="S153" s="2984"/>
      <c r="T153" s="2984"/>
      <c r="U153" s="2984"/>
      <c r="V153" s="2984"/>
      <c r="W153" s="2984"/>
      <c r="X153" s="2984"/>
      <c r="Y153" s="2984"/>
    </row>
    <row r="154" spans="6:25" ht="17.1" customHeight="1">
      <c r="F154" s="2984"/>
      <c r="G154" s="2984"/>
      <c r="H154" s="2984"/>
      <c r="I154" s="2984"/>
      <c r="J154" s="2984"/>
      <c r="K154" s="2984"/>
      <c r="L154" s="2984"/>
      <c r="M154" s="2984"/>
      <c r="N154" s="2984"/>
      <c r="O154" s="2984"/>
      <c r="P154" s="2984"/>
      <c r="Q154" s="2984"/>
      <c r="R154" s="2984"/>
      <c r="S154" s="2984"/>
      <c r="T154" s="2984"/>
      <c r="U154" s="2984"/>
      <c r="V154" s="2984"/>
      <c r="W154" s="2984"/>
      <c r="X154" s="2984"/>
      <c r="Y154" s="2984"/>
    </row>
    <row r="155" spans="6:25" ht="17.1" customHeight="1">
      <c r="F155" s="2984"/>
      <c r="G155" s="2984"/>
      <c r="H155" s="2984"/>
      <c r="I155" s="2984"/>
      <c r="J155" s="2984"/>
      <c r="K155" s="2984"/>
      <c r="L155" s="2984"/>
      <c r="M155" s="2984"/>
      <c r="N155" s="2984"/>
      <c r="O155" s="2984"/>
      <c r="P155" s="2984"/>
      <c r="Q155" s="2984"/>
      <c r="R155" s="2984"/>
      <c r="S155" s="2984"/>
      <c r="T155" s="2984"/>
      <c r="U155" s="2984"/>
      <c r="V155" s="2984"/>
      <c r="W155" s="2984"/>
      <c r="X155" s="2984"/>
      <c r="Y155" s="2984"/>
    </row>
    <row r="156" spans="6:25" ht="17.1" customHeight="1">
      <c r="F156" s="2984"/>
      <c r="G156" s="2984"/>
      <c r="H156" s="2984"/>
      <c r="I156" s="2984"/>
      <c r="J156" s="2984"/>
      <c r="K156" s="2984"/>
      <c r="L156" s="2984"/>
      <c r="M156" s="2984"/>
      <c r="N156" s="2984"/>
      <c r="O156" s="2984"/>
      <c r="P156" s="2984"/>
      <c r="Q156" s="2984"/>
      <c r="R156" s="2984"/>
      <c r="S156" s="2984"/>
      <c r="T156" s="2984"/>
      <c r="U156" s="2984"/>
      <c r="V156" s="2984"/>
      <c r="W156" s="2984"/>
      <c r="X156" s="2984"/>
      <c r="Y156" s="2984"/>
    </row>
    <row r="157" spans="6:25" ht="17.1" customHeight="1">
      <c r="F157" s="2984"/>
      <c r="G157" s="2984"/>
      <c r="H157" s="2984"/>
      <c r="I157" s="2984"/>
      <c r="J157" s="2984"/>
      <c r="K157" s="2984"/>
      <c r="L157" s="2984"/>
      <c r="M157" s="2984"/>
      <c r="N157" s="2984"/>
      <c r="O157" s="2984"/>
      <c r="P157" s="2984"/>
      <c r="Q157" s="2984"/>
      <c r="R157" s="2984"/>
      <c r="S157" s="2984"/>
      <c r="T157" s="2984"/>
      <c r="U157" s="2984"/>
      <c r="V157" s="2984"/>
      <c r="W157" s="2984"/>
      <c r="X157" s="2984"/>
      <c r="Y157" s="2984"/>
    </row>
    <row r="158" spans="6:25" ht="17.1" customHeight="1">
      <c r="F158" s="2984"/>
      <c r="G158" s="2984"/>
      <c r="H158" s="2984"/>
      <c r="I158" s="2984"/>
      <c r="J158" s="2984"/>
      <c r="K158" s="2984"/>
      <c r="L158" s="2984"/>
      <c r="M158" s="2984"/>
      <c r="N158" s="2984"/>
      <c r="O158" s="2984"/>
      <c r="P158" s="2984"/>
      <c r="Q158" s="2984"/>
      <c r="R158" s="2984"/>
      <c r="S158" s="2984"/>
      <c r="T158" s="2984"/>
      <c r="U158" s="2984"/>
      <c r="V158" s="2984"/>
      <c r="W158" s="2984"/>
      <c r="X158" s="2984"/>
      <c r="Y158" s="2984"/>
    </row>
    <row r="159" spans="6:25" ht="17.1" customHeight="1">
      <c r="F159" s="2984"/>
      <c r="G159" s="2984"/>
      <c r="H159" s="2984"/>
      <c r="I159" s="2984"/>
      <c r="J159" s="2984"/>
      <c r="K159" s="2984"/>
      <c r="L159" s="2984"/>
      <c r="M159" s="2984"/>
      <c r="N159" s="2984"/>
      <c r="O159" s="2984"/>
      <c r="P159" s="2984"/>
      <c r="Q159" s="2984"/>
      <c r="R159" s="2984"/>
      <c r="S159" s="2984"/>
      <c r="T159" s="2984"/>
      <c r="U159" s="2984"/>
      <c r="V159" s="2984"/>
      <c r="W159" s="2984"/>
      <c r="X159" s="2984"/>
      <c r="Y159" s="2984"/>
    </row>
  </sheetData>
  <printOptions/>
  <pageMargins left="0.3937007874015748" right="0.1968503937007874" top="0.72" bottom="0.7874015748031497" header="0.5118110236220472" footer="0.5118110236220472"/>
  <pageSetup fitToHeight="1" fitToWidth="1" horizontalDpi="600" verticalDpi="600" orientation="landscape" paperSize="9" scale="62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71041" r:id="rId4" name="Button 1">
              <controlPr defaultSize="0" print="0" autoFill="0" autoPict="0" macro="[4]!Actualizar_Referencias">
                <anchor moveWithCells="1" sizeWithCells="1">
                  <from>
                    <xdr:col>0</xdr:col>
                    <xdr:colOff>76200</xdr:colOff>
                    <xdr:row>44</xdr:row>
                    <xdr:rowOff>0</xdr:rowOff>
                  </from>
                  <to>
                    <xdr:col>2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1">
    <pageSetUpPr fitToPage="1"/>
  </sheetPr>
  <dimension ref="A1:Y159"/>
  <sheetViews>
    <sheetView zoomScale="80" zoomScaleNormal="80" workbookViewId="0" topLeftCell="A1">
      <selection activeCell="A48" sqref="A48"/>
    </sheetView>
  </sheetViews>
  <sheetFormatPr defaultColWidth="11.421875" defaultRowHeight="16.5" customHeight="1"/>
  <cols>
    <col min="1" max="2" width="4.140625" style="2472" customWidth="1"/>
    <col min="3" max="3" width="5.421875" style="2472" customWidth="1"/>
    <col min="4" max="5" width="13.57421875" style="2472" customWidth="1"/>
    <col min="6" max="6" width="30.7109375" style="2472" customWidth="1"/>
    <col min="7" max="7" width="40.7109375" style="2472" customWidth="1"/>
    <col min="8" max="8" width="9.7109375" style="2472" customWidth="1"/>
    <col min="9" max="9" width="7.8515625" style="2472" hidden="1" customWidth="1"/>
    <col min="10" max="11" width="16.28125" style="2472" customWidth="1"/>
    <col min="12" max="14" width="9.7109375" style="2472" customWidth="1"/>
    <col min="15" max="15" width="5.7109375" style="2472" bestFit="1" customWidth="1"/>
    <col min="16" max="16" width="4.140625" style="2472" hidden="1" customWidth="1"/>
    <col min="17" max="17" width="12.28125" style="2472" hidden="1" customWidth="1"/>
    <col min="18" max="19" width="5.00390625" style="2472" hidden="1" customWidth="1"/>
    <col min="20" max="20" width="11.57421875" style="2472" hidden="1" customWidth="1"/>
    <col min="21" max="21" width="9.7109375" style="2472" customWidth="1"/>
    <col min="22" max="22" width="15.7109375" style="2472" customWidth="1"/>
    <col min="23" max="23" width="4.140625" style="2472" customWidth="1"/>
    <col min="24" max="16384" width="11.421875" style="2472" customWidth="1"/>
  </cols>
  <sheetData>
    <row r="1" s="2365" customFormat="1" ht="26.25">
      <c r="W1" s="2366"/>
    </row>
    <row r="2" spans="1:23" s="2365" customFormat="1" ht="26.25">
      <c r="A2" s="2367"/>
      <c r="B2" s="2368" t="str">
        <f>'TOT-0116'!B2</f>
        <v>ANEXO II al Memorándum D.T.E.E. N° 231 / 2017</v>
      </c>
      <c r="C2" s="2368"/>
      <c r="D2" s="2368"/>
      <c r="E2" s="2368"/>
      <c r="F2" s="2368"/>
      <c r="G2" s="2368"/>
      <c r="H2" s="2368"/>
      <c r="I2" s="2368"/>
      <c r="J2" s="2368"/>
      <c r="K2" s="2368"/>
      <c r="L2" s="2368"/>
      <c r="M2" s="2368"/>
      <c r="N2" s="2368"/>
      <c r="O2" s="2368"/>
      <c r="P2" s="2368"/>
      <c r="Q2" s="2368"/>
      <c r="R2" s="2368"/>
      <c r="S2" s="2368"/>
      <c r="T2" s="2368"/>
      <c r="U2" s="2368"/>
      <c r="V2" s="2368"/>
      <c r="W2" s="2368"/>
    </row>
    <row r="3" s="2370" customFormat="1" ht="12.75">
      <c r="A3" s="2369"/>
    </row>
    <row r="4" spans="1:4" s="2373" customFormat="1" ht="11.25">
      <c r="A4" s="2371" t="s">
        <v>2</v>
      </c>
      <c r="B4" s="2372"/>
      <c r="C4" s="2372"/>
      <c r="D4" s="2372"/>
    </row>
    <row r="5" spans="1:4" s="2373" customFormat="1" ht="11.25">
      <c r="A5" s="2371" t="s">
        <v>3</v>
      </c>
      <c r="B5" s="2372"/>
      <c r="C5" s="2372"/>
      <c r="D5" s="2372"/>
    </row>
    <row r="6" s="2370" customFormat="1" ht="13.5" thickBot="1"/>
    <row r="7" spans="2:23" s="2370" customFormat="1" ht="13.5" thickTop="1">
      <c r="B7" s="2374"/>
      <c r="C7" s="2375"/>
      <c r="D7" s="2375"/>
      <c r="E7" s="2375"/>
      <c r="F7" s="2375"/>
      <c r="G7" s="2375"/>
      <c r="H7" s="2375"/>
      <c r="I7" s="2375"/>
      <c r="J7" s="2375"/>
      <c r="K7" s="2375"/>
      <c r="L7" s="2375"/>
      <c r="M7" s="2375"/>
      <c r="N7" s="2375"/>
      <c r="O7" s="2375"/>
      <c r="P7" s="2375"/>
      <c r="Q7" s="2375"/>
      <c r="R7" s="2375"/>
      <c r="S7" s="2375"/>
      <c r="T7" s="2375"/>
      <c r="U7" s="2375"/>
      <c r="V7" s="2375"/>
      <c r="W7" s="2376"/>
    </row>
    <row r="8" spans="2:23" s="2377" customFormat="1" ht="20.25">
      <c r="B8" s="2378"/>
      <c r="C8" s="2379"/>
      <c r="D8" s="2379"/>
      <c r="E8" s="2379"/>
      <c r="F8" s="2380" t="s">
        <v>69</v>
      </c>
      <c r="N8" s="2381"/>
      <c r="O8" s="2381"/>
      <c r="P8" s="2382"/>
      <c r="Q8" s="2379"/>
      <c r="R8" s="2379"/>
      <c r="S8" s="2379"/>
      <c r="T8" s="2379"/>
      <c r="U8" s="2379"/>
      <c r="V8" s="2379"/>
      <c r="W8" s="2383"/>
    </row>
    <row r="9" spans="2:23" s="2370" customFormat="1" ht="12.75">
      <c r="B9" s="2384"/>
      <c r="C9" s="2385"/>
      <c r="D9" s="2385"/>
      <c r="E9" s="2385"/>
      <c r="F9" s="2386"/>
      <c r="G9" s="2386"/>
      <c r="H9" s="2386"/>
      <c r="I9" s="2386"/>
      <c r="J9" s="2386"/>
      <c r="K9" s="2386"/>
      <c r="L9" s="2386"/>
      <c r="M9" s="2386"/>
      <c r="N9" s="2386"/>
      <c r="O9" s="2386"/>
      <c r="P9" s="2386"/>
      <c r="Q9" s="2385"/>
      <c r="R9" s="2385"/>
      <c r="S9" s="2385"/>
      <c r="T9" s="2385"/>
      <c r="U9" s="2385"/>
      <c r="V9" s="2385"/>
      <c r="W9" s="2387"/>
    </row>
    <row r="10" spans="2:23" s="2377" customFormat="1" ht="20.25">
      <c r="B10" s="2378"/>
      <c r="C10" s="2379"/>
      <c r="D10" s="2379"/>
      <c r="E10" s="2379"/>
      <c r="F10" s="2388" t="s">
        <v>223</v>
      </c>
      <c r="G10" s="2389"/>
      <c r="H10" s="2381"/>
      <c r="I10" s="2390"/>
      <c r="K10" s="2390"/>
      <c r="L10" s="2390"/>
      <c r="M10" s="2390"/>
      <c r="N10" s="2390"/>
      <c r="O10" s="2390"/>
      <c r="P10" s="2390"/>
      <c r="Q10" s="2379"/>
      <c r="R10" s="2379"/>
      <c r="S10" s="2379"/>
      <c r="T10" s="2379"/>
      <c r="U10" s="2379"/>
      <c r="V10" s="2379"/>
      <c r="W10" s="2383"/>
    </row>
    <row r="11" spans="2:23" s="2370" customFormat="1" ht="13.5">
      <c r="B11" s="2384"/>
      <c r="C11" s="2385"/>
      <c r="D11" s="2385"/>
      <c r="E11" s="2385"/>
      <c r="F11" s="2391"/>
      <c r="G11" s="2391"/>
      <c r="H11" s="2369"/>
      <c r="I11" s="2392"/>
      <c r="J11" s="2393"/>
      <c r="K11" s="2392"/>
      <c r="L11" s="2392"/>
      <c r="M11" s="2392"/>
      <c r="N11" s="2392"/>
      <c r="O11" s="2392"/>
      <c r="P11" s="2392"/>
      <c r="Q11" s="2385"/>
      <c r="R11" s="2385"/>
      <c r="S11" s="2385"/>
      <c r="T11" s="2385"/>
      <c r="U11" s="2385"/>
      <c r="V11" s="2385"/>
      <c r="W11" s="2387"/>
    </row>
    <row r="12" spans="2:23" s="2377" customFormat="1" ht="20.25">
      <c r="B12" s="2378"/>
      <c r="C12" s="2379"/>
      <c r="D12" s="2379"/>
      <c r="E12" s="2379"/>
      <c r="F12" s="2388" t="s">
        <v>458</v>
      </c>
      <c r="G12" s="2389"/>
      <c r="H12" s="2381"/>
      <c r="I12" s="2390"/>
      <c r="K12" s="2390"/>
      <c r="L12" s="2390"/>
      <c r="M12" s="2390"/>
      <c r="N12" s="2390"/>
      <c r="O12" s="2390"/>
      <c r="P12" s="2390"/>
      <c r="Q12" s="2379"/>
      <c r="R12" s="2379"/>
      <c r="S12" s="2379"/>
      <c r="T12" s="2379"/>
      <c r="U12" s="2379"/>
      <c r="V12" s="2379"/>
      <c r="W12" s="2383"/>
    </row>
    <row r="13" spans="2:23" s="2370" customFormat="1" ht="13.5">
      <c r="B13" s="2384"/>
      <c r="C13" s="2385"/>
      <c r="D13" s="2385"/>
      <c r="E13" s="2385"/>
      <c r="F13" s="2391"/>
      <c r="G13" s="2391"/>
      <c r="H13" s="2369"/>
      <c r="I13" s="2392"/>
      <c r="J13" s="2393"/>
      <c r="K13" s="2392"/>
      <c r="L13" s="2392"/>
      <c r="M13" s="2392"/>
      <c r="N13" s="2392"/>
      <c r="O13" s="2392"/>
      <c r="P13" s="2392"/>
      <c r="Q13" s="2385"/>
      <c r="R13" s="2385"/>
      <c r="S13" s="2385"/>
      <c r="T13" s="2385"/>
      <c r="U13" s="2385"/>
      <c r="V13" s="2385"/>
      <c r="W13" s="2387"/>
    </row>
    <row r="14" spans="2:23" s="2370" customFormat="1" ht="19.5">
      <c r="B14" s="2394" t="str">
        <f>'TOT-0116'!B14</f>
        <v>Desde el 01 al 31 de enero de 2016</v>
      </c>
      <c r="C14" s="2395"/>
      <c r="D14" s="2395"/>
      <c r="E14" s="2395"/>
      <c r="F14" s="2395"/>
      <c r="G14" s="2395"/>
      <c r="H14" s="2395"/>
      <c r="I14" s="2396"/>
      <c r="J14" s="2396"/>
      <c r="K14" s="2396"/>
      <c r="L14" s="2396"/>
      <c r="M14" s="2396"/>
      <c r="N14" s="2396"/>
      <c r="O14" s="2396"/>
      <c r="P14" s="2396"/>
      <c r="Q14" s="2395"/>
      <c r="R14" s="2395"/>
      <c r="S14" s="2395"/>
      <c r="T14" s="2395"/>
      <c r="U14" s="2395"/>
      <c r="V14" s="2395"/>
      <c r="W14" s="2397"/>
    </row>
    <row r="15" spans="2:23" s="2370" customFormat="1" ht="14.25" thickBot="1">
      <c r="B15" s="2398"/>
      <c r="C15" s="2399"/>
      <c r="D15" s="2399"/>
      <c r="E15" s="2399"/>
      <c r="F15" s="2399"/>
      <c r="G15" s="2399"/>
      <c r="H15" s="2399"/>
      <c r="I15" s="2400"/>
      <c r="J15" s="2400"/>
      <c r="K15" s="2400"/>
      <c r="L15" s="2400"/>
      <c r="M15" s="2400"/>
      <c r="N15" s="2400"/>
      <c r="O15" s="2400"/>
      <c r="P15" s="2400"/>
      <c r="Q15" s="2399"/>
      <c r="R15" s="2399"/>
      <c r="S15" s="2399"/>
      <c r="T15" s="2399"/>
      <c r="U15" s="2399"/>
      <c r="V15" s="2399"/>
      <c r="W15" s="2401"/>
    </row>
    <row r="16" spans="2:23" s="2370" customFormat="1" ht="15" thickBot="1" thickTop="1">
      <c r="B16" s="2384"/>
      <c r="C16" s="2385"/>
      <c r="D16" s="2385"/>
      <c r="E16" s="2385"/>
      <c r="F16" s="2402"/>
      <c r="G16" s="2402"/>
      <c r="H16" s="2403" t="s">
        <v>81</v>
      </c>
      <c r="I16" s="2385"/>
      <c r="J16" s="2393"/>
      <c r="K16" s="2385"/>
      <c r="L16" s="2385"/>
      <c r="M16" s="2385"/>
      <c r="N16" s="2385"/>
      <c r="O16" s="2385"/>
      <c r="P16" s="2385"/>
      <c r="Q16" s="2385"/>
      <c r="R16" s="2385"/>
      <c r="S16" s="2385"/>
      <c r="T16" s="2385"/>
      <c r="U16" s="2385"/>
      <c r="V16" s="2385"/>
      <c r="W16" s="2387"/>
    </row>
    <row r="17" spans="2:23" s="2370" customFormat="1" ht="17.1" customHeight="1" thickBot="1" thickTop="1">
      <c r="B17" s="2384"/>
      <c r="C17" s="2385"/>
      <c r="D17" s="2385"/>
      <c r="E17" s="2385"/>
      <c r="F17" s="2404" t="s">
        <v>82</v>
      </c>
      <c r="G17" s="2405" t="s">
        <v>261</v>
      </c>
      <c r="H17" s="2406">
        <v>200</v>
      </c>
      <c r="V17" s="2407"/>
      <c r="W17" s="2387"/>
    </row>
    <row r="18" spans="2:23" s="2370" customFormat="1" ht="17.1" customHeight="1" thickBot="1" thickTop="1">
      <c r="B18" s="2384"/>
      <c r="C18" s="2385"/>
      <c r="D18" s="2385"/>
      <c r="E18" s="2385"/>
      <c r="F18" s="2408" t="s">
        <v>83</v>
      </c>
      <c r="G18" s="2409" t="s">
        <v>261</v>
      </c>
      <c r="H18" s="2406">
        <v>100</v>
      </c>
      <c r="O18" s="2385"/>
      <c r="P18" s="2385"/>
      <c r="Q18" s="2385"/>
      <c r="R18" s="2385"/>
      <c r="S18" s="2385"/>
      <c r="T18" s="2385"/>
      <c r="U18" s="2385"/>
      <c r="V18" s="2385"/>
      <c r="W18" s="2387"/>
    </row>
    <row r="19" spans="2:23" s="2370" customFormat="1" ht="17.1" customHeight="1" thickBot="1" thickTop="1">
      <c r="B19" s="2384"/>
      <c r="C19" s="2385"/>
      <c r="D19" s="2385"/>
      <c r="E19" s="2385"/>
      <c r="F19" s="2410" t="s">
        <v>84</v>
      </c>
      <c r="G19" s="2409">
        <v>129.517</v>
      </c>
      <c r="H19" s="2406">
        <v>40</v>
      </c>
      <c r="K19" s="2411"/>
      <c r="L19" s="2412"/>
      <c r="M19" s="2385"/>
      <c r="O19" s="2385"/>
      <c r="Q19" s="2385"/>
      <c r="R19" s="2385"/>
      <c r="S19" s="2385"/>
      <c r="T19" s="2385"/>
      <c r="U19" s="2385"/>
      <c r="V19" s="2385"/>
      <c r="W19" s="2387"/>
    </row>
    <row r="20" spans="2:23" s="2370" customFormat="1" ht="17.1" customHeight="1" thickBot="1" thickTop="1">
      <c r="B20" s="2384"/>
      <c r="C20" s="2413">
        <v>3</v>
      </c>
      <c r="D20" s="2413">
        <v>4</v>
      </c>
      <c r="E20" s="2413">
        <v>5</v>
      </c>
      <c r="F20" s="2413">
        <v>6</v>
      </c>
      <c r="G20" s="2413">
        <v>7</v>
      </c>
      <c r="H20" s="2413">
        <v>8</v>
      </c>
      <c r="I20" s="2413">
        <v>9</v>
      </c>
      <c r="J20" s="2413">
        <v>10</v>
      </c>
      <c r="K20" s="2413">
        <v>11</v>
      </c>
      <c r="L20" s="2413">
        <v>12</v>
      </c>
      <c r="M20" s="2413">
        <v>13</v>
      </c>
      <c r="N20" s="2413">
        <v>14</v>
      </c>
      <c r="O20" s="2413">
        <v>15</v>
      </c>
      <c r="P20" s="2413">
        <v>16</v>
      </c>
      <c r="Q20" s="2413">
        <v>17</v>
      </c>
      <c r="R20" s="2413">
        <v>18</v>
      </c>
      <c r="S20" s="2413">
        <v>19</v>
      </c>
      <c r="T20" s="2413">
        <v>20</v>
      </c>
      <c r="U20" s="2413">
        <v>21</v>
      </c>
      <c r="V20" s="2413">
        <v>22</v>
      </c>
      <c r="W20" s="2387"/>
    </row>
    <row r="21" spans="2:23" s="2370" customFormat="1" ht="33.95" customHeight="1" thickBot="1" thickTop="1">
      <c r="B21" s="2384"/>
      <c r="C21" s="2414" t="s">
        <v>13</v>
      </c>
      <c r="D21" s="2415" t="s">
        <v>242</v>
      </c>
      <c r="E21" s="2415" t="s">
        <v>243</v>
      </c>
      <c r="F21" s="2416" t="s">
        <v>27</v>
      </c>
      <c r="G21" s="2417" t="s">
        <v>28</v>
      </c>
      <c r="H21" s="2418" t="s">
        <v>14</v>
      </c>
      <c r="I21" s="2419" t="s">
        <v>16</v>
      </c>
      <c r="J21" s="2420" t="s">
        <v>17</v>
      </c>
      <c r="K21" s="2417" t="s">
        <v>18</v>
      </c>
      <c r="L21" s="2421" t="s">
        <v>36</v>
      </c>
      <c r="M21" s="2421" t="s">
        <v>31</v>
      </c>
      <c r="N21" s="2422" t="s">
        <v>19</v>
      </c>
      <c r="O21" s="2423" t="s">
        <v>32</v>
      </c>
      <c r="P21" s="2424" t="s">
        <v>37</v>
      </c>
      <c r="Q21" s="2425" t="s">
        <v>70</v>
      </c>
      <c r="R21" s="2426" t="s">
        <v>35</v>
      </c>
      <c r="S21" s="2427"/>
      <c r="T21" s="2428" t="s">
        <v>22</v>
      </c>
      <c r="U21" s="2429" t="s">
        <v>74</v>
      </c>
      <c r="V21" s="2430" t="s">
        <v>24</v>
      </c>
      <c r="W21" s="2387"/>
    </row>
    <row r="22" spans="2:23" s="2370" customFormat="1" ht="17.1" customHeight="1" thickTop="1">
      <c r="B22" s="2384"/>
      <c r="C22" s="2431"/>
      <c r="D22" s="2431"/>
      <c r="E22" s="2431"/>
      <c r="F22" s="2432"/>
      <c r="G22" s="2432"/>
      <c r="H22" s="2432"/>
      <c r="I22" s="2433"/>
      <c r="J22" s="2432"/>
      <c r="K22" s="2432"/>
      <c r="L22" s="2432"/>
      <c r="M22" s="2432"/>
      <c r="N22" s="2432"/>
      <c r="O22" s="2432"/>
      <c r="P22" s="2434"/>
      <c r="Q22" s="2435"/>
      <c r="R22" s="2436"/>
      <c r="S22" s="2437"/>
      <c r="T22" s="2438"/>
      <c r="U22" s="2432"/>
      <c r="V22" s="2439"/>
      <c r="W22" s="2387"/>
    </row>
    <row r="23" spans="2:23" s="2370" customFormat="1" ht="17.1" customHeight="1">
      <c r="B23" s="2384"/>
      <c r="C23" s="1489"/>
      <c r="D23" s="1489"/>
      <c r="E23" s="1489"/>
      <c r="F23" s="2440"/>
      <c r="G23" s="2440"/>
      <c r="H23" s="2440"/>
      <c r="I23" s="2441"/>
      <c r="J23" s="2440"/>
      <c r="K23" s="2440"/>
      <c r="L23" s="2440"/>
      <c r="M23" s="2440"/>
      <c r="N23" s="2440"/>
      <c r="O23" s="2440"/>
      <c r="P23" s="2442"/>
      <c r="Q23" s="2443"/>
      <c r="R23" s="2444"/>
      <c r="S23" s="2445"/>
      <c r="T23" s="2446"/>
      <c r="U23" s="2440"/>
      <c r="V23" s="2447"/>
      <c r="W23" s="2387"/>
    </row>
    <row r="24" spans="2:23" s="2370" customFormat="1" ht="17.1" customHeight="1">
      <c r="B24" s="2384"/>
      <c r="C24" s="1489">
        <v>64</v>
      </c>
      <c r="D24" s="1489">
        <v>297364</v>
      </c>
      <c r="E24" s="1480">
        <v>5083</v>
      </c>
      <c r="F24" s="2448" t="s">
        <v>377</v>
      </c>
      <c r="G24" s="2448" t="s">
        <v>415</v>
      </c>
      <c r="H24" s="2449">
        <v>132</v>
      </c>
      <c r="I24" s="2450">
        <f aca="true" t="shared" si="0" ref="I24:I26">IF(H24=500,$G$17,IF(H24=220,$G$18,$G$19))</f>
        <v>129.517</v>
      </c>
      <c r="J24" s="1883">
        <v>42381.566666666666</v>
      </c>
      <c r="K24" s="2451">
        <v>42381.580555555556</v>
      </c>
      <c r="L24" s="2452">
        <f aca="true" t="shared" si="1" ref="L24:L26">IF(F24="","",(K24-J24)*24)</f>
        <v>0.33333333337213844</v>
      </c>
      <c r="M24" s="2453">
        <f aca="true" t="shared" si="2" ref="M24:M26">IF(F24="","",ROUND((K24-J24)*24*60,0))</f>
        <v>20</v>
      </c>
      <c r="N24" s="1486" t="s">
        <v>308</v>
      </c>
      <c r="O24" s="2454" t="str">
        <f aca="true" t="shared" si="3" ref="O24:O26">IF(F24="","",IF(N24="P","--","NO"))</f>
        <v>NO</v>
      </c>
      <c r="P24" s="2455">
        <f aca="true" t="shared" si="4" ref="P24:P26">IF(H24=500,$H$17,IF(H24=220,$H$18,$H$19))</f>
        <v>40</v>
      </c>
      <c r="Q24" s="2456" t="str">
        <f aca="true" t="shared" si="5" ref="Q24:Q26">IF(N24="P",I24*P24*ROUND(M24/60,2)*0.1,"--")</f>
        <v>--</v>
      </c>
      <c r="R24" s="2444">
        <f aca="true" t="shared" si="6" ref="R24:R26">IF(AND(N24="F",O24="NO"),I24*P24,"--")</f>
        <v>5180.68</v>
      </c>
      <c r="S24" s="2445">
        <f aca="true" t="shared" si="7" ref="S24:S26">IF(N24="F",I24*P24*ROUND(M24/60,2),"--")</f>
        <v>1709.6244000000002</v>
      </c>
      <c r="T24" s="2446" t="str">
        <f aca="true" t="shared" si="8" ref="T24:T26">IF(N24="RF",I24*P24*ROUND(M24/60,2),"--")</f>
        <v>--</v>
      </c>
      <c r="U24" s="2454" t="str">
        <f aca="true" t="shared" si="9" ref="U24:U26">IF(F24="","","SI")</f>
        <v>SI</v>
      </c>
      <c r="V24" s="2457">
        <f aca="true" t="shared" si="10" ref="V24:V26">IF(F24="","",SUM(Q24:T24)*IF(U24="SI",1,2))</f>
        <v>6890.304400000001</v>
      </c>
      <c r="W24" s="2387"/>
    </row>
    <row r="25" spans="2:23" s="2370" customFormat="1" ht="17.1" customHeight="1">
      <c r="B25" s="2384"/>
      <c r="C25" s="1489">
        <v>65</v>
      </c>
      <c r="D25" s="1489">
        <v>297366</v>
      </c>
      <c r="E25" s="1480">
        <v>5083</v>
      </c>
      <c r="F25" s="2448" t="s">
        <v>377</v>
      </c>
      <c r="G25" s="2448" t="s">
        <v>415</v>
      </c>
      <c r="H25" s="2449">
        <v>132</v>
      </c>
      <c r="I25" s="2450">
        <f t="shared" si="0"/>
        <v>129.517</v>
      </c>
      <c r="J25" s="1883">
        <v>42381.59097222222</v>
      </c>
      <c r="K25" s="2451">
        <v>42381.61388888889</v>
      </c>
      <c r="L25" s="2452">
        <f t="shared" si="1"/>
        <v>0.5500000000465661</v>
      </c>
      <c r="M25" s="2453">
        <f t="shared" si="2"/>
        <v>33</v>
      </c>
      <c r="N25" s="1486" t="s">
        <v>308</v>
      </c>
      <c r="O25" s="2454" t="str">
        <f t="shared" si="3"/>
        <v>NO</v>
      </c>
      <c r="P25" s="2455">
        <f t="shared" si="4"/>
        <v>40</v>
      </c>
      <c r="Q25" s="2456" t="str">
        <f t="shared" si="5"/>
        <v>--</v>
      </c>
      <c r="R25" s="2444">
        <f t="shared" si="6"/>
        <v>5180.68</v>
      </c>
      <c r="S25" s="2445">
        <f t="shared" si="7"/>
        <v>2849.3740000000003</v>
      </c>
      <c r="T25" s="2446" t="str">
        <f t="shared" si="8"/>
        <v>--</v>
      </c>
      <c r="U25" s="2454" t="str">
        <f t="shared" si="9"/>
        <v>SI</v>
      </c>
      <c r="V25" s="2457">
        <f t="shared" si="10"/>
        <v>8030.054</v>
      </c>
      <c r="W25" s="2387"/>
    </row>
    <row r="26" spans="2:23" s="2370" customFormat="1" ht="17.1" customHeight="1">
      <c r="B26" s="2384"/>
      <c r="C26" s="1489">
        <v>66</v>
      </c>
      <c r="D26" s="1489">
        <v>297384</v>
      </c>
      <c r="E26" s="1480">
        <v>5083</v>
      </c>
      <c r="F26" s="2448" t="s">
        <v>377</v>
      </c>
      <c r="G26" s="2448" t="s">
        <v>415</v>
      </c>
      <c r="H26" s="2449">
        <v>132</v>
      </c>
      <c r="I26" s="2450">
        <f t="shared" si="0"/>
        <v>129.517</v>
      </c>
      <c r="J26" s="1883">
        <v>42383.58611111111</v>
      </c>
      <c r="K26" s="2451">
        <v>42383.59652777778</v>
      </c>
      <c r="L26" s="2452">
        <f t="shared" si="1"/>
        <v>0.2500000001164153</v>
      </c>
      <c r="M26" s="2453">
        <f t="shared" si="2"/>
        <v>15</v>
      </c>
      <c r="N26" s="1486" t="s">
        <v>308</v>
      </c>
      <c r="O26" s="2454" t="str">
        <f t="shared" si="3"/>
        <v>NO</v>
      </c>
      <c r="P26" s="2455">
        <f t="shared" si="4"/>
        <v>40</v>
      </c>
      <c r="Q26" s="2456" t="str">
        <f t="shared" si="5"/>
        <v>--</v>
      </c>
      <c r="R26" s="2444">
        <f t="shared" si="6"/>
        <v>5180.68</v>
      </c>
      <c r="S26" s="2445">
        <f t="shared" si="7"/>
        <v>1295.17</v>
      </c>
      <c r="T26" s="2446" t="str">
        <f t="shared" si="8"/>
        <v>--</v>
      </c>
      <c r="U26" s="2454" t="str">
        <f t="shared" si="9"/>
        <v>SI</v>
      </c>
      <c r="V26" s="2457">
        <f t="shared" si="10"/>
        <v>6475.85</v>
      </c>
      <c r="W26" s="2387"/>
    </row>
    <row r="27" spans="2:23" s="2370" customFormat="1" ht="17.1" customHeight="1">
      <c r="B27" s="2384"/>
      <c r="C27" s="1489"/>
      <c r="D27" s="1489"/>
      <c r="E27" s="1480"/>
      <c r="F27" s="2448"/>
      <c r="G27" s="2448"/>
      <c r="H27" s="2449"/>
      <c r="I27" s="2450"/>
      <c r="J27" s="1883"/>
      <c r="K27" s="2451"/>
      <c r="L27" s="2452"/>
      <c r="M27" s="2453"/>
      <c r="N27" s="1486"/>
      <c r="O27" s="2454"/>
      <c r="P27" s="2455"/>
      <c r="Q27" s="2456"/>
      <c r="R27" s="2444"/>
      <c r="S27" s="2445"/>
      <c r="T27" s="2446"/>
      <c r="U27" s="2454"/>
      <c r="V27" s="2457"/>
      <c r="W27" s="2387"/>
    </row>
    <row r="28" spans="2:23" s="2370" customFormat="1" ht="17.1" customHeight="1">
      <c r="B28" s="2384"/>
      <c r="C28" s="1489"/>
      <c r="D28" s="1489"/>
      <c r="E28" s="1480"/>
      <c r="F28" s="2448"/>
      <c r="G28" s="2448"/>
      <c r="H28" s="2449"/>
      <c r="I28" s="2450"/>
      <c r="J28" s="1883"/>
      <c r="K28" s="2451"/>
      <c r="L28" s="2452"/>
      <c r="M28" s="2453"/>
      <c r="N28" s="1486"/>
      <c r="O28" s="2454"/>
      <c r="P28" s="2455"/>
      <c r="Q28" s="2456"/>
      <c r="R28" s="2444"/>
      <c r="S28" s="2445"/>
      <c r="T28" s="2446"/>
      <c r="U28" s="2454"/>
      <c r="V28" s="2457"/>
      <c r="W28" s="2387"/>
    </row>
    <row r="29" spans="2:23" s="2370" customFormat="1" ht="17.1" customHeight="1">
      <c r="B29" s="2384"/>
      <c r="C29" s="1489"/>
      <c r="D29" s="1489"/>
      <c r="E29" s="1480"/>
      <c r="F29" s="2448"/>
      <c r="G29" s="2448"/>
      <c r="H29" s="2449"/>
      <c r="I29" s="2450"/>
      <c r="J29" s="1883"/>
      <c r="K29" s="2451"/>
      <c r="L29" s="2452"/>
      <c r="M29" s="2453"/>
      <c r="N29" s="1486"/>
      <c r="O29" s="2454"/>
      <c r="P29" s="2455"/>
      <c r="Q29" s="2456"/>
      <c r="R29" s="2444"/>
      <c r="S29" s="2445"/>
      <c r="T29" s="2446"/>
      <c r="U29" s="2454"/>
      <c r="V29" s="2457"/>
      <c r="W29" s="2387"/>
    </row>
    <row r="30" spans="2:23" s="2370" customFormat="1" ht="17.1" customHeight="1">
      <c r="B30" s="2384"/>
      <c r="C30" s="1489"/>
      <c r="D30" s="1489"/>
      <c r="E30" s="1489"/>
      <c r="F30" s="2448"/>
      <c r="G30" s="2448"/>
      <c r="H30" s="2449"/>
      <c r="I30" s="2450"/>
      <c r="J30" s="1883"/>
      <c r="K30" s="2451"/>
      <c r="L30" s="2452"/>
      <c r="M30" s="2453"/>
      <c r="N30" s="1486"/>
      <c r="O30" s="2454"/>
      <c r="P30" s="2455"/>
      <c r="Q30" s="2456"/>
      <c r="R30" s="2444"/>
      <c r="S30" s="2445"/>
      <c r="T30" s="2446"/>
      <c r="U30" s="2454"/>
      <c r="V30" s="2457"/>
      <c r="W30" s="2387"/>
    </row>
    <row r="31" spans="2:23" s="2370" customFormat="1" ht="17.1" customHeight="1">
      <c r="B31" s="2384"/>
      <c r="C31" s="1489"/>
      <c r="D31" s="1489"/>
      <c r="E31" s="1480"/>
      <c r="F31" s="2448"/>
      <c r="G31" s="2448"/>
      <c r="H31" s="2449"/>
      <c r="I31" s="2450"/>
      <c r="J31" s="1883"/>
      <c r="K31" s="2451"/>
      <c r="L31" s="2452"/>
      <c r="M31" s="2453"/>
      <c r="N31" s="1486"/>
      <c r="O31" s="2454"/>
      <c r="P31" s="2455"/>
      <c r="Q31" s="2456"/>
      <c r="R31" s="2444"/>
      <c r="S31" s="2445"/>
      <c r="T31" s="2446"/>
      <c r="U31" s="2454"/>
      <c r="V31" s="2457"/>
      <c r="W31" s="2387"/>
    </row>
    <row r="32" spans="2:23" s="2370" customFormat="1" ht="17.1" customHeight="1">
      <c r="B32" s="2384"/>
      <c r="C32" s="1489"/>
      <c r="D32" s="1489"/>
      <c r="E32" s="1489"/>
      <c r="F32" s="2448"/>
      <c r="G32" s="2448"/>
      <c r="H32" s="2449"/>
      <c r="I32" s="2450"/>
      <c r="J32" s="1883"/>
      <c r="K32" s="2451"/>
      <c r="L32" s="2452" t="str">
        <f aca="true" t="shared" si="11" ref="L32:L34">IF(F32="","",(K32-J32)*24)</f>
        <v/>
      </c>
      <c r="M32" s="2453" t="str">
        <f aca="true" t="shared" si="12" ref="M32:M34">IF(F32="","",ROUND((K32-J32)*24*60,0))</f>
        <v/>
      </c>
      <c r="N32" s="1486"/>
      <c r="O32" s="2454" t="str">
        <f aca="true" t="shared" si="13" ref="O32:O43">IF(F32="","",IF(N32="P","--","NO"))</f>
        <v/>
      </c>
      <c r="P32" s="2455"/>
      <c r="Q32" s="2456"/>
      <c r="R32" s="2444"/>
      <c r="S32" s="2445"/>
      <c r="T32" s="2446"/>
      <c r="U32" s="2454" t="str">
        <f aca="true" t="shared" si="14" ref="U32:U43">IF(F32="","","SI")</f>
        <v/>
      </c>
      <c r="V32" s="2457" t="str">
        <f aca="true" t="shared" si="15" ref="V32:V43">IF(F32="","",SUM(Q32:T32)*IF(U32="SI",1,2))</f>
        <v/>
      </c>
      <c r="W32" s="2387"/>
    </row>
    <row r="33" spans="2:23" s="2370" customFormat="1" ht="17.1" customHeight="1">
      <c r="B33" s="2384"/>
      <c r="C33" s="1489"/>
      <c r="D33" s="1489"/>
      <c r="E33" s="1480"/>
      <c r="F33" s="2448"/>
      <c r="G33" s="2448"/>
      <c r="H33" s="2449"/>
      <c r="I33" s="2450">
        <f aca="true" t="shared" si="16" ref="I33:I43">IF(H33=500,$G$17,IF(H33=220,$G$18,$G$19))</f>
        <v>129.517</v>
      </c>
      <c r="J33" s="1883"/>
      <c r="K33" s="2451"/>
      <c r="L33" s="2452" t="str">
        <f t="shared" si="11"/>
        <v/>
      </c>
      <c r="M33" s="2453" t="str">
        <f t="shared" si="12"/>
        <v/>
      </c>
      <c r="N33" s="1486"/>
      <c r="O33" s="2454" t="str">
        <f t="shared" si="13"/>
        <v/>
      </c>
      <c r="P33" s="2455">
        <f aca="true" t="shared" si="17" ref="P33:P43">IF(H33=500,$H$17,IF(H33=220,$H$18,$H$19))</f>
        <v>40</v>
      </c>
      <c r="Q33" s="2456" t="str">
        <f aca="true" t="shared" si="18" ref="Q33:Q43">IF(N33="P",I33*P33*ROUND(M33/60,2)*0.1,"--")</f>
        <v>--</v>
      </c>
      <c r="R33" s="2444" t="str">
        <f aca="true" t="shared" si="19" ref="R33:R43">IF(AND(N33="F",O33="NO"),I33*P33,"--")</f>
        <v>--</v>
      </c>
      <c r="S33" s="2445" t="str">
        <f aca="true" t="shared" si="20" ref="S33:S43">IF(N33="F",I33*P33*ROUND(M33/60,2),"--")</f>
        <v>--</v>
      </c>
      <c r="T33" s="2446" t="str">
        <f aca="true" t="shared" si="21" ref="T33:T43">IF(N33="RF",I33*P33*ROUND(M33/60,2),"--")</f>
        <v>--</v>
      </c>
      <c r="U33" s="2454" t="str">
        <f t="shared" si="14"/>
        <v/>
      </c>
      <c r="V33" s="2457" t="str">
        <f t="shared" si="15"/>
        <v/>
      </c>
      <c r="W33" s="2387"/>
    </row>
    <row r="34" spans="2:23" s="2370" customFormat="1" ht="17.1" customHeight="1">
      <c r="B34" s="2384"/>
      <c r="C34" s="1489"/>
      <c r="D34" s="1489"/>
      <c r="E34" s="1489"/>
      <c r="F34" s="2448"/>
      <c r="G34" s="2448"/>
      <c r="H34" s="2449"/>
      <c r="I34" s="2450">
        <f t="shared" si="16"/>
        <v>129.517</v>
      </c>
      <c r="J34" s="1883"/>
      <c r="K34" s="2451"/>
      <c r="L34" s="2452" t="str">
        <f t="shared" si="11"/>
        <v/>
      </c>
      <c r="M34" s="2453" t="str">
        <f t="shared" si="12"/>
        <v/>
      </c>
      <c r="N34" s="1486"/>
      <c r="O34" s="2454" t="str">
        <f t="shared" si="13"/>
        <v/>
      </c>
      <c r="P34" s="2455">
        <f t="shared" si="17"/>
        <v>40</v>
      </c>
      <c r="Q34" s="2456" t="str">
        <f t="shared" si="18"/>
        <v>--</v>
      </c>
      <c r="R34" s="2444" t="str">
        <f t="shared" si="19"/>
        <v>--</v>
      </c>
      <c r="S34" s="2445" t="str">
        <f t="shared" si="20"/>
        <v>--</v>
      </c>
      <c r="T34" s="2446" t="str">
        <f t="shared" si="21"/>
        <v>--</v>
      </c>
      <c r="U34" s="2454" t="str">
        <f t="shared" si="14"/>
        <v/>
      </c>
      <c r="V34" s="2457" t="str">
        <f t="shared" si="15"/>
        <v/>
      </c>
      <c r="W34" s="2387"/>
    </row>
    <row r="35" spans="2:23" s="2370" customFormat="1" ht="17.1" customHeight="1">
      <c r="B35" s="2384"/>
      <c r="C35" s="1489"/>
      <c r="D35" s="1489"/>
      <c r="E35" s="1480"/>
      <c r="F35" s="2448"/>
      <c r="G35" s="2448"/>
      <c r="H35" s="2449"/>
      <c r="I35" s="2450">
        <f t="shared" si="16"/>
        <v>129.517</v>
      </c>
      <c r="J35" s="1883"/>
      <c r="K35" s="2451"/>
      <c r="L35" s="2452" t="str">
        <f aca="true" t="shared" si="22" ref="L35:L43">IF(F35="","",(K35-J35)*24)</f>
        <v/>
      </c>
      <c r="M35" s="2453" t="str">
        <f aca="true" t="shared" si="23" ref="M35:M43">IF(F35="","",ROUND((K35-J35)*24*60,0))</f>
        <v/>
      </c>
      <c r="N35" s="1486"/>
      <c r="O35" s="2454" t="str">
        <f t="shared" si="13"/>
        <v/>
      </c>
      <c r="P35" s="2455">
        <f t="shared" si="17"/>
        <v>40</v>
      </c>
      <c r="Q35" s="2456" t="str">
        <f t="shared" si="18"/>
        <v>--</v>
      </c>
      <c r="R35" s="2444" t="str">
        <f t="shared" si="19"/>
        <v>--</v>
      </c>
      <c r="S35" s="2445" t="str">
        <f t="shared" si="20"/>
        <v>--</v>
      </c>
      <c r="T35" s="2446" t="str">
        <f t="shared" si="21"/>
        <v>--</v>
      </c>
      <c r="U35" s="2454" t="str">
        <f t="shared" si="14"/>
        <v/>
      </c>
      <c r="V35" s="2457" t="str">
        <f t="shared" si="15"/>
        <v/>
      </c>
      <c r="W35" s="2387"/>
    </row>
    <row r="36" spans="2:23" s="2370" customFormat="1" ht="17.1" customHeight="1">
      <c r="B36" s="2384"/>
      <c r="C36" s="1489"/>
      <c r="D36" s="1489"/>
      <c r="E36" s="1489"/>
      <c r="F36" s="2448"/>
      <c r="G36" s="2448"/>
      <c r="H36" s="2449"/>
      <c r="I36" s="2450">
        <f t="shared" si="16"/>
        <v>129.517</v>
      </c>
      <c r="J36" s="1883"/>
      <c r="K36" s="2451"/>
      <c r="L36" s="2452" t="str">
        <f t="shared" si="22"/>
        <v/>
      </c>
      <c r="M36" s="2453" t="str">
        <f t="shared" si="23"/>
        <v/>
      </c>
      <c r="N36" s="1486"/>
      <c r="O36" s="2454" t="str">
        <f t="shared" si="13"/>
        <v/>
      </c>
      <c r="P36" s="2455">
        <f t="shared" si="17"/>
        <v>40</v>
      </c>
      <c r="Q36" s="2456" t="str">
        <f t="shared" si="18"/>
        <v>--</v>
      </c>
      <c r="R36" s="2444" t="str">
        <f t="shared" si="19"/>
        <v>--</v>
      </c>
      <c r="S36" s="2445" t="str">
        <f t="shared" si="20"/>
        <v>--</v>
      </c>
      <c r="T36" s="2446" t="str">
        <f t="shared" si="21"/>
        <v>--</v>
      </c>
      <c r="U36" s="2454" t="str">
        <f t="shared" si="14"/>
        <v/>
      </c>
      <c r="V36" s="2457" t="str">
        <f t="shared" si="15"/>
        <v/>
      </c>
      <c r="W36" s="2387"/>
    </row>
    <row r="37" spans="2:23" s="2370" customFormat="1" ht="17.1" customHeight="1">
      <c r="B37" s="2384"/>
      <c r="C37" s="1489"/>
      <c r="D37" s="1489"/>
      <c r="E37" s="1480"/>
      <c r="F37" s="2448"/>
      <c r="G37" s="2448"/>
      <c r="H37" s="2449"/>
      <c r="I37" s="2450">
        <f t="shared" si="16"/>
        <v>129.517</v>
      </c>
      <c r="J37" s="1883"/>
      <c r="K37" s="2451"/>
      <c r="L37" s="2452" t="str">
        <f t="shared" si="22"/>
        <v/>
      </c>
      <c r="M37" s="2453" t="str">
        <f t="shared" si="23"/>
        <v/>
      </c>
      <c r="N37" s="1486"/>
      <c r="O37" s="2454" t="str">
        <f t="shared" si="13"/>
        <v/>
      </c>
      <c r="P37" s="2455">
        <f t="shared" si="17"/>
        <v>40</v>
      </c>
      <c r="Q37" s="2456" t="str">
        <f t="shared" si="18"/>
        <v>--</v>
      </c>
      <c r="R37" s="2444" t="str">
        <f t="shared" si="19"/>
        <v>--</v>
      </c>
      <c r="S37" s="2445" t="str">
        <f t="shared" si="20"/>
        <v>--</v>
      </c>
      <c r="T37" s="2446" t="str">
        <f t="shared" si="21"/>
        <v>--</v>
      </c>
      <c r="U37" s="2454" t="str">
        <f t="shared" si="14"/>
        <v/>
      </c>
      <c r="V37" s="2457" t="str">
        <f t="shared" si="15"/>
        <v/>
      </c>
      <c r="W37" s="2387"/>
    </row>
    <row r="38" spans="2:23" s="2370" customFormat="1" ht="17.1" customHeight="1">
      <c r="B38" s="2384"/>
      <c r="C38" s="1489"/>
      <c r="D38" s="1489"/>
      <c r="E38" s="1489"/>
      <c r="F38" s="2448"/>
      <c r="G38" s="2448"/>
      <c r="H38" s="2449"/>
      <c r="I38" s="2450">
        <f t="shared" si="16"/>
        <v>129.517</v>
      </c>
      <c r="J38" s="1883"/>
      <c r="K38" s="2451"/>
      <c r="L38" s="2452" t="str">
        <f t="shared" si="22"/>
        <v/>
      </c>
      <c r="M38" s="2453" t="str">
        <f t="shared" si="23"/>
        <v/>
      </c>
      <c r="N38" s="1486"/>
      <c r="O38" s="2454" t="str">
        <f t="shared" si="13"/>
        <v/>
      </c>
      <c r="P38" s="2455">
        <f t="shared" si="17"/>
        <v>40</v>
      </c>
      <c r="Q38" s="2456" t="str">
        <f t="shared" si="18"/>
        <v>--</v>
      </c>
      <c r="R38" s="2444" t="str">
        <f t="shared" si="19"/>
        <v>--</v>
      </c>
      <c r="S38" s="2445" t="str">
        <f t="shared" si="20"/>
        <v>--</v>
      </c>
      <c r="T38" s="2446" t="str">
        <f t="shared" si="21"/>
        <v>--</v>
      </c>
      <c r="U38" s="2454" t="str">
        <f t="shared" si="14"/>
        <v/>
      </c>
      <c r="V38" s="2457" t="str">
        <f t="shared" si="15"/>
        <v/>
      </c>
      <c r="W38" s="2387"/>
    </row>
    <row r="39" spans="2:23" s="2370" customFormat="1" ht="17.1" customHeight="1">
      <c r="B39" s="2384"/>
      <c r="C39" s="1489"/>
      <c r="D39" s="1489"/>
      <c r="E39" s="1480"/>
      <c r="F39" s="2448"/>
      <c r="G39" s="2448"/>
      <c r="H39" s="2449"/>
      <c r="I39" s="2450">
        <f t="shared" si="16"/>
        <v>129.517</v>
      </c>
      <c r="J39" s="1883"/>
      <c r="K39" s="2451"/>
      <c r="L39" s="2452" t="str">
        <f t="shared" si="22"/>
        <v/>
      </c>
      <c r="M39" s="2453" t="str">
        <f t="shared" si="23"/>
        <v/>
      </c>
      <c r="N39" s="1486"/>
      <c r="O39" s="2454" t="str">
        <f t="shared" si="13"/>
        <v/>
      </c>
      <c r="P39" s="2455">
        <f t="shared" si="17"/>
        <v>40</v>
      </c>
      <c r="Q39" s="2456" t="str">
        <f t="shared" si="18"/>
        <v>--</v>
      </c>
      <c r="R39" s="2444" t="str">
        <f t="shared" si="19"/>
        <v>--</v>
      </c>
      <c r="S39" s="2445" t="str">
        <f t="shared" si="20"/>
        <v>--</v>
      </c>
      <c r="T39" s="2446" t="str">
        <f t="shared" si="21"/>
        <v>--</v>
      </c>
      <c r="U39" s="2454" t="str">
        <f t="shared" si="14"/>
        <v/>
      </c>
      <c r="V39" s="2457" t="str">
        <f t="shared" si="15"/>
        <v/>
      </c>
      <c r="W39" s="2387"/>
    </row>
    <row r="40" spans="2:23" s="2370" customFormat="1" ht="17.1" customHeight="1">
      <c r="B40" s="2384"/>
      <c r="C40" s="1489"/>
      <c r="D40" s="1489"/>
      <c r="E40" s="1480"/>
      <c r="F40" s="2448"/>
      <c r="G40" s="2448"/>
      <c r="H40" s="2449"/>
      <c r="I40" s="2450">
        <f t="shared" si="16"/>
        <v>129.517</v>
      </c>
      <c r="J40" s="1883"/>
      <c r="K40" s="2451"/>
      <c r="L40" s="2452" t="str">
        <f t="shared" si="22"/>
        <v/>
      </c>
      <c r="M40" s="2453" t="str">
        <f t="shared" si="23"/>
        <v/>
      </c>
      <c r="N40" s="1486"/>
      <c r="O40" s="2454" t="str">
        <f t="shared" si="13"/>
        <v/>
      </c>
      <c r="P40" s="2455">
        <f t="shared" si="17"/>
        <v>40</v>
      </c>
      <c r="Q40" s="2456" t="str">
        <f t="shared" si="18"/>
        <v>--</v>
      </c>
      <c r="R40" s="2444" t="str">
        <f t="shared" si="19"/>
        <v>--</v>
      </c>
      <c r="S40" s="2445" t="str">
        <f t="shared" si="20"/>
        <v>--</v>
      </c>
      <c r="T40" s="2446" t="str">
        <f t="shared" si="21"/>
        <v>--</v>
      </c>
      <c r="U40" s="2454" t="str">
        <f t="shared" si="14"/>
        <v/>
      </c>
      <c r="V40" s="2457" t="str">
        <f t="shared" si="15"/>
        <v/>
      </c>
      <c r="W40" s="2387"/>
    </row>
    <row r="41" spans="2:23" s="2370" customFormat="1" ht="17.1" customHeight="1">
      <c r="B41" s="2384"/>
      <c r="C41" s="1489"/>
      <c r="D41" s="1489"/>
      <c r="E41" s="1489"/>
      <c r="F41" s="2448"/>
      <c r="G41" s="2448"/>
      <c r="H41" s="2449"/>
      <c r="I41" s="2450">
        <f t="shared" si="16"/>
        <v>129.517</v>
      </c>
      <c r="J41" s="1883"/>
      <c r="K41" s="2451"/>
      <c r="L41" s="2452" t="str">
        <f t="shared" si="22"/>
        <v/>
      </c>
      <c r="M41" s="2453" t="str">
        <f t="shared" si="23"/>
        <v/>
      </c>
      <c r="N41" s="1486"/>
      <c r="O41" s="2454" t="str">
        <f t="shared" si="13"/>
        <v/>
      </c>
      <c r="P41" s="2455">
        <f t="shared" si="17"/>
        <v>40</v>
      </c>
      <c r="Q41" s="2456" t="str">
        <f t="shared" si="18"/>
        <v>--</v>
      </c>
      <c r="R41" s="2444" t="str">
        <f t="shared" si="19"/>
        <v>--</v>
      </c>
      <c r="S41" s="2445" t="str">
        <f t="shared" si="20"/>
        <v>--</v>
      </c>
      <c r="T41" s="2446" t="str">
        <f t="shared" si="21"/>
        <v>--</v>
      </c>
      <c r="U41" s="2454" t="str">
        <f t="shared" si="14"/>
        <v/>
      </c>
      <c r="V41" s="2457" t="str">
        <f t="shared" si="15"/>
        <v/>
      </c>
      <c r="W41" s="2387"/>
    </row>
    <row r="42" spans="2:23" s="2370" customFormat="1" ht="17.1" customHeight="1">
      <c r="B42" s="2384"/>
      <c r="C42" s="1489"/>
      <c r="D42" s="1489"/>
      <c r="E42" s="1480"/>
      <c r="F42" s="2448"/>
      <c r="G42" s="2448"/>
      <c r="H42" s="2449"/>
      <c r="I42" s="2450">
        <f t="shared" si="16"/>
        <v>129.517</v>
      </c>
      <c r="J42" s="1883"/>
      <c r="K42" s="2451"/>
      <c r="L42" s="2452" t="str">
        <f t="shared" si="22"/>
        <v/>
      </c>
      <c r="M42" s="2453" t="str">
        <f t="shared" si="23"/>
        <v/>
      </c>
      <c r="N42" s="1486"/>
      <c r="O42" s="2454" t="str">
        <f t="shared" si="13"/>
        <v/>
      </c>
      <c r="P42" s="2455">
        <f t="shared" si="17"/>
        <v>40</v>
      </c>
      <c r="Q42" s="2456" t="str">
        <f t="shared" si="18"/>
        <v>--</v>
      </c>
      <c r="R42" s="2444" t="str">
        <f t="shared" si="19"/>
        <v>--</v>
      </c>
      <c r="S42" s="2445" t="str">
        <f t="shared" si="20"/>
        <v>--</v>
      </c>
      <c r="T42" s="2446" t="str">
        <f t="shared" si="21"/>
        <v>--</v>
      </c>
      <c r="U42" s="2454" t="str">
        <f t="shared" si="14"/>
        <v/>
      </c>
      <c r="V42" s="2457" t="str">
        <f t="shared" si="15"/>
        <v/>
      </c>
      <c r="W42" s="2387"/>
    </row>
    <row r="43" spans="2:23" s="2370" customFormat="1" ht="17.1" customHeight="1">
      <c r="B43" s="2384"/>
      <c r="C43" s="1489"/>
      <c r="D43" s="1489"/>
      <c r="E43" s="1489"/>
      <c r="F43" s="2448"/>
      <c r="G43" s="2448"/>
      <c r="H43" s="2449"/>
      <c r="I43" s="2450">
        <f t="shared" si="16"/>
        <v>129.517</v>
      </c>
      <c r="J43" s="1883"/>
      <c r="K43" s="2451"/>
      <c r="L43" s="2452" t="str">
        <f t="shared" si="22"/>
        <v/>
      </c>
      <c r="M43" s="2453" t="str">
        <f t="shared" si="23"/>
        <v/>
      </c>
      <c r="N43" s="1486"/>
      <c r="O43" s="2454" t="str">
        <f t="shared" si="13"/>
        <v/>
      </c>
      <c r="P43" s="2455">
        <f t="shared" si="17"/>
        <v>40</v>
      </c>
      <c r="Q43" s="2456" t="str">
        <f t="shared" si="18"/>
        <v>--</v>
      </c>
      <c r="R43" s="2444" t="str">
        <f t="shared" si="19"/>
        <v>--</v>
      </c>
      <c r="S43" s="2445" t="str">
        <f t="shared" si="20"/>
        <v>--</v>
      </c>
      <c r="T43" s="2446" t="str">
        <f t="shared" si="21"/>
        <v>--</v>
      </c>
      <c r="U43" s="2454" t="str">
        <f t="shared" si="14"/>
        <v/>
      </c>
      <c r="V43" s="2457" t="str">
        <f t="shared" si="15"/>
        <v/>
      </c>
      <c r="W43" s="2387"/>
    </row>
    <row r="44" spans="2:23" s="2370" customFormat="1" ht="17.1" customHeight="1" thickBot="1">
      <c r="B44" s="2384"/>
      <c r="C44" s="2458"/>
      <c r="D44" s="2458"/>
      <c r="E44" s="2458"/>
      <c r="F44" s="2458"/>
      <c r="G44" s="2458"/>
      <c r="H44" s="2458"/>
      <c r="I44" s="2459"/>
      <c r="J44" s="2460"/>
      <c r="K44" s="2460"/>
      <c r="L44" s="2461"/>
      <c r="M44" s="2461"/>
      <c r="N44" s="2460"/>
      <c r="O44" s="2462"/>
      <c r="P44" s="2463"/>
      <c r="Q44" s="2464"/>
      <c r="R44" s="2465"/>
      <c r="S44" s="2466"/>
      <c r="T44" s="2467"/>
      <c r="U44" s="2462"/>
      <c r="V44" s="2468"/>
      <c r="W44" s="2387"/>
    </row>
    <row r="45" spans="2:23" s="2370" customFormat="1" ht="17.1" customHeight="1" thickBot="1" thickTop="1">
      <c r="B45" s="2384"/>
      <c r="C45" s="2469" t="s">
        <v>25</v>
      </c>
      <c r="D45" s="2470" t="s">
        <v>414</v>
      </c>
      <c r="E45" s="2469"/>
      <c r="F45" s="2471"/>
      <c r="G45" s="2472"/>
      <c r="H45" s="2385"/>
      <c r="I45" s="2385"/>
      <c r="J45" s="2385"/>
      <c r="K45" s="2385"/>
      <c r="L45" s="2385"/>
      <c r="M45" s="2385"/>
      <c r="N45" s="2385"/>
      <c r="O45" s="2385"/>
      <c r="P45" s="2385"/>
      <c r="Q45" s="2473">
        <f>SUM(Q22:Q44)</f>
        <v>0</v>
      </c>
      <c r="R45" s="2474">
        <f>SUM(R22:R44)</f>
        <v>15542.04</v>
      </c>
      <c r="S45" s="2475">
        <f>SUM(S22:S44)</f>
        <v>5854.1684000000005</v>
      </c>
      <c r="T45" s="2476">
        <f>SUM(T22:T44)</f>
        <v>0</v>
      </c>
      <c r="U45" s="2477"/>
      <c r="V45" s="2478">
        <f>ROUND(SUM(V22:V44),2)</f>
        <v>21396.21</v>
      </c>
      <c r="W45" s="2387"/>
    </row>
    <row r="46" spans="2:23" s="2370" customFormat="1" ht="17.1" customHeight="1" thickBot="1" thickTop="1">
      <c r="B46" s="2479"/>
      <c r="C46" s="2480"/>
      <c r="D46" s="2480"/>
      <c r="E46" s="2480"/>
      <c r="F46" s="2480"/>
      <c r="G46" s="2480"/>
      <c r="H46" s="2480"/>
      <c r="I46" s="2480"/>
      <c r="J46" s="2480"/>
      <c r="K46" s="2480"/>
      <c r="L46" s="2480"/>
      <c r="M46" s="2480"/>
      <c r="N46" s="2480"/>
      <c r="O46" s="2480"/>
      <c r="P46" s="2480"/>
      <c r="Q46" s="2480"/>
      <c r="R46" s="2480"/>
      <c r="S46" s="2480"/>
      <c r="T46" s="2480"/>
      <c r="U46" s="2480"/>
      <c r="V46" s="2480"/>
      <c r="W46" s="2481"/>
    </row>
    <row r="47" spans="23:25" ht="17.1" customHeight="1" thickTop="1">
      <c r="W47" s="2482"/>
      <c r="X47" s="2482"/>
      <c r="Y47" s="2482"/>
    </row>
    <row r="48" spans="23:25" ht="17.1" customHeight="1">
      <c r="W48" s="2482"/>
      <c r="X48" s="2482"/>
      <c r="Y48" s="2482"/>
    </row>
    <row r="49" spans="23:25" ht="17.1" customHeight="1">
      <c r="W49" s="2482"/>
      <c r="X49" s="2482"/>
      <c r="Y49" s="2482"/>
    </row>
    <row r="50" spans="23:25" ht="17.1" customHeight="1">
      <c r="W50" s="2482"/>
      <c r="X50" s="2482"/>
      <c r="Y50" s="2482"/>
    </row>
    <row r="51" spans="23:25" ht="17.1" customHeight="1">
      <c r="W51" s="2482"/>
      <c r="X51" s="2482"/>
      <c r="Y51" s="2482"/>
    </row>
    <row r="52" spans="6:25" ht="17.1" customHeight="1">
      <c r="F52" s="2482"/>
      <c r="G52" s="2482"/>
      <c r="H52" s="2482"/>
      <c r="I52" s="2482"/>
      <c r="J52" s="2482"/>
      <c r="K52" s="2482"/>
      <c r="L52" s="2482"/>
      <c r="M52" s="2482"/>
      <c r="N52" s="2482"/>
      <c r="O52" s="2482"/>
      <c r="P52" s="2482"/>
      <c r="Q52" s="2482"/>
      <c r="R52" s="2482"/>
      <c r="S52" s="2482"/>
      <c r="T52" s="2482"/>
      <c r="U52" s="2482"/>
      <c r="V52" s="2482"/>
      <c r="W52" s="2482"/>
      <c r="X52" s="2482"/>
      <c r="Y52" s="2482"/>
    </row>
    <row r="53" spans="6:25" ht="17.1" customHeight="1">
      <c r="F53" s="2482"/>
      <c r="G53" s="2482"/>
      <c r="H53" s="2482"/>
      <c r="I53" s="2482"/>
      <c r="J53" s="2482"/>
      <c r="K53" s="2482"/>
      <c r="L53" s="2482"/>
      <c r="M53" s="2482"/>
      <c r="N53" s="2482"/>
      <c r="O53" s="2482"/>
      <c r="P53" s="2482"/>
      <c r="Q53" s="2482"/>
      <c r="R53" s="2482"/>
      <c r="S53" s="2482"/>
      <c r="T53" s="2482"/>
      <c r="U53" s="2482"/>
      <c r="V53" s="2482"/>
      <c r="W53" s="2482"/>
      <c r="X53" s="2482"/>
      <c r="Y53" s="2482"/>
    </row>
    <row r="54" spans="6:25" ht="17.1" customHeight="1">
      <c r="F54" s="2482"/>
      <c r="G54" s="2482"/>
      <c r="H54" s="2482"/>
      <c r="I54" s="2482"/>
      <c r="J54" s="2482"/>
      <c r="K54" s="2482"/>
      <c r="L54" s="2482"/>
      <c r="M54" s="2482"/>
      <c r="N54" s="2482"/>
      <c r="O54" s="2482"/>
      <c r="P54" s="2482"/>
      <c r="Q54" s="2482"/>
      <c r="R54" s="2482"/>
      <c r="S54" s="2482"/>
      <c r="T54" s="2482"/>
      <c r="U54" s="2482"/>
      <c r="V54" s="2482"/>
      <c r="W54" s="2482"/>
      <c r="X54" s="2482"/>
      <c r="Y54" s="2482"/>
    </row>
    <row r="55" spans="6:25" ht="17.1" customHeight="1">
      <c r="F55" s="2482"/>
      <c r="G55" s="2482"/>
      <c r="H55" s="2482"/>
      <c r="I55" s="2482"/>
      <c r="J55" s="2482"/>
      <c r="K55" s="2482"/>
      <c r="L55" s="2482"/>
      <c r="M55" s="2482"/>
      <c r="N55" s="2482"/>
      <c r="O55" s="2482"/>
      <c r="P55" s="2482"/>
      <c r="Q55" s="2482"/>
      <c r="R55" s="2482"/>
      <c r="S55" s="2482"/>
      <c r="T55" s="2482"/>
      <c r="U55" s="2482"/>
      <c r="V55" s="2482"/>
      <c r="W55" s="2482"/>
      <c r="X55" s="2482"/>
      <c r="Y55" s="2482"/>
    </row>
    <row r="56" spans="6:25" ht="17.1" customHeight="1">
      <c r="F56" s="2482"/>
      <c r="G56" s="2482"/>
      <c r="H56" s="2482"/>
      <c r="I56" s="2482"/>
      <c r="J56" s="2482"/>
      <c r="K56" s="2482"/>
      <c r="L56" s="2482"/>
      <c r="M56" s="2482"/>
      <c r="N56" s="2482"/>
      <c r="O56" s="2482"/>
      <c r="P56" s="2482"/>
      <c r="Q56" s="2482"/>
      <c r="R56" s="2482"/>
      <c r="S56" s="2482"/>
      <c r="T56" s="2482"/>
      <c r="U56" s="2482"/>
      <c r="V56" s="2482"/>
      <c r="W56" s="2482"/>
      <c r="X56" s="2482"/>
      <c r="Y56" s="2482"/>
    </row>
    <row r="57" spans="6:25" ht="17.1" customHeight="1">
      <c r="F57" s="2482"/>
      <c r="G57" s="2482"/>
      <c r="H57" s="2482"/>
      <c r="I57" s="2482"/>
      <c r="J57" s="2482"/>
      <c r="K57" s="2482"/>
      <c r="L57" s="2482"/>
      <c r="M57" s="2482"/>
      <c r="N57" s="2482"/>
      <c r="O57" s="2482"/>
      <c r="P57" s="2482"/>
      <c r="Q57" s="2482"/>
      <c r="R57" s="2482"/>
      <c r="S57" s="2482"/>
      <c r="T57" s="2482"/>
      <c r="U57" s="2482"/>
      <c r="V57" s="2482"/>
      <c r="W57" s="2482"/>
      <c r="X57" s="2482"/>
      <c r="Y57" s="2482"/>
    </row>
    <row r="58" spans="6:25" ht="17.1" customHeight="1">
      <c r="F58" s="2482"/>
      <c r="G58" s="2482"/>
      <c r="H58" s="2482"/>
      <c r="I58" s="2482"/>
      <c r="J58" s="2482"/>
      <c r="K58" s="2482"/>
      <c r="L58" s="2482"/>
      <c r="M58" s="2482"/>
      <c r="N58" s="2482"/>
      <c r="O58" s="2482"/>
      <c r="P58" s="2482"/>
      <c r="Q58" s="2482"/>
      <c r="R58" s="2482"/>
      <c r="S58" s="2482"/>
      <c r="T58" s="2482"/>
      <c r="U58" s="2482"/>
      <c r="V58" s="2482"/>
      <c r="W58" s="2482"/>
      <c r="X58" s="2482"/>
      <c r="Y58" s="2482"/>
    </row>
    <row r="59" spans="6:25" ht="17.1" customHeight="1">
      <c r="F59" s="2482"/>
      <c r="G59" s="2482"/>
      <c r="H59" s="2482"/>
      <c r="I59" s="2482"/>
      <c r="J59" s="2482"/>
      <c r="K59" s="2482"/>
      <c r="L59" s="2482"/>
      <c r="M59" s="2482"/>
      <c r="N59" s="2482"/>
      <c r="O59" s="2482"/>
      <c r="P59" s="2482"/>
      <c r="Q59" s="2482"/>
      <c r="R59" s="2482"/>
      <c r="S59" s="2482"/>
      <c r="T59" s="2482"/>
      <c r="U59" s="2482"/>
      <c r="V59" s="2482"/>
      <c r="W59" s="2482"/>
      <c r="X59" s="2482"/>
      <c r="Y59" s="2482"/>
    </row>
    <row r="60" spans="6:25" ht="17.1" customHeight="1">
      <c r="F60" s="2482"/>
      <c r="G60" s="2482"/>
      <c r="H60" s="2482"/>
      <c r="I60" s="2482"/>
      <c r="J60" s="2482"/>
      <c r="K60" s="2482"/>
      <c r="L60" s="2482"/>
      <c r="M60" s="2482"/>
      <c r="N60" s="2482"/>
      <c r="O60" s="2482"/>
      <c r="P60" s="2482"/>
      <c r="Q60" s="2482"/>
      <c r="R60" s="2482"/>
      <c r="S60" s="2482"/>
      <c r="T60" s="2482"/>
      <c r="U60" s="2482"/>
      <c r="V60" s="2482"/>
      <c r="W60" s="2482"/>
      <c r="X60" s="2482"/>
      <c r="Y60" s="2482"/>
    </row>
    <row r="61" spans="6:25" ht="17.1" customHeight="1">
      <c r="F61" s="2482"/>
      <c r="G61" s="2482"/>
      <c r="H61" s="2482"/>
      <c r="I61" s="2482"/>
      <c r="J61" s="2482"/>
      <c r="K61" s="2482"/>
      <c r="L61" s="2482"/>
      <c r="M61" s="2482"/>
      <c r="N61" s="2482"/>
      <c r="O61" s="2482"/>
      <c r="P61" s="2482"/>
      <c r="Q61" s="2482"/>
      <c r="R61" s="2482"/>
      <c r="S61" s="2482"/>
      <c r="T61" s="2482"/>
      <c r="U61" s="2482"/>
      <c r="V61" s="2482"/>
      <c r="W61" s="2482"/>
      <c r="X61" s="2482"/>
      <c r="Y61" s="2482"/>
    </row>
    <row r="62" spans="6:25" ht="17.1" customHeight="1">
      <c r="F62" s="2482"/>
      <c r="G62" s="2482"/>
      <c r="H62" s="2482"/>
      <c r="I62" s="2482"/>
      <c r="J62" s="2482"/>
      <c r="K62" s="2482"/>
      <c r="L62" s="2482"/>
      <c r="M62" s="2482"/>
      <c r="N62" s="2482"/>
      <c r="O62" s="2482"/>
      <c r="P62" s="2482"/>
      <c r="Q62" s="2482"/>
      <c r="R62" s="2482"/>
      <c r="S62" s="2482"/>
      <c r="T62" s="2482"/>
      <c r="U62" s="2482"/>
      <c r="V62" s="2482"/>
      <c r="W62" s="2482"/>
      <c r="X62" s="2482"/>
      <c r="Y62" s="2482"/>
    </row>
    <row r="63" spans="6:25" ht="17.1" customHeight="1">
      <c r="F63" s="2482"/>
      <c r="G63" s="2482"/>
      <c r="H63" s="2482"/>
      <c r="I63" s="2482"/>
      <c r="J63" s="2482"/>
      <c r="K63" s="2482"/>
      <c r="L63" s="2482"/>
      <c r="M63" s="2482"/>
      <c r="N63" s="2482"/>
      <c r="O63" s="2482"/>
      <c r="P63" s="2482"/>
      <c r="Q63" s="2482"/>
      <c r="R63" s="2482"/>
      <c r="S63" s="2482"/>
      <c r="T63" s="2482"/>
      <c r="U63" s="2482"/>
      <c r="V63" s="2482"/>
      <c r="W63" s="2482"/>
      <c r="X63" s="2482"/>
      <c r="Y63" s="2482"/>
    </row>
    <row r="64" spans="6:25" ht="17.1" customHeight="1">
      <c r="F64" s="2482"/>
      <c r="G64" s="2482"/>
      <c r="H64" s="2482"/>
      <c r="I64" s="2482"/>
      <c r="J64" s="2482"/>
      <c r="K64" s="2482"/>
      <c r="L64" s="2482"/>
      <c r="M64" s="2482"/>
      <c r="N64" s="2482"/>
      <c r="O64" s="2482"/>
      <c r="P64" s="2482"/>
      <c r="Q64" s="2482"/>
      <c r="R64" s="2482"/>
      <c r="S64" s="2482"/>
      <c r="T64" s="2482"/>
      <c r="U64" s="2482"/>
      <c r="V64" s="2482"/>
      <c r="W64" s="2482"/>
      <c r="X64" s="2482"/>
      <c r="Y64" s="2482"/>
    </row>
    <row r="65" spans="6:25" ht="17.1" customHeight="1">
      <c r="F65" s="2482"/>
      <c r="G65" s="2482"/>
      <c r="H65" s="2482"/>
      <c r="I65" s="2482"/>
      <c r="J65" s="2482"/>
      <c r="K65" s="2482"/>
      <c r="L65" s="2482"/>
      <c r="M65" s="2482"/>
      <c r="N65" s="2482"/>
      <c r="O65" s="2482"/>
      <c r="P65" s="2482"/>
      <c r="Q65" s="2482"/>
      <c r="R65" s="2482"/>
      <c r="S65" s="2482"/>
      <c r="T65" s="2482"/>
      <c r="U65" s="2482"/>
      <c r="V65" s="2482"/>
      <c r="W65" s="2482"/>
      <c r="X65" s="2482"/>
      <c r="Y65" s="2482"/>
    </row>
    <row r="66" spans="6:25" ht="17.1" customHeight="1">
      <c r="F66" s="2482"/>
      <c r="G66" s="2482"/>
      <c r="H66" s="2482"/>
      <c r="I66" s="2482"/>
      <c r="J66" s="2482"/>
      <c r="K66" s="2482"/>
      <c r="L66" s="2482"/>
      <c r="M66" s="2482"/>
      <c r="N66" s="2482"/>
      <c r="O66" s="2482"/>
      <c r="P66" s="2482"/>
      <c r="Q66" s="2482"/>
      <c r="R66" s="2482"/>
      <c r="S66" s="2482"/>
      <c r="T66" s="2482"/>
      <c r="U66" s="2482"/>
      <c r="V66" s="2482"/>
      <c r="W66" s="2482"/>
      <c r="X66" s="2482"/>
      <c r="Y66" s="2482"/>
    </row>
    <row r="67" spans="6:25" ht="17.1" customHeight="1">
      <c r="F67" s="2482"/>
      <c r="G67" s="2482"/>
      <c r="H67" s="2482"/>
      <c r="I67" s="2482"/>
      <c r="J67" s="2482"/>
      <c r="K67" s="2482"/>
      <c r="L67" s="2482"/>
      <c r="M67" s="2482"/>
      <c r="N67" s="2482"/>
      <c r="O67" s="2482"/>
      <c r="P67" s="2482"/>
      <c r="Q67" s="2482"/>
      <c r="R67" s="2482"/>
      <c r="S67" s="2482"/>
      <c r="T67" s="2482"/>
      <c r="U67" s="2482"/>
      <c r="V67" s="2482"/>
      <c r="W67" s="2482"/>
      <c r="X67" s="2482"/>
      <c r="Y67" s="2482"/>
    </row>
    <row r="68" spans="6:25" ht="17.1" customHeight="1">
      <c r="F68" s="2482"/>
      <c r="G68" s="2482"/>
      <c r="H68" s="2482"/>
      <c r="I68" s="2482"/>
      <c r="J68" s="2482"/>
      <c r="K68" s="2482"/>
      <c r="L68" s="2482"/>
      <c r="M68" s="2482"/>
      <c r="N68" s="2482"/>
      <c r="O68" s="2482"/>
      <c r="P68" s="2482"/>
      <c r="Q68" s="2482"/>
      <c r="R68" s="2482"/>
      <c r="S68" s="2482"/>
      <c r="T68" s="2482"/>
      <c r="U68" s="2482"/>
      <c r="V68" s="2482"/>
      <c r="W68" s="2482"/>
      <c r="X68" s="2482"/>
      <c r="Y68" s="2482"/>
    </row>
    <row r="69" spans="6:25" ht="17.1" customHeight="1">
      <c r="F69" s="2482"/>
      <c r="G69" s="2482"/>
      <c r="H69" s="2482"/>
      <c r="I69" s="2482"/>
      <c r="J69" s="2482"/>
      <c r="K69" s="2482"/>
      <c r="L69" s="2482"/>
      <c r="M69" s="2482"/>
      <c r="N69" s="2482"/>
      <c r="O69" s="2482"/>
      <c r="P69" s="2482"/>
      <c r="Q69" s="2482"/>
      <c r="R69" s="2482"/>
      <c r="S69" s="2482"/>
      <c r="T69" s="2482"/>
      <c r="U69" s="2482"/>
      <c r="V69" s="2482"/>
      <c r="W69" s="2482"/>
      <c r="X69" s="2482"/>
      <c r="Y69" s="2482"/>
    </row>
    <row r="70" spans="6:25" ht="17.1" customHeight="1">
      <c r="F70" s="2482"/>
      <c r="G70" s="2482"/>
      <c r="H70" s="2482"/>
      <c r="I70" s="2482"/>
      <c r="J70" s="2482"/>
      <c r="K70" s="2482"/>
      <c r="L70" s="2482"/>
      <c r="M70" s="2482"/>
      <c r="N70" s="2482"/>
      <c r="O70" s="2482"/>
      <c r="P70" s="2482"/>
      <c r="Q70" s="2482"/>
      <c r="R70" s="2482"/>
      <c r="S70" s="2482"/>
      <c r="T70" s="2482"/>
      <c r="U70" s="2482"/>
      <c r="V70" s="2482"/>
      <c r="W70" s="2482"/>
      <c r="X70" s="2482"/>
      <c r="Y70" s="2482"/>
    </row>
    <row r="71" spans="6:25" ht="17.1" customHeight="1">
      <c r="F71" s="2482"/>
      <c r="G71" s="2482"/>
      <c r="H71" s="2482"/>
      <c r="I71" s="2482"/>
      <c r="J71" s="2482"/>
      <c r="K71" s="2482"/>
      <c r="L71" s="2482"/>
      <c r="M71" s="2482"/>
      <c r="N71" s="2482"/>
      <c r="O71" s="2482"/>
      <c r="P71" s="2482"/>
      <c r="Q71" s="2482"/>
      <c r="R71" s="2482"/>
      <c r="S71" s="2482"/>
      <c r="T71" s="2482"/>
      <c r="U71" s="2482"/>
      <c r="V71" s="2482"/>
      <c r="W71" s="2482"/>
      <c r="X71" s="2482"/>
      <c r="Y71" s="2482"/>
    </row>
    <row r="72" spans="6:25" ht="17.1" customHeight="1">
      <c r="F72" s="2482"/>
      <c r="G72" s="2482"/>
      <c r="H72" s="2482"/>
      <c r="I72" s="2482"/>
      <c r="J72" s="2482"/>
      <c r="K72" s="2482"/>
      <c r="L72" s="2482"/>
      <c r="M72" s="2482"/>
      <c r="N72" s="2482"/>
      <c r="O72" s="2482"/>
      <c r="P72" s="2482"/>
      <c r="Q72" s="2482"/>
      <c r="R72" s="2482"/>
      <c r="S72" s="2482"/>
      <c r="T72" s="2482"/>
      <c r="U72" s="2482"/>
      <c r="V72" s="2482"/>
      <c r="W72" s="2482"/>
      <c r="X72" s="2482"/>
      <c r="Y72" s="2482"/>
    </row>
    <row r="73" spans="6:25" ht="17.1" customHeight="1">
      <c r="F73" s="2482"/>
      <c r="G73" s="2482"/>
      <c r="H73" s="2482"/>
      <c r="I73" s="2482"/>
      <c r="J73" s="2482"/>
      <c r="K73" s="2482"/>
      <c r="L73" s="2482"/>
      <c r="M73" s="2482"/>
      <c r="N73" s="2482"/>
      <c r="O73" s="2482"/>
      <c r="P73" s="2482"/>
      <c r="Q73" s="2482"/>
      <c r="R73" s="2482"/>
      <c r="S73" s="2482"/>
      <c r="T73" s="2482"/>
      <c r="U73" s="2482"/>
      <c r="V73" s="2482"/>
      <c r="W73" s="2482"/>
      <c r="X73" s="2482"/>
      <c r="Y73" s="2482"/>
    </row>
    <row r="74" spans="6:25" ht="17.1" customHeight="1">
      <c r="F74" s="2482"/>
      <c r="G74" s="2482"/>
      <c r="H74" s="2482"/>
      <c r="I74" s="2482"/>
      <c r="J74" s="2482"/>
      <c r="K74" s="2482"/>
      <c r="L74" s="2482"/>
      <c r="M74" s="2482"/>
      <c r="N74" s="2482"/>
      <c r="O74" s="2482"/>
      <c r="P74" s="2482"/>
      <c r="Q74" s="2482"/>
      <c r="R74" s="2482"/>
      <c r="S74" s="2482"/>
      <c r="T74" s="2482"/>
      <c r="U74" s="2482"/>
      <c r="V74" s="2482"/>
      <c r="W74" s="2482"/>
      <c r="X74" s="2482"/>
      <c r="Y74" s="2482"/>
    </row>
    <row r="75" spans="6:25" ht="17.1" customHeight="1">
      <c r="F75" s="2482"/>
      <c r="G75" s="2482"/>
      <c r="H75" s="2482"/>
      <c r="I75" s="2482"/>
      <c r="J75" s="2482"/>
      <c r="K75" s="2482"/>
      <c r="L75" s="2482"/>
      <c r="M75" s="2482"/>
      <c r="N75" s="2482"/>
      <c r="O75" s="2482"/>
      <c r="P75" s="2482"/>
      <c r="Q75" s="2482"/>
      <c r="R75" s="2482"/>
      <c r="S75" s="2482"/>
      <c r="T75" s="2482"/>
      <c r="U75" s="2482"/>
      <c r="V75" s="2482"/>
      <c r="W75" s="2482"/>
      <c r="X75" s="2482"/>
      <c r="Y75" s="2482"/>
    </row>
    <row r="76" spans="6:25" ht="17.1" customHeight="1">
      <c r="F76" s="2482"/>
      <c r="G76" s="2482"/>
      <c r="H76" s="2482"/>
      <c r="I76" s="2482"/>
      <c r="J76" s="2482"/>
      <c r="K76" s="2482"/>
      <c r="L76" s="2482"/>
      <c r="M76" s="2482"/>
      <c r="N76" s="2482"/>
      <c r="O76" s="2482"/>
      <c r="P76" s="2482"/>
      <c r="Q76" s="2482"/>
      <c r="R76" s="2482"/>
      <c r="S76" s="2482"/>
      <c r="T76" s="2482"/>
      <c r="U76" s="2482"/>
      <c r="V76" s="2482"/>
      <c r="W76" s="2482"/>
      <c r="X76" s="2482"/>
      <c r="Y76" s="2482"/>
    </row>
    <row r="77" spans="6:25" ht="17.1" customHeight="1">
      <c r="F77" s="2482"/>
      <c r="G77" s="2482"/>
      <c r="H77" s="2482"/>
      <c r="I77" s="2482"/>
      <c r="J77" s="2482"/>
      <c r="K77" s="2482"/>
      <c r="L77" s="2482"/>
      <c r="M77" s="2482"/>
      <c r="N77" s="2482"/>
      <c r="O77" s="2482"/>
      <c r="P77" s="2482"/>
      <c r="Q77" s="2482"/>
      <c r="R77" s="2482"/>
      <c r="S77" s="2482"/>
      <c r="T77" s="2482"/>
      <c r="U77" s="2482"/>
      <c r="V77" s="2482"/>
      <c r="W77" s="2482"/>
      <c r="X77" s="2482"/>
      <c r="Y77" s="2482"/>
    </row>
    <row r="78" spans="6:25" ht="17.1" customHeight="1">
      <c r="F78" s="2482"/>
      <c r="G78" s="2482"/>
      <c r="H78" s="2482"/>
      <c r="I78" s="2482"/>
      <c r="J78" s="2482"/>
      <c r="K78" s="2482"/>
      <c r="L78" s="2482"/>
      <c r="M78" s="2482"/>
      <c r="N78" s="2482"/>
      <c r="O78" s="2482"/>
      <c r="P78" s="2482"/>
      <c r="Q78" s="2482"/>
      <c r="R78" s="2482"/>
      <c r="S78" s="2482"/>
      <c r="T78" s="2482"/>
      <c r="U78" s="2482"/>
      <c r="V78" s="2482"/>
      <c r="W78" s="2482"/>
      <c r="X78" s="2482"/>
      <c r="Y78" s="2482"/>
    </row>
    <row r="79" spans="6:25" ht="17.1" customHeight="1">
      <c r="F79" s="2482"/>
      <c r="G79" s="2482"/>
      <c r="H79" s="2482"/>
      <c r="I79" s="2482"/>
      <c r="J79" s="2482"/>
      <c r="K79" s="2482"/>
      <c r="L79" s="2482"/>
      <c r="M79" s="2482"/>
      <c r="N79" s="2482"/>
      <c r="O79" s="2482"/>
      <c r="P79" s="2482"/>
      <c r="Q79" s="2482"/>
      <c r="R79" s="2482"/>
      <c r="S79" s="2482"/>
      <c r="T79" s="2482"/>
      <c r="U79" s="2482"/>
      <c r="V79" s="2482"/>
      <c r="W79" s="2482"/>
      <c r="X79" s="2482"/>
      <c r="Y79" s="2482"/>
    </row>
    <row r="80" spans="6:25" ht="17.1" customHeight="1">
      <c r="F80" s="2482"/>
      <c r="G80" s="2482"/>
      <c r="H80" s="2482"/>
      <c r="I80" s="2482"/>
      <c r="J80" s="2482"/>
      <c r="K80" s="2482"/>
      <c r="L80" s="2482"/>
      <c r="M80" s="2482"/>
      <c r="N80" s="2482"/>
      <c r="O80" s="2482"/>
      <c r="P80" s="2482"/>
      <c r="Q80" s="2482"/>
      <c r="R80" s="2482"/>
      <c r="S80" s="2482"/>
      <c r="T80" s="2482"/>
      <c r="U80" s="2482"/>
      <c r="V80" s="2482"/>
      <c r="W80" s="2482"/>
      <c r="X80" s="2482"/>
      <c r="Y80" s="2482"/>
    </row>
    <row r="81" spans="6:25" ht="17.1" customHeight="1">
      <c r="F81" s="2482"/>
      <c r="G81" s="2482"/>
      <c r="H81" s="2482"/>
      <c r="I81" s="2482"/>
      <c r="J81" s="2482"/>
      <c r="K81" s="2482"/>
      <c r="L81" s="2482"/>
      <c r="M81" s="2482"/>
      <c r="N81" s="2482"/>
      <c r="O81" s="2482"/>
      <c r="P81" s="2482"/>
      <c r="Q81" s="2482"/>
      <c r="R81" s="2482"/>
      <c r="S81" s="2482"/>
      <c r="T81" s="2482"/>
      <c r="U81" s="2482"/>
      <c r="V81" s="2482"/>
      <c r="W81" s="2482"/>
      <c r="X81" s="2482"/>
      <c r="Y81" s="2482"/>
    </row>
    <row r="82" spans="6:25" ht="17.1" customHeight="1">
      <c r="F82" s="2482"/>
      <c r="G82" s="2482"/>
      <c r="H82" s="2482"/>
      <c r="I82" s="2482"/>
      <c r="J82" s="2482"/>
      <c r="K82" s="2482"/>
      <c r="L82" s="2482"/>
      <c r="M82" s="2482"/>
      <c r="N82" s="2482"/>
      <c r="O82" s="2482"/>
      <c r="P82" s="2482"/>
      <c r="Q82" s="2482"/>
      <c r="R82" s="2482"/>
      <c r="S82" s="2482"/>
      <c r="T82" s="2482"/>
      <c r="U82" s="2482"/>
      <c r="V82" s="2482"/>
      <c r="W82" s="2482"/>
      <c r="X82" s="2482"/>
      <c r="Y82" s="2482"/>
    </row>
    <row r="83" spans="6:25" ht="17.1" customHeight="1">
      <c r="F83" s="2482"/>
      <c r="G83" s="2482"/>
      <c r="H83" s="2482"/>
      <c r="I83" s="2482"/>
      <c r="J83" s="2482"/>
      <c r="K83" s="2482"/>
      <c r="L83" s="2482"/>
      <c r="M83" s="2482"/>
      <c r="N83" s="2482"/>
      <c r="O83" s="2482"/>
      <c r="P83" s="2482"/>
      <c r="Q83" s="2482"/>
      <c r="R83" s="2482"/>
      <c r="S83" s="2482"/>
      <c r="T83" s="2482"/>
      <c r="U83" s="2482"/>
      <c r="V83" s="2482"/>
      <c r="W83" s="2482"/>
      <c r="X83" s="2482"/>
      <c r="Y83" s="2482"/>
    </row>
    <row r="84" spans="6:25" ht="17.1" customHeight="1">
      <c r="F84" s="2482"/>
      <c r="G84" s="2482"/>
      <c r="H84" s="2482"/>
      <c r="I84" s="2482"/>
      <c r="J84" s="2482"/>
      <c r="K84" s="2482"/>
      <c r="L84" s="2482"/>
      <c r="M84" s="2482"/>
      <c r="N84" s="2482"/>
      <c r="O84" s="2482"/>
      <c r="P84" s="2482"/>
      <c r="Q84" s="2482"/>
      <c r="R84" s="2482"/>
      <c r="S84" s="2482"/>
      <c r="T84" s="2482"/>
      <c r="U84" s="2482"/>
      <c r="V84" s="2482"/>
      <c r="W84" s="2482"/>
      <c r="X84" s="2482"/>
      <c r="Y84" s="2482"/>
    </row>
    <row r="85" spans="6:25" ht="17.1" customHeight="1">
      <c r="F85" s="2482"/>
      <c r="G85" s="2482"/>
      <c r="H85" s="2482"/>
      <c r="I85" s="2482"/>
      <c r="J85" s="2482"/>
      <c r="K85" s="2482"/>
      <c r="L85" s="2482"/>
      <c r="M85" s="2482"/>
      <c r="N85" s="2482"/>
      <c r="O85" s="2482"/>
      <c r="P85" s="2482"/>
      <c r="Q85" s="2482"/>
      <c r="R85" s="2482"/>
      <c r="S85" s="2482"/>
      <c r="T85" s="2482"/>
      <c r="U85" s="2482"/>
      <c r="V85" s="2482"/>
      <c r="W85" s="2482"/>
      <c r="X85" s="2482"/>
      <c r="Y85" s="2482"/>
    </row>
    <row r="86" spans="6:25" ht="17.1" customHeight="1">
      <c r="F86" s="2482"/>
      <c r="G86" s="2482"/>
      <c r="H86" s="2482"/>
      <c r="I86" s="2482"/>
      <c r="J86" s="2482"/>
      <c r="K86" s="2482"/>
      <c r="L86" s="2482"/>
      <c r="M86" s="2482"/>
      <c r="N86" s="2482"/>
      <c r="O86" s="2482"/>
      <c r="P86" s="2482"/>
      <c r="Q86" s="2482"/>
      <c r="R86" s="2482"/>
      <c r="S86" s="2482"/>
      <c r="T86" s="2482"/>
      <c r="U86" s="2482"/>
      <c r="V86" s="2482"/>
      <c r="W86" s="2482"/>
      <c r="X86" s="2482"/>
      <c r="Y86" s="2482"/>
    </row>
    <row r="87" spans="6:25" ht="17.1" customHeight="1">
      <c r="F87" s="2482"/>
      <c r="G87" s="2482"/>
      <c r="H87" s="2482"/>
      <c r="I87" s="2482"/>
      <c r="J87" s="2482"/>
      <c r="K87" s="2482"/>
      <c r="L87" s="2482"/>
      <c r="M87" s="2482"/>
      <c r="N87" s="2482"/>
      <c r="O87" s="2482"/>
      <c r="P87" s="2482"/>
      <c r="Q87" s="2482"/>
      <c r="R87" s="2482"/>
      <c r="S87" s="2482"/>
      <c r="T87" s="2482"/>
      <c r="U87" s="2482"/>
      <c r="V87" s="2482"/>
      <c r="W87" s="2482"/>
      <c r="X87" s="2482"/>
      <c r="Y87" s="2482"/>
    </row>
    <row r="88" spans="6:25" ht="17.1" customHeight="1">
      <c r="F88" s="2482"/>
      <c r="G88" s="2482"/>
      <c r="H88" s="2482"/>
      <c r="I88" s="2482"/>
      <c r="J88" s="2482"/>
      <c r="K88" s="2482"/>
      <c r="L88" s="2482"/>
      <c r="M88" s="2482"/>
      <c r="N88" s="2482"/>
      <c r="O88" s="2482"/>
      <c r="P88" s="2482"/>
      <c r="Q88" s="2482"/>
      <c r="R88" s="2482"/>
      <c r="S88" s="2482"/>
      <c r="T88" s="2482"/>
      <c r="U88" s="2482"/>
      <c r="V88" s="2482"/>
      <c r="W88" s="2482"/>
      <c r="X88" s="2482"/>
      <c r="Y88" s="2482"/>
    </row>
    <row r="89" spans="6:25" ht="17.1" customHeight="1">
      <c r="F89" s="2482"/>
      <c r="G89" s="2482"/>
      <c r="H89" s="2482"/>
      <c r="I89" s="2482"/>
      <c r="J89" s="2482"/>
      <c r="K89" s="2482"/>
      <c r="L89" s="2482"/>
      <c r="M89" s="2482"/>
      <c r="N89" s="2482"/>
      <c r="O89" s="2482"/>
      <c r="P89" s="2482"/>
      <c r="Q89" s="2482"/>
      <c r="R89" s="2482"/>
      <c r="S89" s="2482"/>
      <c r="T89" s="2482"/>
      <c r="U89" s="2482"/>
      <c r="V89" s="2482"/>
      <c r="W89" s="2482"/>
      <c r="X89" s="2482"/>
      <c r="Y89" s="2482"/>
    </row>
    <row r="90" spans="6:25" ht="17.1" customHeight="1">
      <c r="F90" s="2482"/>
      <c r="G90" s="2482"/>
      <c r="H90" s="2482"/>
      <c r="I90" s="2482"/>
      <c r="J90" s="2482"/>
      <c r="K90" s="2482"/>
      <c r="L90" s="2482"/>
      <c r="M90" s="2482"/>
      <c r="N90" s="2482"/>
      <c r="O90" s="2482"/>
      <c r="P90" s="2482"/>
      <c r="Q90" s="2482"/>
      <c r="R90" s="2482"/>
      <c r="S90" s="2482"/>
      <c r="T90" s="2482"/>
      <c r="U90" s="2482"/>
      <c r="V90" s="2482"/>
      <c r="W90" s="2482"/>
      <c r="X90" s="2482"/>
      <c r="Y90" s="2482"/>
    </row>
    <row r="91" spans="6:25" ht="17.1" customHeight="1">
      <c r="F91" s="2482"/>
      <c r="G91" s="2482"/>
      <c r="H91" s="2482"/>
      <c r="I91" s="2482"/>
      <c r="J91" s="2482"/>
      <c r="K91" s="2482"/>
      <c r="L91" s="2482"/>
      <c r="M91" s="2482"/>
      <c r="N91" s="2482"/>
      <c r="O91" s="2482"/>
      <c r="P91" s="2482"/>
      <c r="Q91" s="2482"/>
      <c r="R91" s="2482"/>
      <c r="S91" s="2482"/>
      <c r="T91" s="2482"/>
      <c r="U91" s="2482"/>
      <c r="V91" s="2482"/>
      <c r="W91" s="2482"/>
      <c r="X91" s="2482"/>
      <c r="Y91" s="2482"/>
    </row>
    <row r="92" spans="6:25" ht="17.1" customHeight="1">
      <c r="F92" s="2482"/>
      <c r="G92" s="2482"/>
      <c r="H92" s="2482"/>
      <c r="I92" s="2482"/>
      <c r="J92" s="2482"/>
      <c r="K92" s="2482"/>
      <c r="L92" s="2482"/>
      <c r="M92" s="2482"/>
      <c r="N92" s="2482"/>
      <c r="O92" s="2482"/>
      <c r="P92" s="2482"/>
      <c r="Q92" s="2482"/>
      <c r="R92" s="2482"/>
      <c r="S92" s="2482"/>
      <c r="T92" s="2482"/>
      <c r="U92" s="2482"/>
      <c r="V92" s="2482"/>
      <c r="W92" s="2482"/>
      <c r="X92" s="2482"/>
      <c r="Y92" s="2482"/>
    </row>
    <row r="93" spans="6:25" ht="17.1" customHeight="1">
      <c r="F93" s="2482"/>
      <c r="G93" s="2482"/>
      <c r="H93" s="2482"/>
      <c r="I93" s="2482"/>
      <c r="J93" s="2482"/>
      <c r="K93" s="2482"/>
      <c r="L93" s="2482"/>
      <c r="M93" s="2482"/>
      <c r="N93" s="2482"/>
      <c r="O93" s="2482"/>
      <c r="P93" s="2482"/>
      <c r="Q93" s="2482"/>
      <c r="R93" s="2482"/>
      <c r="S93" s="2482"/>
      <c r="T93" s="2482"/>
      <c r="U93" s="2482"/>
      <c r="V93" s="2482"/>
      <c r="W93" s="2482"/>
      <c r="X93" s="2482"/>
      <c r="Y93" s="2482"/>
    </row>
    <row r="94" spans="6:25" ht="17.1" customHeight="1">
      <c r="F94" s="2482"/>
      <c r="G94" s="2482"/>
      <c r="H94" s="2482"/>
      <c r="I94" s="2482"/>
      <c r="J94" s="2482"/>
      <c r="K94" s="2482"/>
      <c r="L94" s="2482"/>
      <c r="M94" s="2482"/>
      <c r="N94" s="2482"/>
      <c r="O94" s="2482"/>
      <c r="P94" s="2482"/>
      <c r="Q94" s="2482"/>
      <c r="R94" s="2482"/>
      <c r="S94" s="2482"/>
      <c r="T94" s="2482"/>
      <c r="U94" s="2482"/>
      <c r="V94" s="2482"/>
      <c r="W94" s="2482"/>
      <c r="X94" s="2482"/>
      <c r="Y94" s="2482"/>
    </row>
    <row r="95" spans="6:25" ht="17.1" customHeight="1">
      <c r="F95" s="2482"/>
      <c r="G95" s="2482"/>
      <c r="H95" s="2482"/>
      <c r="I95" s="2482"/>
      <c r="J95" s="2482"/>
      <c r="K95" s="2482"/>
      <c r="L95" s="2482"/>
      <c r="M95" s="2482"/>
      <c r="N95" s="2482"/>
      <c r="O95" s="2482"/>
      <c r="P95" s="2482"/>
      <c r="Q95" s="2482"/>
      <c r="R95" s="2482"/>
      <c r="S95" s="2482"/>
      <c r="T95" s="2482"/>
      <c r="U95" s="2482"/>
      <c r="V95" s="2482"/>
      <c r="W95" s="2482"/>
      <c r="X95" s="2482"/>
      <c r="Y95" s="2482"/>
    </row>
    <row r="96" spans="6:25" ht="17.1" customHeight="1">
      <c r="F96" s="2482"/>
      <c r="G96" s="2482"/>
      <c r="H96" s="2482"/>
      <c r="I96" s="2482"/>
      <c r="J96" s="2482"/>
      <c r="K96" s="2482"/>
      <c r="L96" s="2482"/>
      <c r="M96" s="2482"/>
      <c r="N96" s="2482"/>
      <c r="O96" s="2482"/>
      <c r="P96" s="2482"/>
      <c r="Q96" s="2482"/>
      <c r="R96" s="2482"/>
      <c r="S96" s="2482"/>
      <c r="T96" s="2482"/>
      <c r="U96" s="2482"/>
      <c r="V96" s="2482"/>
      <c r="W96" s="2482"/>
      <c r="X96" s="2482"/>
      <c r="Y96" s="2482"/>
    </row>
    <row r="97" spans="6:25" ht="17.1" customHeight="1">
      <c r="F97" s="2482"/>
      <c r="G97" s="2482"/>
      <c r="H97" s="2482"/>
      <c r="I97" s="2482"/>
      <c r="J97" s="2482"/>
      <c r="K97" s="2482"/>
      <c r="L97" s="2482"/>
      <c r="M97" s="2482"/>
      <c r="N97" s="2482"/>
      <c r="O97" s="2482"/>
      <c r="P97" s="2482"/>
      <c r="Q97" s="2482"/>
      <c r="R97" s="2482"/>
      <c r="S97" s="2482"/>
      <c r="T97" s="2482"/>
      <c r="U97" s="2482"/>
      <c r="V97" s="2482"/>
      <c r="W97" s="2482"/>
      <c r="X97" s="2482"/>
      <c r="Y97" s="2482"/>
    </row>
    <row r="98" spans="6:25" ht="17.1" customHeight="1">
      <c r="F98" s="2482"/>
      <c r="G98" s="2482"/>
      <c r="H98" s="2482"/>
      <c r="I98" s="2482"/>
      <c r="J98" s="2482"/>
      <c r="K98" s="2482"/>
      <c r="L98" s="2482"/>
      <c r="M98" s="2482"/>
      <c r="N98" s="2482"/>
      <c r="O98" s="2482"/>
      <c r="P98" s="2482"/>
      <c r="Q98" s="2482"/>
      <c r="R98" s="2482"/>
      <c r="S98" s="2482"/>
      <c r="T98" s="2482"/>
      <c r="U98" s="2482"/>
      <c r="V98" s="2482"/>
      <c r="W98" s="2482"/>
      <c r="X98" s="2482"/>
      <c r="Y98" s="2482"/>
    </row>
    <row r="99" spans="6:25" ht="17.1" customHeight="1">
      <c r="F99" s="2482"/>
      <c r="G99" s="2482"/>
      <c r="H99" s="2482"/>
      <c r="I99" s="2482"/>
      <c r="J99" s="2482"/>
      <c r="K99" s="2482"/>
      <c r="L99" s="2482"/>
      <c r="M99" s="2482"/>
      <c r="N99" s="2482"/>
      <c r="O99" s="2482"/>
      <c r="P99" s="2482"/>
      <c r="Q99" s="2482"/>
      <c r="R99" s="2482"/>
      <c r="S99" s="2482"/>
      <c r="T99" s="2482"/>
      <c r="U99" s="2482"/>
      <c r="V99" s="2482"/>
      <c r="W99" s="2482"/>
      <c r="X99" s="2482"/>
      <c r="Y99" s="2482"/>
    </row>
    <row r="100" spans="6:25" ht="17.1" customHeight="1">
      <c r="F100" s="2482"/>
      <c r="G100" s="2482"/>
      <c r="H100" s="2482"/>
      <c r="I100" s="2482"/>
      <c r="J100" s="2482"/>
      <c r="K100" s="2482"/>
      <c r="L100" s="2482"/>
      <c r="M100" s="2482"/>
      <c r="N100" s="2482"/>
      <c r="O100" s="2482"/>
      <c r="P100" s="2482"/>
      <c r="Q100" s="2482"/>
      <c r="R100" s="2482"/>
      <c r="S100" s="2482"/>
      <c r="T100" s="2482"/>
      <c r="U100" s="2482"/>
      <c r="V100" s="2482"/>
      <c r="W100" s="2482"/>
      <c r="X100" s="2482"/>
      <c r="Y100" s="2482"/>
    </row>
    <row r="101" spans="6:25" ht="17.1" customHeight="1">
      <c r="F101" s="2482"/>
      <c r="G101" s="2482"/>
      <c r="H101" s="2482"/>
      <c r="I101" s="2482"/>
      <c r="J101" s="2482"/>
      <c r="K101" s="2482"/>
      <c r="L101" s="2482"/>
      <c r="M101" s="2482"/>
      <c r="N101" s="2482"/>
      <c r="O101" s="2482"/>
      <c r="P101" s="2482"/>
      <c r="Q101" s="2482"/>
      <c r="R101" s="2482"/>
      <c r="S101" s="2482"/>
      <c r="T101" s="2482"/>
      <c r="U101" s="2482"/>
      <c r="V101" s="2482"/>
      <c r="W101" s="2482"/>
      <c r="X101" s="2482"/>
      <c r="Y101" s="2482"/>
    </row>
    <row r="102" spans="6:25" ht="17.1" customHeight="1">
      <c r="F102" s="2482"/>
      <c r="G102" s="2482"/>
      <c r="H102" s="2482"/>
      <c r="I102" s="2482"/>
      <c r="J102" s="2482"/>
      <c r="K102" s="2482"/>
      <c r="L102" s="2482"/>
      <c r="M102" s="2482"/>
      <c r="N102" s="2482"/>
      <c r="O102" s="2482"/>
      <c r="P102" s="2482"/>
      <c r="Q102" s="2482"/>
      <c r="R102" s="2482"/>
      <c r="S102" s="2482"/>
      <c r="T102" s="2482"/>
      <c r="U102" s="2482"/>
      <c r="V102" s="2482"/>
      <c r="W102" s="2482"/>
      <c r="X102" s="2482"/>
      <c r="Y102" s="2482"/>
    </row>
    <row r="103" spans="6:25" ht="17.1" customHeight="1">
      <c r="F103" s="2482"/>
      <c r="G103" s="2482"/>
      <c r="H103" s="2482"/>
      <c r="I103" s="2482"/>
      <c r="J103" s="2482"/>
      <c r="K103" s="2482"/>
      <c r="L103" s="2482"/>
      <c r="M103" s="2482"/>
      <c r="N103" s="2482"/>
      <c r="O103" s="2482"/>
      <c r="P103" s="2482"/>
      <c r="Q103" s="2482"/>
      <c r="R103" s="2482"/>
      <c r="S103" s="2482"/>
      <c r="T103" s="2482"/>
      <c r="U103" s="2482"/>
      <c r="V103" s="2482"/>
      <c r="W103" s="2482"/>
      <c r="X103" s="2482"/>
      <c r="Y103" s="2482"/>
    </row>
    <row r="104" spans="6:25" ht="17.1" customHeight="1">
      <c r="F104" s="2482"/>
      <c r="G104" s="2482"/>
      <c r="H104" s="2482"/>
      <c r="I104" s="2482"/>
      <c r="J104" s="2482"/>
      <c r="K104" s="2482"/>
      <c r="L104" s="2482"/>
      <c r="M104" s="2482"/>
      <c r="N104" s="2482"/>
      <c r="O104" s="2482"/>
      <c r="P104" s="2482"/>
      <c r="Q104" s="2482"/>
      <c r="R104" s="2482"/>
      <c r="S104" s="2482"/>
      <c r="T104" s="2482"/>
      <c r="U104" s="2482"/>
      <c r="V104" s="2482"/>
      <c r="W104" s="2482"/>
      <c r="X104" s="2482"/>
      <c r="Y104" s="2482"/>
    </row>
    <row r="105" spans="6:25" ht="17.1" customHeight="1">
      <c r="F105" s="2482"/>
      <c r="G105" s="2482"/>
      <c r="H105" s="2482"/>
      <c r="I105" s="2482"/>
      <c r="J105" s="2482"/>
      <c r="K105" s="2482"/>
      <c r="L105" s="2482"/>
      <c r="M105" s="2482"/>
      <c r="N105" s="2482"/>
      <c r="O105" s="2482"/>
      <c r="P105" s="2482"/>
      <c r="Q105" s="2482"/>
      <c r="R105" s="2482"/>
      <c r="S105" s="2482"/>
      <c r="T105" s="2482"/>
      <c r="U105" s="2482"/>
      <c r="V105" s="2482"/>
      <c r="W105" s="2482"/>
      <c r="X105" s="2482"/>
      <c r="Y105" s="2482"/>
    </row>
    <row r="106" spans="6:25" ht="17.1" customHeight="1">
      <c r="F106" s="2482"/>
      <c r="G106" s="2482"/>
      <c r="H106" s="2482"/>
      <c r="I106" s="2482"/>
      <c r="J106" s="2482"/>
      <c r="K106" s="2482"/>
      <c r="L106" s="2482"/>
      <c r="M106" s="2482"/>
      <c r="N106" s="2482"/>
      <c r="O106" s="2482"/>
      <c r="P106" s="2482"/>
      <c r="Q106" s="2482"/>
      <c r="R106" s="2482"/>
      <c r="S106" s="2482"/>
      <c r="T106" s="2482"/>
      <c r="U106" s="2482"/>
      <c r="V106" s="2482"/>
      <c r="W106" s="2482"/>
      <c r="X106" s="2482"/>
      <c r="Y106" s="2482"/>
    </row>
    <row r="107" spans="6:25" ht="17.1" customHeight="1">
      <c r="F107" s="2482"/>
      <c r="G107" s="2482"/>
      <c r="H107" s="2482"/>
      <c r="I107" s="2482"/>
      <c r="J107" s="2482"/>
      <c r="K107" s="2482"/>
      <c r="L107" s="2482"/>
      <c r="M107" s="2482"/>
      <c r="N107" s="2482"/>
      <c r="O107" s="2482"/>
      <c r="P107" s="2482"/>
      <c r="Q107" s="2482"/>
      <c r="R107" s="2482"/>
      <c r="S107" s="2482"/>
      <c r="T107" s="2482"/>
      <c r="U107" s="2482"/>
      <c r="V107" s="2482"/>
      <c r="W107" s="2482"/>
      <c r="X107" s="2482"/>
      <c r="Y107" s="2482"/>
    </row>
    <row r="108" spans="6:25" ht="17.1" customHeight="1">
      <c r="F108" s="2482"/>
      <c r="G108" s="2482"/>
      <c r="H108" s="2482"/>
      <c r="I108" s="2482"/>
      <c r="J108" s="2482"/>
      <c r="K108" s="2482"/>
      <c r="L108" s="2482"/>
      <c r="M108" s="2482"/>
      <c r="N108" s="2482"/>
      <c r="O108" s="2482"/>
      <c r="P108" s="2482"/>
      <c r="Q108" s="2482"/>
      <c r="R108" s="2482"/>
      <c r="S108" s="2482"/>
      <c r="T108" s="2482"/>
      <c r="U108" s="2482"/>
      <c r="V108" s="2482"/>
      <c r="W108" s="2482"/>
      <c r="X108" s="2482"/>
      <c r="Y108" s="2482"/>
    </row>
    <row r="109" spans="6:25" ht="17.1" customHeight="1">
      <c r="F109" s="2482"/>
      <c r="G109" s="2482"/>
      <c r="H109" s="2482"/>
      <c r="I109" s="2482"/>
      <c r="J109" s="2482"/>
      <c r="K109" s="2482"/>
      <c r="L109" s="2482"/>
      <c r="M109" s="2482"/>
      <c r="N109" s="2482"/>
      <c r="O109" s="2482"/>
      <c r="P109" s="2482"/>
      <c r="Q109" s="2482"/>
      <c r="R109" s="2482"/>
      <c r="S109" s="2482"/>
      <c r="T109" s="2482"/>
      <c r="U109" s="2482"/>
      <c r="V109" s="2482"/>
      <c r="W109" s="2482"/>
      <c r="X109" s="2482"/>
      <c r="Y109" s="2482"/>
    </row>
    <row r="110" spans="6:25" ht="17.1" customHeight="1">
      <c r="F110" s="2482"/>
      <c r="G110" s="2482"/>
      <c r="H110" s="2482"/>
      <c r="I110" s="2482"/>
      <c r="J110" s="2482"/>
      <c r="K110" s="2482"/>
      <c r="L110" s="2482"/>
      <c r="M110" s="2482"/>
      <c r="N110" s="2482"/>
      <c r="O110" s="2482"/>
      <c r="P110" s="2482"/>
      <c r="Q110" s="2482"/>
      <c r="R110" s="2482"/>
      <c r="S110" s="2482"/>
      <c r="T110" s="2482"/>
      <c r="U110" s="2482"/>
      <c r="V110" s="2482"/>
      <c r="W110" s="2482"/>
      <c r="X110" s="2482"/>
      <c r="Y110" s="2482"/>
    </row>
    <row r="111" spans="6:25" ht="17.1" customHeight="1">
      <c r="F111" s="2482"/>
      <c r="G111" s="2482"/>
      <c r="H111" s="2482"/>
      <c r="I111" s="2482"/>
      <c r="J111" s="2482"/>
      <c r="K111" s="2482"/>
      <c r="L111" s="2482"/>
      <c r="M111" s="2482"/>
      <c r="N111" s="2482"/>
      <c r="O111" s="2482"/>
      <c r="P111" s="2482"/>
      <c r="Q111" s="2482"/>
      <c r="R111" s="2482"/>
      <c r="S111" s="2482"/>
      <c r="T111" s="2482"/>
      <c r="U111" s="2482"/>
      <c r="V111" s="2482"/>
      <c r="W111" s="2482"/>
      <c r="X111" s="2482"/>
      <c r="Y111" s="2482"/>
    </row>
    <row r="112" spans="6:25" ht="17.1" customHeight="1">
      <c r="F112" s="2482"/>
      <c r="G112" s="2482"/>
      <c r="H112" s="2482"/>
      <c r="I112" s="2482"/>
      <c r="J112" s="2482"/>
      <c r="K112" s="2482"/>
      <c r="L112" s="2482"/>
      <c r="M112" s="2482"/>
      <c r="N112" s="2482"/>
      <c r="O112" s="2482"/>
      <c r="P112" s="2482"/>
      <c r="Q112" s="2482"/>
      <c r="R112" s="2482"/>
      <c r="S112" s="2482"/>
      <c r="T112" s="2482"/>
      <c r="U112" s="2482"/>
      <c r="V112" s="2482"/>
      <c r="W112" s="2482"/>
      <c r="X112" s="2482"/>
      <c r="Y112" s="2482"/>
    </row>
    <row r="113" spans="6:25" ht="17.1" customHeight="1">
      <c r="F113" s="2482"/>
      <c r="G113" s="2482"/>
      <c r="H113" s="2482"/>
      <c r="I113" s="2482"/>
      <c r="J113" s="2482"/>
      <c r="K113" s="2482"/>
      <c r="L113" s="2482"/>
      <c r="M113" s="2482"/>
      <c r="N113" s="2482"/>
      <c r="O113" s="2482"/>
      <c r="P113" s="2482"/>
      <c r="Q113" s="2482"/>
      <c r="R113" s="2482"/>
      <c r="S113" s="2482"/>
      <c r="T113" s="2482"/>
      <c r="U113" s="2482"/>
      <c r="V113" s="2482"/>
      <c r="W113" s="2482"/>
      <c r="X113" s="2482"/>
      <c r="Y113" s="2482"/>
    </row>
    <row r="114" spans="6:25" ht="17.1" customHeight="1">
      <c r="F114" s="2482"/>
      <c r="G114" s="2482"/>
      <c r="H114" s="2482"/>
      <c r="I114" s="2482"/>
      <c r="J114" s="2482"/>
      <c r="K114" s="2482"/>
      <c r="L114" s="2482"/>
      <c r="M114" s="2482"/>
      <c r="N114" s="2482"/>
      <c r="O114" s="2482"/>
      <c r="P114" s="2482"/>
      <c r="Q114" s="2482"/>
      <c r="R114" s="2482"/>
      <c r="S114" s="2482"/>
      <c r="T114" s="2482"/>
      <c r="U114" s="2482"/>
      <c r="V114" s="2482"/>
      <c r="W114" s="2482"/>
      <c r="X114" s="2482"/>
      <c r="Y114" s="2482"/>
    </row>
    <row r="115" spans="6:25" ht="17.1" customHeight="1">
      <c r="F115" s="2482"/>
      <c r="G115" s="2482"/>
      <c r="H115" s="2482"/>
      <c r="I115" s="2482"/>
      <c r="J115" s="2482"/>
      <c r="K115" s="2482"/>
      <c r="L115" s="2482"/>
      <c r="M115" s="2482"/>
      <c r="N115" s="2482"/>
      <c r="O115" s="2482"/>
      <c r="P115" s="2482"/>
      <c r="Q115" s="2482"/>
      <c r="R115" s="2482"/>
      <c r="S115" s="2482"/>
      <c r="T115" s="2482"/>
      <c r="U115" s="2482"/>
      <c r="V115" s="2482"/>
      <c r="W115" s="2482"/>
      <c r="X115" s="2482"/>
      <c r="Y115" s="2482"/>
    </row>
    <row r="116" spans="6:25" ht="17.1" customHeight="1">
      <c r="F116" s="2482"/>
      <c r="G116" s="2482"/>
      <c r="H116" s="2482"/>
      <c r="I116" s="2482"/>
      <c r="J116" s="2482"/>
      <c r="K116" s="2482"/>
      <c r="L116" s="2482"/>
      <c r="M116" s="2482"/>
      <c r="N116" s="2482"/>
      <c r="O116" s="2482"/>
      <c r="P116" s="2482"/>
      <c r="Q116" s="2482"/>
      <c r="R116" s="2482"/>
      <c r="S116" s="2482"/>
      <c r="T116" s="2482"/>
      <c r="U116" s="2482"/>
      <c r="V116" s="2482"/>
      <c r="W116" s="2482"/>
      <c r="X116" s="2482"/>
      <c r="Y116" s="2482"/>
    </row>
    <row r="117" spans="6:25" ht="17.1" customHeight="1">
      <c r="F117" s="2482"/>
      <c r="G117" s="2482"/>
      <c r="H117" s="2482"/>
      <c r="I117" s="2482"/>
      <c r="J117" s="2482"/>
      <c r="K117" s="2482"/>
      <c r="L117" s="2482"/>
      <c r="M117" s="2482"/>
      <c r="N117" s="2482"/>
      <c r="O117" s="2482"/>
      <c r="P117" s="2482"/>
      <c r="Q117" s="2482"/>
      <c r="R117" s="2482"/>
      <c r="S117" s="2482"/>
      <c r="T117" s="2482"/>
      <c r="U117" s="2482"/>
      <c r="V117" s="2482"/>
      <c r="W117" s="2482"/>
      <c r="X117" s="2482"/>
      <c r="Y117" s="2482"/>
    </row>
    <row r="118" spans="6:25" ht="17.1" customHeight="1">
      <c r="F118" s="2482"/>
      <c r="G118" s="2482"/>
      <c r="H118" s="2482"/>
      <c r="I118" s="2482"/>
      <c r="J118" s="2482"/>
      <c r="K118" s="2482"/>
      <c r="L118" s="2482"/>
      <c r="M118" s="2482"/>
      <c r="N118" s="2482"/>
      <c r="O118" s="2482"/>
      <c r="P118" s="2482"/>
      <c r="Q118" s="2482"/>
      <c r="R118" s="2482"/>
      <c r="S118" s="2482"/>
      <c r="T118" s="2482"/>
      <c r="U118" s="2482"/>
      <c r="V118" s="2482"/>
      <c r="W118" s="2482"/>
      <c r="X118" s="2482"/>
      <c r="Y118" s="2482"/>
    </row>
    <row r="119" spans="6:25" ht="17.1" customHeight="1">
      <c r="F119" s="2482"/>
      <c r="G119" s="2482"/>
      <c r="H119" s="2482"/>
      <c r="I119" s="2482"/>
      <c r="J119" s="2482"/>
      <c r="K119" s="2482"/>
      <c r="L119" s="2482"/>
      <c r="M119" s="2482"/>
      <c r="N119" s="2482"/>
      <c r="O119" s="2482"/>
      <c r="P119" s="2482"/>
      <c r="Q119" s="2482"/>
      <c r="R119" s="2482"/>
      <c r="S119" s="2482"/>
      <c r="T119" s="2482"/>
      <c r="U119" s="2482"/>
      <c r="V119" s="2482"/>
      <c r="W119" s="2482"/>
      <c r="X119" s="2482"/>
      <c r="Y119" s="2482"/>
    </row>
    <row r="120" spans="6:25" ht="17.1" customHeight="1">
      <c r="F120" s="2482"/>
      <c r="G120" s="2482"/>
      <c r="H120" s="2482"/>
      <c r="I120" s="2482"/>
      <c r="J120" s="2482"/>
      <c r="K120" s="2482"/>
      <c r="L120" s="2482"/>
      <c r="M120" s="2482"/>
      <c r="N120" s="2482"/>
      <c r="O120" s="2482"/>
      <c r="P120" s="2482"/>
      <c r="Q120" s="2482"/>
      <c r="R120" s="2482"/>
      <c r="S120" s="2482"/>
      <c r="T120" s="2482"/>
      <c r="U120" s="2482"/>
      <c r="V120" s="2482"/>
      <c r="W120" s="2482"/>
      <c r="X120" s="2482"/>
      <c r="Y120" s="2482"/>
    </row>
    <row r="121" spans="6:25" ht="17.1" customHeight="1">
      <c r="F121" s="2482"/>
      <c r="G121" s="2482"/>
      <c r="H121" s="2482"/>
      <c r="I121" s="2482"/>
      <c r="J121" s="2482"/>
      <c r="K121" s="2482"/>
      <c r="L121" s="2482"/>
      <c r="M121" s="2482"/>
      <c r="N121" s="2482"/>
      <c r="O121" s="2482"/>
      <c r="P121" s="2482"/>
      <c r="Q121" s="2482"/>
      <c r="R121" s="2482"/>
      <c r="S121" s="2482"/>
      <c r="T121" s="2482"/>
      <c r="U121" s="2482"/>
      <c r="V121" s="2482"/>
      <c r="W121" s="2482"/>
      <c r="X121" s="2482"/>
      <c r="Y121" s="2482"/>
    </row>
    <row r="122" spans="6:25" ht="17.1" customHeight="1">
      <c r="F122" s="2482"/>
      <c r="G122" s="2482"/>
      <c r="H122" s="2482"/>
      <c r="I122" s="2482"/>
      <c r="J122" s="2482"/>
      <c r="K122" s="2482"/>
      <c r="L122" s="2482"/>
      <c r="M122" s="2482"/>
      <c r="N122" s="2482"/>
      <c r="O122" s="2482"/>
      <c r="P122" s="2482"/>
      <c r="Q122" s="2482"/>
      <c r="R122" s="2482"/>
      <c r="S122" s="2482"/>
      <c r="T122" s="2482"/>
      <c r="U122" s="2482"/>
      <c r="V122" s="2482"/>
      <c r="W122" s="2482"/>
      <c r="X122" s="2482"/>
      <c r="Y122" s="2482"/>
    </row>
    <row r="123" spans="6:25" ht="17.1" customHeight="1">
      <c r="F123" s="2482"/>
      <c r="G123" s="2482"/>
      <c r="H123" s="2482"/>
      <c r="I123" s="2482"/>
      <c r="J123" s="2482"/>
      <c r="K123" s="2482"/>
      <c r="L123" s="2482"/>
      <c r="M123" s="2482"/>
      <c r="N123" s="2482"/>
      <c r="O123" s="2482"/>
      <c r="P123" s="2482"/>
      <c r="Q123" s="2482"/>
      <c r="R123" s="2482"/>
      <c r="S123" s="2482"/>
      <c r="T123" s="2482"/>
      <c r="U123" s="2482"/>
      <c r="V123" s="2482"/>
      <c r="W123" s="2482"/>
      <c r="X123" s="2482"/>
      <c r="Y123" s="2482"/>
    </row>
    <row r="124" spans="6:25" ht="17.1" customHeight="1">
      <c r="F124" s="2482"/>
      <c r="G124" s="2482"/>
      <c r="H124" s="2482"/>
      <c r="I124" s="2482"/>
      <c r="J124" s="2482"/>
      <c r="K124" s="2482"/>
      <c r="L124" s="2482"/>
      <c r="M124" s="2482"/>
      <c r="N124" s="2482"/>
      <c r="O124" s="2482"/>
      <c r="P124" s="2482"/>
      <c r="Q124" s="2482"/>
      <c r="R124" s="2482"/>
      <c r="S124" s="2482"/>
      <c r="T124" s="2482"/>
      <c r="U124" s="2482"/>
      <c r="V124" s="2482"/>
      <c r="W124" s="2482"/>
      <c r="X124" s="2482"/>
      <c r="Y124" s="2482"/>
    </row>
    <row r="125" spans="6:25" ht="17.1" customHeight="1">
      <c r="F125" s="2482"/>
      <c r="G125" s="2482"/>
      <c r="H125" s="2482"/>
      <c r="I125" s="2482"/>
      <c r="J125" s="2482"/>
      <c r="K125" s="2482"/>
      <c r="L125" s="2482"/>
      <c r="M125" s="2482"/>
      <c r="N125" s="2482"/>
      <c r="O125" s="2482"/>
      <c r="P125" s="2482"/>
      <c r="Q125" s="2482"/>
      <c r="R125" s="2482"/>
      <c r="S125" s="2482"/>
      <c r="T125" s="2482"/>
      <c r="U125" s="2482"/>
      <c r="V125" s="2482"/>
      <c r="W125" s="2482"/>
      <c r="X125" s="2482"/>
      <c r="Y125" s="2482"/>
    </row>
    <row r="126" spans="6:25" ht="17.1" customHeight="1">
      <c r="F126" s="2482"/>
      <c r="G126" s="2482"/>
      <c r="H126" s="2482"/>
      <c r="I126" s="2482"/>
      <c r="J126" s="2482"/>
      <c r="K126" s="2482"/>
      <c r="L126" s="2482"/>
      <c r="M126" s="2482"/>
      <c r="N126" s="2482"/>
      <c r="O126" s="2482"/>
      <c r="P126" s="2482"/>
      <c r="Q126" s="2482"/>
      <c r="R126" s="2482"/>
      <c r="S126" s="2482"/>
      <c r="T126" s="2482"/>
      <c r="U126" s="2482"/>
      <c r="V126" s="2482"/>
      <c r="W126" s="2482"/>
      <c r="X126" s="2482"/>
      <c r="Y126" s="2482"/>
    </row>
    <row r="127" spans="6:25" ht="17.1" customHeight="1">
      <c r="F127" s="2482"/>
      <c r="G127" s="2482"/>
      <c r="H127" s="2482"/>
      <c r="I127" s="2482"/>
      <c r="J127" s="2482"/>
      <c r="K127" s="2482"/>
      <c r="L127" s="2482"/>
      <c r="M127" s="2482"/>
      <c r="N127" s="2482"/>
      <c r="O127" s="2482"/>
      <c r="P127" s="2482"/>
      <c r="Q127" s="2482"/>
      <c r="R127" s="2482"/>
      <c r="S127" s="2482"/>
      <c r="T127" s="2482"/>
      <c r="U127" s="2482"/>
      <c r="V127" s="2482"/>
      <c r="W127" s="2482"/>
      <c r="X127" s="2482"/>
      <c r="Y127" s="2482"/>
    </row>
    <row r="128" spans="6:25" ht="17.1" customHeight="1">
      <c r="F128" s="2482"/>
      <c r="G128" s="2482"/>
      <c r="H128" s="2482"/>
      <c r="I128" s="2482"/>
      <c r="J128" s="2482"/>
      <c r="K128" s="2482"/>
      <c r="L128" s="2482"/>
      <c r="M128" s="2482"/>
      <c r="N128" s="2482"/>
      <c r="O128" s="2482"/>
      <c r="P128" s="2482"/>
      <c r="Q128" s="2482"/>
      <c r="R128" s="2482"/>
      <c r="S128" s="2482"/>
      <c r="T128" s="2482"/>
      <c r="U128" s="2482"/>
      <c r="V128" s="2482"/>
      <c r="W128" s="2482"/>
      <c r="X128" s="2482"/>
      <c r="Y128" s="2482"/>
    </row>
    <row r="129" spans="6:25" ht="17.1" customHeight="1">
      <c r="F129" s="2482"/>
      <c r="G129" s="2482"/>
      <c r="H129" s="2482"/>
      <c r="I129" s="2482"/>
      <c r="J129" s="2482"/>
      <c r="K129" s="2482"/>
      <c r="L129" s="2482"/>
      <c r="M129" s="2482"/>
      <c r="N129" s="2482"/>
      <c r="O129" s="2482"/>
      <c r="P129" s="2482"/>
      <c r="Q129" s="2482"/>
      <c r="R129" s="2482"/>
      <c r="S129" s="2482"/>
      <c r="T129" s="2482"/>
      <c r="U129" s="2482"/>
      <c r="V129" s="2482"/>
      <c r="W129" s="2482"/>
      <c r="X129" s="2482"/>
      <c r="Y129" s="2482"/>
    </row>
    <row r="130" spans="6:25" ht="17.1" customHeight="1">
      <c r="F130" s="2482"/>
      <c r="G130" s="2482"/>
      <c r="H130" s="2482"/>
      <c r="I130" s="2482"/>
      <c r="J130" s="2482"/>
      <c r="K130" s="2482"/>
      <c r="L130" s="2482"/>
      <c r="M130" s="2482"/>
      <c r="N130" s="2482"/>
      <c r="O130" s="2482"/>
      <c r="P130" s="2482"/>
      <c r="Q130" s="2482"/>
      <c r="R130" s="2482"/>
      <c r="S130" s="2482"/>
      <c r="T130" s="2482"/>
      <c r="U130" s="2482"/>
      <c r="V130" s="2482"/>
      <c r="W130" s="2482"/>
      <c r="X130" s="2482"/>
      <c r="Y130" s="2482"/>
    </row>
    <row r="131" spans="6:25" ht="17.1" customHeight="1">
      <c r="F131" s="2482"/>
      <c r="G131" s="2482"/>
      <c r="H131" s="2482"/>
      <c r="I131" s="2482"/>
      <c r="J131" s="2482"/>
      <c r="K131" s="2482"/>
      <c r="L131" s="2482"/>
      <c r="M131" s="2482"/>
      <c r="N131" s="2482"/>
      <c r="O131" s="2482"/>
      <c r="P131" s="2482"/>
      <c r="Q131" s="2482"/>
      <c r="R131" s="2482"/>
      <c r="S131" s="2482"/>
      <c r="T131" s="2482"/>
      <c r="U131" s="2482"/>
      <c r="V131" s="2482"/>
      <c r="W131" s="2482"/>
      <c r="X131" s="2482"/>
      <c r="Y131" s="2482"/>
    </row>
    <row r="132" spans="6:25" ht="17.1" customHeight="1">
      <c r="F132" s="2482"/>
      <c r="G132" s="2482"/>
      <c r="H132" s="2482"/>
      <c r="I132" s="2482"/>
      <c r="J132" s="2482"/>
      <c r="K132" s="2482"/>
      <c r="L132" s="2482"/>
      <c r="M132" s="2482"/>
      <c r="N132" s="2482"/>
      <c r="O132" s="2482"/>
      <c r="P132" s="2482"/>
      <c r="Q132" s="2482"/>
      <c r="R132" s="2482"/>
      <c r="S132" s="2482"/>
      <c r="T132" s="2482"/>
      <c r="U132" s="2482"/>
      <c r="V132" s="2482"/>
      <c r="W132" s="2482"/>
      <c r="X132" s="2482"/>
      <c r="Y132" s="2482"/>
    </row>
    <row r="133" spans="6:25" ht="17.1" customHeight="1">
      <c r="F133" s="2482"/>
      <c r="G133" s="2482"/>
      <c r="H133" s="2482"/>
      <c r="I133" s="2482"/>
      <c r="J133" s="2482"/>
      <c r="K133" s="2482"/>
      <c r="L133" s="2482"/>
      <c r="M133" s="2482"/>
      <c r="N133" s="2482"/>
      <c r="O133" s="2482"/>
      <c r="P133" s="2482"/>
      <c r="Q133" s="2482"/>
      <c r="R133" s="2482"/>
      <c r="S133" s="2482"/>
      <c r="T133" s="2482"/>
      <c r="U133" s="2482"/>
      <c r="V133" s="2482"/>
      <c r="W133" s="2482"/>
      <c r="X133" s="2482"/>
      <c r="Y133" s="2482"/>
    </row>
    <row r="134" spans="6:25" ht="17.1" customHeight="1">
      <c r="F134" s="2482"/>
      <c r="G134" s="2482"/>
      <c r="H134" s="2482"/>
      <c r="I134" s="2482"/>
      <c r="J134" s="2482"/>
      <c r="K134" s="2482"/>
      <c r="L134" s="2482"/>
      <c r="M134" s="2482"/>
      <c r="N134" s="2482"/>
      <c r="O134" s="2482"/>
      <c r="P134" s="2482"/>
      <c r="Q134" s="2482"/>
      <c r="R134" s="2482"/>
      <c r="S134" s="2482"/>
      <c r="T134" s="2482"/>
      <c r="U134" s="2482"/>
      <c r="V134" s="2482"/>
      <c r="W134" s="2482"/>
      <c r="X134" s="2482"/>
      <c r="Y134" s="2482"/>
    </row>
    <row r="135" spans="6:25" ht="17.1" customHeight="1">
      <c r="F135" s="2482"/>
      <c r="G135" s="2482"/>
      <c r="H135" s="2482"/>
      <c r="I135" s="2482"/>
      <c r="J135" s="2482"/>
      <c r="K135" s="2482"/>
      <c r="L135" s="2482"/>
      <c r="M135" s="2482"/>
      <c r="N135" s="2482"/>
      <c r="O135" s="2482"/>
      <c r="P135" s="2482"/>
      <c r="Q135" s="2482"/>
      <c r="R135" s="2482"/>
      <c r="S135" s="2482"/>
      <c r="T135" s="2482"/>
      <c r="U135" s="2482"/>
      <c r="V135" s="2482"/>
      <c r="W135" s="2482"/>
      <c r="X135" s="2482"/>
      <c r="Y135" s="2482"/>
    </row>
    <row r="136" spans="6:25" ht="17.1" customHeight="1">
      <c r="F136" s="2482"/>
      <c r="G136" s="2482"/>
      <c r="H136" s="2482"/>
      <c r="I136" s="2482"/>
      <c r="J136" s="2482"/>
      <c r="K136" s="2482"/>
      <c r="L136" s="2482"/>
      <c r="M136" s="2482"/>
      <c r="N136" s="2482"/>
      <c r="O136" s="2482"/>
      <c r="P136" s="2482"/>
      <c r="Q136" s="2482"/>
      <c r="R136" s="2482"/>
      <c r="S136" s="2482"/>
      <c r="T136" s="2482"/>
      <c r="U136" s="2482"/>
      <c r="V136" s="2482"/>
      <c r="W136" s="2482"/>
      <c r="X136" s="2482"/>
      <c r="Y136" s="2482"/>
    </row>
    <row r="137" spans="6:25" ht="17.1" customHeight="1">
      <c r="F137" s="2482"/>
      <c r="G137" s="2482"/>
      <c r="H137" s="2482"/>
      <c r="I137" s="2482"/>
      <c r="J137" s="2482"/>
      <c r="K137" s="2482"/>
      <c r="L137" s="2482"/>
      <c r="M137" s="2482"/>
      <c r="N137" s="2482"/>
      <c r="O137" s="2482"/>
      <c r="P137" s="2482"/>
      <c r="Q137" s="2482"/>
      <c r="R137" s="2482"/>
      <c r="S137" s="2482"/>
      <c r="T137" s="2482"/>
      <c r="U137" s="2482"/>
      <c r="V137" s="2482"/>
      <c r="W137" s="2482"/>
      <c r="X137" s="2482"/>
      <c r="Y137" s="2482"/>
    </row>
    <row r="138" spans="6:25" ht="17.1" customHeight="1">
      <c r="F138" s="2482"/>
      <c r="G138" s="2482"/>
      <c r="H138" s="2482"/>
      <c r="I138" s="2482"/>
      <c r="J138" s="2482"/>
      <c r="K138" s="2482"/>
      <c r="L138" s="2482"/>
      <c r="M138" s="2482"/>
      <c r="N138" s="2482"/>
      <c r="O138" s="2482"/>
      <c r="P138" s="2482"/>
      <c r="Q138" s="2482"/>
      <c r="R138" s="2482"/>
      <c r="S138" s="2482"/>
      <c r="T138" s="2482"/>
      <c r="U138" s="2482"/>
      <c r="V138" s="2482"/>
      <c r="W138" s="2482"/>
      <c r="X138" s="2482"/>
      <c r="Y138" s="2482"/>
    </row>
    <row r="139" spans="6:25" ht="17.1" customHeight="1">
      <c r="F139" s="2482"/>
      <c r="G139" s="2482"/>
      <c r="H139" s="2482"/>
      <c r="I139" s="2482"/>
      <c r="J139" s="2482"/>
      <c r="K139" s="2482"/>
      <c r="L139" s="2482"/>
      <c r="M139" s="2482"/>
      <c r="N139" s="2482"/>
      <c r="O139" s="2482"/>
      <c r="P139" s="2482"/>
      <c r="Q139" s="2482"/>
      <c r="R139" s="2482"/>
      <c r="S139" s="2482"/>
      <c r="T139" s="2482"/>
      <c r="U139" s="2482"/>
      <c r="V139" s="2482"/>
      <c r="W139" s="2482"/>
      <c r="X139" s="2482"/>
      <c r="Y139" s="2482"/>
    </row>
    <row r="140" spans="6:25" ht="17.1" customHeight="1">
      <c r="F140" s="2482"/>
      <c r="G140" s="2482"/>
      <c r="H140" s="2482"/>
      <c r="I140" s="2482"/>
      <c r="J140" s="2482"/>
      <c r="K140" s="2482"/>
      <c r="L140" s="2482"/>
      <c r="M140" s="2482"/>
      <c r="N140" s="2482"/>
      <c r="O140" s="2482"/>
      <c r="P140" s="2482"/>
      <c r="Q140" s="2482"/>
      <c r="R140" s="2482"/>
      <c r="S140" s="2482"/>
      <c r="T140" s="2482"/>
      <c r="U140" s="2482"/>
      <c r="V140" s="2482"/>
      <c r="W140" s="2482"/>
      <c r="X140" s="2482"/>
      <c r="Y140" s="2482"/>
    </row>
    <row r="141" spans="6:25" ht="17.1" customHeight="1">
      <c r="F141" s="2482"/>
      <c r="G141" s="2482"/>
      <c r="H141" s="2482"/>
      <c r="I141" s="2482"/>
      <c r="J141" s="2482"/>
      <c r="K141" s="2482"/>
      <c r="L141" s="2482"/>
      <c r="M141" s="2482"/>
      <c r="N141" s="2482"/>
      <c r="O141" s="2482"/>
      <c r="P141" s="2482"/>
      <c r="Q141" s="2482"/>
      <c r="R141" s="2482"/>
      <c r="S141" s="2482"/>
      <c r="T141" s="2482"/>
      <c r="U141" s="2482"/>
      <c r="V141" s="2482"/>
      <c r="W141" s="2482"/>
      <c r="X141" s="2482"/>
      <c r="Y141" s="2482"/>
    </row>
    <row r="142" spans="6:25" ht="17.1" customHeight="1">
      <c r="F142" s="2482"/>
      <c r="G142" s="2482"/>
      <c r="H142" s="2482"/>
      <c r="I142" s="2482"/>
      <c r="J142" s="2482"/>
      <c r="K142" s="2482"/>
      <c r="L142" s="2482"/>
      <c r="M142" s="2482"/>
      <c r="N142" s="2482"/>
      <c r="O142" s="2482"/>
      <c r="P142" s="2482"/>
      <c r="Q142" s="2482"/>
      <c r="R142" s="2482"/>
      <c r="S142" s="2482"/>
      <c r="T142" s="2482"/>
      <c r="U142" s="2482"/>
      <c r="V142" s="2482"/>
      <c r="W142" s="2482"/>
      <c r="X142" s="2482"/>
      <c r="Y142" s="2482"/>
    </row>
    <row r="143" spans="6:25" ht="17.1" customHeight="1">
      <c r="F143" s="2482"/>
      <c r="G143" s="2482"/>
      <c r="H143" s="2482"/>
      <c r="I143" s="2482"/>
      <c r="J143" s="2482"/>
      <c r="K143" s="2482"/>
      <c r="L143" s="2482"/>
      <c r="M143" s="2482"/>
      <c r="N143" s="2482"/>
      <c r="O143" s="2482"/>
      <c r="P143" s="2482"/>
      <c r="Q143" s="2482"/>
      <c r="R143" s="2482"/>
      <c r="S143" s="2482"/>
      <c r="T143" s="2482"/>
      <c r="U143" s="2482"/>
      <c r="V143" s="2482"/>
      <c r="W143" s="2482"/>
      <c r="X143" s="2482"/>
      <c r="Y143" s="2482"/>
    </row>
    <row r="144" spans="6:25" ht="17.1" customHeight="1">
      <c r="F144" s="2482"/>
      <c r="G144" s="2482"/>
      <c r="H144" s="2482"/>
      <c r="I144" s="2482"/>
      <c r="J144" s="2482"/>
      <c r="K144" s="2482"/>
      <c r="L144" s="2482"/>
      <c r="M144" s="2482"/>
      <c r="N144" s="2482"/>
      <c r="O144" s="2482"/>
      <c r="P144" s="2482"/>
      <c r="Q144" s="2482"/>
      <c r="R144" s="2482"/>
      <c r="S144" s="2482"/>
      <c r="T144" s="2482"/>
      <c r="U144" s="2482"/>
      <c r="V144" s="2482"/>
      <c r="W144" s="2482"/>
      <c r="X144" s="2482"/>
      <c r="Y144" s="2482"/>
    </row>
    <row r="145" spans="6:25" ht="17.1" customHeight="1">
      <c r="F145" s="2482"/>
      <c r="G145" s="2482"/>
      <c r="H145" s="2482"/>
      <c r="I145" s="2482"/>
      <c r="J145" s="2482"/>
      <c r="K145" s="2482"/>
      <c r="L145" s="2482"/>
      <c r="M145" s="2482"/>
      <c r="N145" s="2482"/>
      <c r="O145" s="2482"/>
      <c r="P145" s="2482"/>
      <c r="Q145" s="2482"/>
      <c r="R145" s="2482"/>
      <c r="S145" s="2482"/>
      <c r="T145" s="2482"/>
      <c r="U145" s="2482"/>
      <c r="V145" s="2482"/>
      <c r="W145" s="2482"/>
      <c r="X145" s="2482"/>
      <c r="Y145" s="2482"/>
    </row>
    <row r="146" spans="6:25" ht="17.1" customHeight="1">
      <c r="F146" s="2482"/>
      <c r="G146" s="2482"/>
      <c r="H146" s="2482"/>
      <c r="I146" s="2482"/>
      <c r="J146" s="2482"/>
      <c r="K146" s="2482"/>
      <c r="L146" s="2482"/>
      <c r="M146" s="2482"/>
      <c r="N146" s="2482"/>
      <c r="O146" s="2482"/>
      <c r="P146" s="2482"/>
      <c r="Q146" s="2482"/>
      <c r="R146" s="2482"/>
      <c r="S146" s="2482"/>
      <c r="T146" s="2482"/>
      <c r="U146" s="2482"/>
      <c r="V146" s="2482"/>
      <c r="W146" s="2482"/>
      <c r="X146" s="2482"/>
      <c r="Y146" s="2482"/>
    </row>
    <row r="147" spans="6:25" ht="17.1" customHeight="1">
      <c r="F147" s="2482"/>
      <c r="G147" s="2482"/>
      <c r="H147" s="2482"/>
      <c r="I147" s="2482"/>
      <c r="J147" s="2482"/>
      <c r="K147" s="2482"/>
      <c r="L147" s="2482"/>
      <c r="M147" s="2482"/>
      <c r="N147" s="2482"/>
      <c r="O147" s="2482"/>
      <c r="P147" s="2482"/>
      <c r="Q147" s="2482"/>
      <c r="R147" s="2482"/>
      <c r="S147" s="2482"/>
      <c r="T147" s="2482"/>
      <c r="U147" s="2482"/>
      <c r="V147" s="2482"/>
      <c r="W147" s="2482"/>
      <c r="X147" s="2482"/>
      <c r="Y147" s="2482"/>
    </row>
    <row r="148" spans="6:25" ht="17.1" customHeight="1">
      <c r="F148" s="2482"/>
      <c r="G148" s="2482"/>
      <c r="H148" s="2482"/>
      <c r="I148" s="2482"/>
      <c r="J148" s="2482"/>
      <c r="K148" s="2482"/>
      <c r="L148" s="2482"/>
      <c r="M148" s="2482"/>
      <c r="N148" s="2482"/>
      <c r="O148" s="2482"/>
      <c r="P148" s="2482"/>
      <c r="Q148" s="2482"/>
      <c r="R148" s="2482"/>
      <c r="S148" s="2482"/>
      <c r="T148" s="2482"/>
      <c r="U148" s="2482"/>
      <c r="V148" s="2482"/>
      <c r="W148" s="2482"/>
      <c r="X148" s="2482"/>
      <c r="Y148" s="2482"/>
    </row>
    <row r="149" spans="6:25" ht="17.1" customHeight="1">
      <c r="F149" s="2482"/>
      <c r="G149" s="2482"/>
      <c r="H149" s="2482"/>
      <c r="I149" s="2482"/>
      <c r="J149" s="2482"/>
      <c r="K149" s="2482"/>
      <c r="L149" s="2482"/>
      <c r="M149" s="2482"/>
      <c r="N149" s="2482"/>
      <c r="O149" s="2482"/>
      <c r="P149" s="2482"/>
      <c r="Q149" s="2482"/>
      <c r="R149" s="2482"/>
      <c r="S149" s="2482"/>
      <c r="T149" s="2482"/>
      <c r="U149" s="2482"/>
      <c r="V149" s="2482"/>
      <c r="W149" s="2482"/>
      <c r="X149" s="2482"/>
      <c r="Y149" s="2482"/>
    </row>
    <row r="150" spans="6:25" ht="17.1" customHeight="1">
      <c r="F150" s="2482"/>
      <c r="G150" s="2482"/>
      <c r="H150" s="2482"/>
      <c r="I150" s="2482"/>
      <c r="J150" s="2482"/>
      <c r="K150" s="2482"/>
      <c r="L150" s="2482"/>
      <c r="M150" s="2482"/>
      <c r="N150" s="2482"/>
      <c r="O150" s="2482"/>
      <c r="P150" s="2482"/>
      <c r="Q150" s="2482"/>
      <c r="R150" s="2482"/>
      <c r="S150" s="2482"/>
      <c r="T150" s="2482"/>
      <c r="U150" s="2482"/>
      <c r="V150" s="2482"/>
      <c r="W150" s="2482"/>
      <c r="X150" s="2482"/>
      <c r="Y150" s="2482"/>
    </row>
    <row r="151" spans="6:25" ht="17.1" customHeight="1">
      <c r="F151" s="2482"/>
      <c r="G151" s="2482"/>
      <c r="H151" s="2482"/>
      <c r="I151" s="2482"/>
      <c r="J151" s="2482"/>
      <c r="K151" s="2482"/>
      <c r="L151" s="2482"/>
      <c r="M151" s="2482"/>
      <c r="N151" s="2482"/>
      <c r="O151" s="2482"/>
      <c r="P151" s="2482"/>
      <c r="Q151" s="2482"/>
      <c r="R151" s="2482"/>
      <c r="S151" s="2482"/>
      <c r="T151" s="2482"/>
      <c r="U151" s="2482"/>
      <c r="V151" s="2482"/>
      <c r="W151" s="2482"/>
      <c r="X151" s="2482"/>
      <c r="Y151" s="2482"/>
    </row>
    <row r="152" spans="6:25" ht="17.1" customHeight="1">
      <c r="F152" s="2482"/>
      <c r="G152" s="2482"/>
      <c r="H152" s="2482"/>
      <c r="I152" s="2482"/>
      <c r="J152" s="2482"/>
      <c r="K152" s="2482"/>
      <c r="L152" s="2482"/>
      <c r="M152" s="2482"/>
      <c r="N152" s="2482"/>
      <c r="O152" s="2482"/>
      <c r="P152" s="2482"/>
      <c r="Q152" s="2482"/>
      <c r="R152" s="2482"/>
      <c r="S152" s="2482"/>
      <c r="T152" s="2482"/>
      <c r="U152" s="2482"/>
      <c r="V152" s="2482"/>
      <c r="W152" s="2482"/>
      <c r="X152" s="2482"/>
      <c r="Y152" s="2482"/>
    </row>
    <row r="153" spans="6:25" ht="17.1" customHeight="1">
      <c r="F153" s="2482"/>
      <c r="G153" s="2482"/>
      <c r="H153" s="2482"/>
      <c r="I153" s="2482"/>
      <c r="J153" s="2482"/>
      <c r="K153" s="2482"/>
      <c r="L153" s="2482"/>
      <c r="M153" s="2482"/>
      <c r="N153" s="2482"/>
      <c r="O153" s="2482"/>
      <c r="P153" s="2482"/>
      <c r="Q153" s="2482"/>
      <c r="R153" s="2482"/>
      <c r="S153" s="2482"/>
      <c r="T153" s="2482"/>
      <c r="U153" s="2482"/>
      <c r="V153" s="2482"/>
      <c r="W153" s="2482"/>
      <c r="X153" s="2482"/>
      <c r="Y153" s="2482"/>
    </row>
    <row r="154" spans="6:25" ht="17.1" customHeight="1">
      <c r="F154" s="2482"/>
      <c r="G154" s="2482"/>
      <c r="H154" s="2482"/>
      <c r="I154" s="2482"/>
      <c r="J154" s="2482"/>
      <c r="K154" s="2482"/>
      <c r="L154" s="2482"/>
      <c r="M154" s="2482"/>
      <c r="N154" s="2482"/>
      <c r="O154" s="2482"/>
      <c r="P154" s="2482"/>
      <c r="Q154" s="2482"/>
      <c r="R154" s="2482"/>
      <c r="S154" s="2482"/>
      <c r="T154" s="2482"/>
      <c r="U154" s="2482"/>
      <c r="V154" s="2482"/>
      <c r="W154" s="2482"/>
      <c r="X154" s="2482"/>
      <c r="Y154" s="2482"/>
    </row>
    <row r="155" spans="6:25" ht="17.1" customHeight="1">
      <c r="F155" s="2482"/>
      <c r="G155" s="2482"/>
      <c r="H155" s="2482"/>
      <c r="I155" s="2482"/>
      <c r="J155" s="2482"/>
      <c r="K155" s="2482"/>
      <c r="L155" s="2482"/>
      <c r="M155" s="2482"/>
      <c r="N155" s="2482"/>
      <c r="O155" s="2482"/>
      <c r="P155" s="2482"/>
      <c r="Q155" s="2482"/>
      <c r="R155" s="2482"/>
      <c r="S155" s="2482"/>
      <c r="T155" s="2482"/>
      <c r="U155" s="2482"/>
      <c r="V155" s="2482"/>
      <c r="W155" s="2482"/>
      <c r="X155" s="2482"/>
      <c r="Y155" s="2482"/>
    </row>
    <row r="156" spans="6:25" ht="17.1" customHeight="1">
      <c r="F156" s="2482"/>
      <c r="G156" s="2482"/>
      <c r="H156" s="2482"/>
      <c r="I156" s="2482"/>
      <c r="J156" s="2482"/>
      <c r="K156" s="2482"/>
      <c r="L156" s="2482"/>
      <c r="M156" s="2482"/>
      <c r="N156" s="2482"/>
      <c r="O156" s="2482"/>
      <c r="P156" s="2482"/>
      <c r="Q156" s="2482"/>
      <c r="R156" s="2482"/>
      <c r="S156" s="2482"/>
      <c r="T156" s="2482"/>
      <c r="U156" s="2482"/>
      <c r="V156" s="2482"/>
      <c r="W156" s="2482"/>
      <c r="X156" s="2482"/>
      <c r="Y156" s="2482"/>
    </row>
    <row r="157" spans="6:25" ht="17.1" customHeight="1">
      <c r="F157" s="2482"/>
      <c r="G157" s="2482"/>
      <c r="H157" s="2482"/>
      <c r="I157" s="2482"/>
      <c r="J157" s="2482"/>
      <c r="K157" s="2482"/>
      <c r="L157" s="2482"/>
      <c r="M157" s="2482"/>
      <c r="N157" s="2482"/>
      <c r="O157" s="2482"/>
      <c r="P157" s="2482"/>
      <c r="Q157" s="2482"/>
      <c r="R157" s="2482"/>
      <c r="S157" s="2482"/>
      <c r="T157" s="2482"/>
      <c r="U157" s="2482"/>
      <c r="V157" s="2482"/>
      <c r="W157" s="2482"/>
      <c r="X157" s="2482"/>
      <c r="Y157" s="2482"/>
    </row>
    <row r="158" spans="6:25" ht="17.1" customHeight="1">
      <c r="F158" s="2482"/>
      <c r="G158" s="2482"/>
      <c r="H158" s="2482"/>
      <c r="I158" s="2482"/>
      <c r="J158" s="2482"/>
      <c r="K158" s="2482"/>
      <c r="L158" s="2482"/>
      <c r="M158" s="2482"/>
      <c r="N158" s="2482"/>
      <c r="O158" s="2482"/>
      <c r="P158" s="2482"/>
      <c r="Q158" s="2482"/>
      <c r="R158" s="2482"/>
      <c r="S158" s="2482"/>
      <c r="T158" s="2482"/>
      <c r="U158" s="2482"/>
      <c r="V158" s="2482"/>
      <c r="W158" s="2482"/>
      <c r="X158" s="2482"/>
      <c r="Y158" s="2482"/>
    </row>
    <row r="159" spans="6:25" ht="17.1" customHeight="1">
      <c r="F159" s="2482"/>
      <c r="G159" s="2482"/>
      <c r="H159" s="2482"/>
      <c r="I159" s="2482"/>
      <c r="J159" s="2482"/>
      <c r="K159" s="2482"/>
      <c r="L159" s="2482"/>
      <c r="M159" s="2482"/>
      <c r="N159" s="2482"/>
      <c r="O159" s="2482"/>
      <c r="P159" s="2482"/>
      <c r="Q159" s="2482"/>
      <c r="R159" s="2482"/>
      <c r="S159" s="2482"/>
      <c r="T159" s="2482"/>
      <c r="U159" s="2482"/>
      <c r="V159" s="2482"/>
      <c r="W159" s="2482"/>
      <c r="X159" s="2482"/>
      <c r="Y159" s="2482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2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24961" r:id="rId4" name="Button 1">
              <controlPr defaultSize="0" print="0" autoFill="0" autoPict="0" macro="[5]!Actualizar_Referencias">
                <anchor moveWithCells="1" sizeWithCells="1">
                  <from>
                    <xdr:col>0</xdr:col>
                    <xdr:colOff>76200</xdr:colOff>
                    <xdr:row>44</xdr:row>
                    <xdr:rowOff>0</xdr:rowOff>
                  </from>
                  <to>
                    <xdr:col>2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1">
    <pageSetUpPr fitToPage="1"/>
  </sheetPr>
  <dimension ref="A1:Y157"/>
  <sheetViews>
    <sheetView zoomScale="70" zoomScaleNormal="70" workbookViewId="0" topLeftCell="A1">
      <selection activeCell="A48" sqref="A48"/>
    </sheetView>
  </sheetViews>
  <sheetFormatPr defaultColWidth="11.421875" defaultRowHeight="16.5" customHeight="1"/>
  <cols>
    <col min="1" max="2" width="4.140625" style="0" customWidth="1"/>
    <col min="3" max="3" width="5.57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4.2812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12.00390625" style="0" hidden="1" customWidth="1"/>
    <col min="17" max="17" width="16.28125" style="0" hidden="1" customWidth="1"/>
    <col min="18" max="18" width="17.140625" style="0" hidden="1" customWidth="1"/>
    <col min="19" max="20" width="15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39"/>
    </row>
    <row r="2" spans="1:23" s="18" customFormat="1" ht="26.25">
      <c r="A2" s="91"/>
      <c r="B2" s="19" t="str">
        <f>+'TOT-0116'!B2</f>
        <v>ANEXO II al Memorándum D.T.E.E. N° 231 / 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69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759" customFormat="1" ht="33" customHeight="1">
      <c r="B10" s="760"/>
      <c r="C10" s="758"/>
      <c r="D10" s="758"/>
      <c r="E10" s="758"/>
      <c r="F10" s="781" t="s">
        <v>223</v>
      </c>
      <c r="G10" s="782"/>
      <c r="H10" s="783"/>
      <c r="I10" s="784"/>
      <c r="K10" s="784"/>
      <c r="L10" s="784"/>
      <c r="M10" s="784"/>
      <c r="N10" s="784"/>
      <c r="O10" s="784"/>
      <c r="P10" s="784"/>
      <c r="Q10" s="758"/>
      <c r="R10" s="758"/>
      <c r="S10" s="758"/>
      <c r="T10" s="758"/>
      <c r="U10" s="758"/>
      <c r="V10" s="758"/>
      <c r="W10" s="785"/>
    </row>
    <row r="11" spans="2:23" s="762" customFormat="1" ht="33" customHeight="1">
      <c r="B11" s="763"/>
      <c r="C11" s="764"/>
      <c r="D11" s="764"/>
      <c r="E11" s="764"/>
      <c r="F11" s="781" t="s">
        <v>459</v>
      </c>
      <c r="G11" s="786"/>
      <c r="H11" s="787"/>
      <c r="I11" s="788"/>
      <c r="J11" s="789"/>
      <c r="K11" s="788"/>
      <c r="L11" s="788"/>
      <c r="M11" s="788"/>
      <c r="N11" s="788"/>
      <c r="O11" s="788"/>
      <c r="P11" s="788"/>
      <c r="Q11" s="764"/>
      <c r="R11" s="764"/>
      <c r="S11" s="764"/>
      <c r="T11" s="764"/>
      <c r="U11" s="764"/>
      <c r="V11" s="764"/>
      <c r="W11" s="790"/>
    </row>
    <row r="12" spans="2:23" s="5" customFormat="1" ht="19.5">
      <c r="B12" s="37" t="str">
        <f>'TOT-0116'!B14</f>
        <v>Desde el 01 al 31 de enero de 2016</v>
      </c>
      <c r="C12" s="40"/>
      <c r="D12" s="40"/>
      <c r="E12" s="40"/>
      <c r="F12" s="40"/>
      <c r="G12" s="40"/>
      <c r="H12" s="40"/>
      <c r="I12" s="330"/>
      <c r="J12" s="330"/>
      <c r="K12" s="330"/>
      <c r="L12" s="330"/>
      <c r="M12" s="330"/>
      <c r="N12" s="330"/>
      <c r="O12" s="330"/>
      <c r="P12" s="330"/>
      <c r="Q12" s="40"/>
      <c r="R12" s="40"/>
      <c r="S12" s="40"/>
      <c r="T12" s="40"/>
      <c r="U12" s="40"/>
      <c r="V12" s="40"/>
      <c r="W12" s="331"/>
    </row>
    <row r="13" spans="2:23" s="5" customFormat="1" ht="14.25" thickBot="1">
      <c r="B13" s="332"/>
      <c r="C13" s="333"/>
      <c r="D13" s="333"/>
      <c r="E13" s="333"/>
      <c r="F13" s="333"/>
      <c r="G13" s="333"/>
      <c r="H13" s="333"/>
      <c r="I13" s="334"/>
      <c r="J13" s="334"/>
      <c r="K13" s="334"/>
      <c r="L13" s="334"/>
      <c r="M13" s="334"/>
      <c r="N13" s="334"/>
      <c r="O13" s="334"/>
      <c r="P13" s="334"/>
      <c r="Q13" s="333"/>
      <c r="R13" s="333"/>
      <c r="S13" s="333"/>
      <c r="T13" s="333"/>
      <c r="U13" s="333"/>
      <c r="V13" s="333"/>
      <c r="W13" s="335"/>
    </row>
    <row r="14" spans="2:23" s="5" customFormat="1" ht="15" thickBot="1" thickTop="1">
      <c r="B14" s="50"/>
      <c r="C14" s="4"/>
      <c r="D14" s="4"/>
      <c r="E14" s="4"/>
      <c r="F14" s="336"/>
      <c r="G14" s="336"/>
      <c r="H14" s="117" t="s">
        <v>81</v>
      </c>
      <c r="I14" s="4"/>
      <c r="J14" s="5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"/>
    </row>
    <row r="15" spans="2:23" s="5" customFormat="1" ht="17.1" customHeight="1" thickBot="1" thickTop="1">
      <c r="B15" s="50"/>
      <c r="C15" s="4"/>
      <c r="D15" s="4"/>
      <c r="E15" s="4"/>
      <c r="F15" s="337" t="s">
        <v>82</v>
      </c>
      <c r="G15" s="338">
        <v>95.883</v>
      </c>
      <c r="H15" s="339">
        <v>200</v>
      </c>
      <c r="V15" s="115"/>
      <c r="W15" s="6"/>
    </row>
    <row r="16" spans="2:23" s="5" customFormat="1" ht="17.1" customHeight="1" thickBot="1" thickTop="1">
      <c r="B16" s="50"/>
      <c r="C16" s="4"/>
      <c r="D16" s="4"/>
      <c r="E16" s="4"/>
      <c r="F16" s="340" t="s">
        <v>83</v>
      </c>
      <c r="G16" s="341" t="s">
        <v>261</v>
      </c>
      <c r="H16" s="339">
        <v>100</v>
      </c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7.1" customHeight="1" thickBot="1" thickTop="1">
      <c r="B17" s="50"/>
      <c r="C17" s="4"/>
      <c r="D17" s="4"/>
      <c r="E17" s="4"/>
      <c r="F17" s="342" t="s">
        <v>84</v>
      </c>
      <c r="G17" s="380">
        <v>76.711</v>
      </c>
      <c r="H17" s="339">
        <v>40</v>
      </c>
      <c r="O17" s="4"/>
      <c r="Q17" s="4"/>
      <c r="R17" s="4"/>
      <c r="S17" s="4"/>
      <c r="T17" s="4"/>
      <c r="U17" s="4"/>
      <c r="V17" s="4"/>
      <c r="W17" s="6"/>
    </row>
    <row r="18" spans="2:23" s="5" customFormat="1" ht="17.1" customHeight="1" thickBot="1" thickTop="1">
      <c r="B18" s="50"/>
      <c r="C18" s="836">
        <v>3</v>
      </c>
      <c r="D18" s="836">
        <v>4</v>
      </c>
      <c r="E18" s="836">
        <v>5</v>
      </c>
      <c r="F18" s="836">
        <v>6</v>
      </c>
      <c r="G18" s="836">
        <v>7</v>
      </c>
      <c r="H18" s="836">
        <v>8</v>
      </c>
      <c r="I18" s="836">
        <v>9</v>
      </c>
      <c r="J18" s="836">
        <v>10</v>
      </c>
      <c r="K18" s="836">
        <v>11</v>
      </c>
      <c r="L18" s="836">
        <v>12</v>
      </c>
      <c r="M18" s="836">
        <v>13</v>
      </c>
      <c r="N18" s="836">
        <v>14</v>
      </c>
      <c r="O18" s="836">
        <v>15</v>
      </c>
      <c r="P18" s="836">
        <v>16</v>
      </c>
      <c r="Q18" s="836">
        <v>17</v>
      </c>
      <c r="R18" s="836">
        <v>18</v>
      </c>
      <c r="S18" s="836">
        <v>19</v>
      </c>
      <c r="T18" s="836">
        <v>20</v>
      </c>
      <c r="U18" s="836">
        <v>21</v>
      </c>
      <c r="V18" s="836">
        <v>22</v>
      </c>
      <c r="W18" s="6"/>
    </row>
    <row r="19" spans="2:23" s="5" customFormat="1" ht="33.95" customHeight="1" thickBot="1" thickTop="1">
      <c r="B19" s="50"/>
      <c r="C19" s="122" t="s">
        <v>13</v>
      </c>
      <c r="D19" s="84" t="s">
        <v>242</v>
      </c>
      <c r="E19" s="84" t="s">
        <v>243</v>
      </c>
      <c r="F19" s="86" t="s">
        <v>27</v>
      </c>
      <c r="G19" s="343" t="s">
        <v>28</v>
      </c>
      <c r="H19" s="344" t="s">
        <v>14</v>
      </c>
      <c r="I19" s="128" t="s">
        <v>16</v>
      </c>
      <c r="J19" s="85" t="s">
        <v>17</v>
      </c>
      <c r="K19" s="343" t="s">
        <v>18</v>
      </c>
      <c r="L19" s="345" t="s">
        <v>36</v>
      </c>
      <c r="M19" s="345" t="s">
        <v>31</v>
      </c>
      <c r="N19" s="88" t="s">
        <v>19</v>
      </c>
      <c r="O19" s="172" t="s">
        <v>32</v>
      </c>
      <c r="P19" s="134" t="s">
        <v>37</v>
      </c>
      <c r="Q19" s="346" t="s">
        <v>70</v>
      </c>
      <c r="R19" s="173" t="s">
        <v>35</v>
      </c>
      <c r="S19" s="347"/>
      <c r="T19" s="133" t="s">
        <v>22</v>
      </c>
      <c r="U19" s="131" t="s">
        <v>74</v>
      </c>
      <c r="V19" s="121" t="s">
        <v>24</v>
      </c>
      <c r="W19" s="6"/>
    </row>
    <row r="20" spans="2:23" s="5" customFormat="1" ht="17.1" customHeight="1" thickTop="1">
      <c r="B20" s="50"/>
      <c r="C20" s="256"/>
      <c r="D20" s="256"/>
      <c r="E20" s="256"/>
      <c r="F20" s="348"/>
      <c r="G20" s="348"/>
      <c r="H20" s="348"/>
      <c r="I20" s="214"/>
      <c r="J20" s="348"/>
      <c r="K20" s="348"/>
      <c r="L20" s="348"/>
      <c r="M20" s="348"/>
      <c r="N20" s="348"/>
      <c r="O20" s="348"/>
      <c r="P20" s="349"/>
      <c r="Q20" s="350"/>
      <c r="R20" s="351"/>
      <c r="S20" s="352"/>
      <c r="T20" s="353"/>
      <c r="U20" s="348"/>
      <c r="V20" s="354"/>
      <c r="W20" s="6"/>
    </row>
    <row r="21" spans="2:23" s="5" customFormat="1" ht="17.1" customHeight="1">
      <c r="B21" s="50"/>
      <c r="C21" s="270"/>
      <c r="D21" s="270"/>
      <c r="E21" s="270"/>
      <c r="F21" s="355"/>
      <c r="G21" s="355"/>
      <c r="H21" s="355"/>
      <c r="I21" s="356"/>
      <c r="J21" s="355"/>
      <c r="K21" s="355"/>
      <c r="L21" s="355"/>
      <c r="M21" s="355"/>
      <c r="N21" s="355"/>
      <c r="O21" s="355"/>
      <c r="P21" s="357"/>
      <c r="Q21" s="358"/>
      <c r="R21" s="184"/>
      <c r="S21" s="359"/>
      <c r="T21" s="360"/>
      <c r="U21" s="355"/>
      <c r="V21" s="361"/>
      <c r="W21" s="6"/>
    </row>
    <row r="22" spans="2:23" s="5" customFormat="1" ht="17.1" customHeight="1">
      <c r="B22" s="50"/>
      <c r="C22" s="270">
        <v>72</v>
      </c>
      <c r="D22" s="270">
        <v>296958</v>
      </c>
      <c r="E22" s="149">
        <v>2588</v>
      </c>
      <c r="F22" s="362" t="s">
        <v>336</v>
      </c>
      <c r="G22" s="362" t="s">
        <v>337</v>
      </c>
      <c r="H22" s="363">
        <v>132</v>
      </c>
      <c r="I22" s="129">
        <f aca="true" t="shared" si="0" ref="I22:I41">IF(H22=500,$G$15,IF(H22=220,$G$16,$G$17))</f>
        <v>76.711</v>
      </c>
      <c r="J22" s="364">
        <v>42373.472916666666</v>
      </c>
      <c r="K22" s="147">
        <v>42373.71527777778</v>
      </c>
      <c r="L22" s="365">
        <f aca="true" t="shared" si="1" ref="L22:L41">IF(F22="","",(K22-J22)*24)</f>
        <v>5.81666666676756</v>
      </c>
      <c r="M22" s="366">
        <f aca="true" t="shared" si="2" ref="M22:M41">IF(F22="","",ROUND((K22-J22)*24*60,0))</f>
        <v>349</v>
      </c>
      <c r="N22" s="216" t="s">
        <v>304</v>
      </c>
      <c r="O22" s="217" t="str">
        <f aca="true" t="shared" si="3" ref="O22:O41">IF(F22="","",IF(N22="P","--","NO"))</f>
        <v>--</v>
      </c>
      <c r="P22" s="677">
        <f aca="true" t="shared" si="4" ref="P22:P41">IF(H22=500,$H$15,IF(H22=220,$H$16,$H$17))</f>
        <v>40</v>
      </c>
      <c r="Q22" s="807">
        <f aca="true" t="shared" si="5" ref="Q22:Q41">IF(N22="P",I22*P22*ROUND(M22/60,2)*0.1,"--")</f>
        <v>1785.8320800000001</v>
      </c>
      <c r="R22" s="184" t="str">
        <f aca="true" t="shared" si="6" ref="R22:R41">IF(AND(N22="F",O22="NO"),I22*P22,"--")</f>
        <v>--</v>
      </c>
      <c r="S22" s="359" t="str">
        <f aca="true" t="shared" si="7" ref="S22:S41">IF(N22="F",I22*P22*ROUND(M22/60,2),"--")</f>
        <v>--</v>
      </c>
      <c r="T22" s="360" t="str">
        <f aca="true" t="shared" si="8" ref="T22:T41">IF(N22="RF",I22*P22*ROUND(M22/60,2),"--")</f>
        <v>--</v>
      </c>
      <c r="U22" s="217" t="s">
        <v>213</v>
      </c>
      <c r="V22" s="367">
        <f aca="true" t="shared" si="9" ref="V22:V41">IF(F22="","",SUM(Q22:T22)*IF(U22="SI",1,2))</f>
        <v>1785.8320800000001</v>
      </c>
      <c r="W22" s="6"/>
    </row>
    <row r="23" spans="2:23" s="5" customFormat="1" ht="17.1" customHeight="1">
      <c r="B23" s="50"/>
      <c r="C23" s="270">
        <v>73</v>
      </c>
      <c r="D23" s="270">
        <v>296961</v>
      </c>
      <c r="E23" s="270">
        <v>2588</v>
      </c>
      <c r="F23" s="362" t="s">
        <v>336</v>
      </c>
      <c r="G23" s="362" t="s">
        <v>337</v>
      </c>
      <c r="H23" s="363">
        <v>132</v>
      </c>
      <c r="I23" s="129">
        <f t="shared" si="0"/>
        <v>76.711</v>
      </c>
      <c r="J23" s="364">
        <v>42374.42152777778</v>
      </c>
      <c r="K23" s="147">
        <v>42374.71527777778</v>
      </c>
      <c r="L23" s="365">
        <f t="shared" si="1"/>
        <v>7.050000000104774</v>
      </c>
      <c r="M23" s="366">
        <f t="shared" si="2"/>
        <v>423</v>
      </c>
      <c r="N23" s="216" t="s">
        <v>304</v>
      </c>
      <c r="O23" s="217" t="str">
        <f t="shared" si="3"/>
        <v>--</v>
      </c>
      <c r="P23" s="677">
        <f t="shared" si="4"/>
        <v>40</v>
      </c>
      <c r="Q23" s="807">
        <f t="shared" si="5"/>
        <v>2163.2502</v>
      </c>
      <c r="R23" s="184" t="str">
        <f t="shared" si="6"/>
        <v>--</v>
      </c>
      <c r="S23" s="359" t="str">
        <f t="shared" si="7"/>
        <v>--</v>
      </c>
      <c r="T23" s="360" t="str">
        <f t="shared" si="8"/>
        <v>--</v>
      </c>
      <c r="U23" s="217" t="s">
        <v>213</v>
      </c>
      <c r="V23" s="367">
        <f t="shared" si="9"/>
        <v>2163.2502</v>
      </c>
      <c r="W23" s="6"/>
    </row>
    <row r="24" spans="2:23" s="5" customFormat="1" ht="17.1" customHeight="1">
      <c r="B24" s="50"/>
      <c r="C24" s="270">
        <v>74</v>
      </c>
      <c r="D24" s="270">
        <v>296962</v>
      </c>
      <c r="E24" s="149">
        <v>2604</v>
      </c>
      <c r="F24" s="362" t="s">
        <v>338</v>
      </c>
      <c r="G24" s="362" t="s">
        <v>339</v>
      </c>
      <c r="H24" s="363">
        <v>132</v>
      </c>
      <c r="I24" s="129">
        <f t="shared" si="0"/>
        <v>76.711</v>
      </c>
      <c r="J24" s="364">
        <v>42375.364583333336</v>
      </c>
      <c r="K24" s="147">
        <v>42375.69513888889</v>
      </c>
      <c r="L24" s="365">
        <f t="shared" si="1"/>
        <v>7.933333333348855</v>
      </c>
      <c r="M24" s="366">
        <f t="shared" si="2"/>
        <v>476</v>
      </c>
      <c r="N24" s="216" t="s">
        <v>304</v>
      </c>
      <c r="O24" s="217" t="str">
        <f t="shared" si="3"/>
        <v>--</v>
      </c>
      <c r="P24" s="677">
        <f t="shared" si="4"/>
        <v>40</v>
      </c>
      <c r="Q24" s="807">
        <f t="shared" si="5"/>
        <v>2433.27292</v>
      </c>
      <c r="R24" s="184" t="str">
        <f t="shared" si="6"/>
        <v>--</v>
      </c>
      <c r="S24" s="359" t="str">
        <f t="shared" si="7"/>
        <v>--</v>
      </c>
      <c r="T24" s="360" t="str">
        <f t="shared" si="8"/>
        <v>--</v>
      </c>
      <c r="U24" s="217" t="s">
        <v>213</v>
      </c>
      <c r="V24" s="367">
        <f t="shared" si="9"/>
        <v>2433.27292</v>
      </c>
      <c r="W24" s="6"/>
    </row>
    <row r="25" spans="2:23" s="5" customFormat="1" ht="17.1" customHeight="1">
      <c r="B25" s="50"/>
      <c r="C25" s="270">
        <v>75</v>
      </c>
      <c r="D25" s="270">
        <v>296964</v>
      </c>
      <c r="E25" s="270">
        <v>2588</v>
      </c>
      <c r="F25" s="362" t="s">
        <v>336</v>
      </c>
      <c r="G25" s="362" t="s">
        <v>337</v>
      </c>
      <c r="H25" s="363">
        <v>132</v>
      </c>
      <c r="I25" s="129">
        <f t="shared" si="0"/>
        <v>76.711</v>
      </c>
      <c r="J25" s="364">
        <v>42375.45208333333</v>
      </c>
      <c r="K25" s="147">
        <v>42375.71388888889</v>
      </c>
      <c r="L25" s="365">
        <f t="shared" si="1"/>
        <v>6.28333333338378</v>
      </c>
      <c r="M25" s="366">
        <f t="shared" si="2"/>
        <v>377</v>
      </c>
      <c r="N25" s="216" t="s">
        <v>304</v>
      </c>
      <c r="O25" s="217" t="str">
        <f t="shared" si="3"/>
        <v>--</v>
      </c>
      <c r="P25" s="677">
        <f t="shared" si="4"/>
        <v>40</v>
      </c>
      <c r="Q25" s="807">
        <f t="shared" si="5"/>
        <v>1926.9803200000003</v>
      </c>
      <c r="R25" s="184" t="str">
        <f t="shared" si="6"/>
        <v>--</v>
      </c>
      <c r="S25" s="359" t="str">
        <f t="shared" si="7"/>
        <v>--</v>
      </c>
      <c r="T25" s="360" t="str">
        <f t="shared" si="8"/>
        <v>--</v>
      </c>
      <c r="U25" s="217" t="s">
        <v>213</v>
      </c>
      <c r="V25" s="367">
        <f t="shared" si="9"/>
        <v>1926.9803200000003</v>
      </c>
      <c r="W25" s="6"/>
    </row>
    <row r="26" spans="2:23" s="5" customFormat="1" ht="17.1" customHeight="1">
      <c r="B26" s="50"/>
      <c r="C26" s="270">
        <v>76</v>
      </c>
      <c r="D26" s="270">
        <v>296967</v>
      </c>
      <c r="E26" s="149">
        <v>2588</v>
      </c>
      <c r="F26" s="362" t="s">
        <v>336</v>
      </c>
      <c r="G26" s="362" t="s">
        <v>337</v>
      </c>
      <c r="H26" s="363">
        <v>132</v>
      </c>
      <c r="I26" s="129">
        <f t="shared" si="0"/>
        <v>76.711</v>
      </c>
      <c r="J26" s="364">
        <v>42376.38611111111</v>
      </c>
      <c r="K26" s="147">
        <v>42376.72152777778</v>
      </c>
      <c r="L26" s="365">
        <f t="shared" si="1"/>
        <v>8.050000000046566</v>
      </c>
      <c r="M26" s="366">
        <f t="shared" si="2"/>
        <v>483</v>
      </c>
      <c r="N26" s="216" t="s">
        <v>304</v>
      </c>
      <c r="O26" s="217" t="str">
        <f t="shared" si="3"/>
        <v>--</v>
      </c>
      <c r="P26" s="677">
        <f t="shared" si="4"/>
        <v>40</v>
      </c>
      <c r="Q26" s="807">
        <f t="shared" si="5"/>
        <v>2470.0942000000005</v>
      </c>
      <c r="R26" s="184" t="str">
        <f t="shared" si="6"/>
        <v>--</v>
      </c>
      <c r="S26" s="359" t="str">
        <f t="shared" si="7"/>
        <v>--</v>
      </c>
      <c r="T26" s="360" t="str">
        <f t="shared" si="8"/>
        <v>--</v>
      </c>
      <c r="U26" s="217" t="s">
        <v>213</v>
      </c>
      <c r="V26" s="367">
        <f t="shared" si="9"/>
        <v>2470.0942000000005</v>
      </c>
      <c r="W26" s="6"/>
    </row>
    <row r="27" spans="2:23" s="5" customFormat="1" ht="17.1" customHeight="1">
      <c r="B27" s="50"/>
      <c r="C27" s="270">
        <v>77</v>
      </c>
      <c r="D27" s="270">
        <v>297353</v>
      </c>
      <c r="E27" s="270">
        <v>2586</v>
      </c>
      <c r="F27" s="362" t="s">
        <v>340</v>
      </c>
      <c r="G27" s="362" t="s">
        <v>341</v>
      </c>
      <c r="H27" s="363">
        <v>132</v>
      </c>
      <c r="I27" s="129">
        <f t="shared" si="0"/>
        <v>76.711</v>
      </c>
      <c r="J27" s="364">
        <v>42380.376388888886</v>
      </c>
      <c r="K27" s="147">
        <v>42380.57847222222</v>
      </c>
      <c r="L27" s="365">
        <f t="shared" si="1"/>
        <v>4.850000000093132</v>
      </c>
      <c r="M27" s="366">
        <f t="shared" si="2"/>
        <v>291</v>
      </c>
      <c r="N27" s="216" t="s">
        <v>304</v>
      </c>
      <c r="O27" s="217" t="str">
        <f t="shared" si="3"/>
        <v>--</v>
      </c>
      <c r="P27" s="677">
        <f t="shared" si="4"/>
        <v>40</v>
      </c>
      <c r="Q27" s="807">
        <f t="shared" si="5"/>
        <v>1488.1934</v>
      </c>
      <c r="R27" s="184" t="str">
        <f t="shared" si="6"/>
        <v>--</v>
      </c>
      <c r="S27" s="359" t="str">
        <f t="shared" si="7"/>
        <v>--</v>
      </c>
      <c r="T27" s="360" t="str">
        <f t="shared" si="8"/>
        <v>--</v>
      </c>
      <c r="U27" s="217" t="s">
        <v>213</v>
      </c>
      <c r="V27" s="367">
        <f t="shared" si="9"/>
        <v>1488.1934</v>
      </c>
      <c r="W27" s="6"/>
    </row>
    <row r="28" spans="2:23" s="5" customFormat="1" ht="17.1" customHeight="1">
      <c r="B28" s="50"/>
      <c r="C28" s="270">
        <v>78</v>
      </c>
      <c r="D28" s="270">
        <v>297381</v>
      </c>
      <c r="E28" s="149">
        <v>2585</v>
      </c>
      <c r="F28" s="362" t="s">
        <v>340</v>
      </c>
      <c r="G28" s="362" t="s">
        <v>342</v>
      </c>
      <c r="H28" s="363">
        <v>132</v>
      </c>
      <c r="I28" s="129">
        <f t="shared" si="0"/>
        <v>76.711</v>
      </c>
      <c r="J28" s="364">
        <v>42383.32638888889</v>
      </c>
      <c r="K28" s="147">
        <v>42383.71388888889</v>
      </c>
      <c r="L28" s="365">
        <f t="shared" si="1"/>
        <v>9.29999999993015</v>
      </c>
      <c r="M28" s="366">
        <f t="shared" si="2"/>
        <v>558</v>
      </c>
      <c r="N28" s="216" t="s">
        <v>304</v>
      </c>
      <c r="O28" s="217" t="str">
        <f t="shared" si="3"/>
        <v>--</v>
      </c>
      <c r="P28" s="677">
        <f t="shared" si="4"/>
        <v>40</v>
      </c>
      <c r="Q28" s="807">
        <f t="shared" si="5"/>
        <v>2853.6492000000003</v>
      </c>
      <c r="R28" s="184" t="str">
        <f t="shared" si="6"/>
        <v>--</v>
      </c>
      <c r="S28" s="359" t="str">
        <f t="shared" si="7"/>
        <v>--</v>
      </c>
      <c r="T28" s="360" t="str">
        <f t="shared" si="8"/>
        <v>--</v>
      </c>
      <c r="U28" s="217" t="s">
        <v>213</v>
      </c>
      <c r="V28" s="367">
        <f t="shared" si="9"/>
        <v>2853.6492000000003</v>
      </c>
      <c r="W28" s="6"/>
    </row>
    <row r="29" spans="2:23" s="5" customFormat="1" ht="17.1" customHeight="1">
      <c r="B29" s="50"/>
      <c r="C29" s="270">
        <v>79</v>
      </c>
      <c r="D29" s="270">
        <v>297397</v>
      </c>
      <c r="E29" s="270">
        <v>2598</v>
      </c>
      <c r="F29" s="362" t="s">
        <v>321</v>
      </c>
      <c r="G29" s="362" t="s">
        <v>343</v>
      </c>
      <c r="H29" s="363">
        <v>132</v>
      </c>
      <c r="I29" s="129">
        <f t="shared" si="0"/>
        <v>76.711</v>
      </c>
      <c r="J29" s="364">
        <v>42386.27291666667</v>
      </c>
      <c r="K29" s="147">
        <v>42386.36041666667</v>
      </c>
      <c r="L29" s="365">
        <f t="shared" si="1"/>
        <v>2.1000000000349246</v>
      </c>
      <c r="M29" s="366">
        <f t="shared" si="2"/>
        <v>126</v>
      </c>
      <c r="N29" s="216" t="s">
        <v>304</v>
      </c>
      <c r="O29" s="217" t="str">
        <f t="shared" si="3"/>
        <v>--</v>
      </c>
      <c r="P29" s="677">
        <f t="shared" si="4"/>
        <v>40</v>
      </c>
      <c r="Q29" s="807">
        <f t="shared" si="5"/>
        <v>644.3724000000001</v>
      </c>
      <c r="R29" s="184" t="str">
        <f t="shared" si="6"/>
        <v>--</v>
      </c>
      <c r="S29" s="359" t="str">
        <f t="shared" si="7"/>
        <v>--</v>
      </c>
      <c r="T29" s="360" t="str">
        <f t="shared" si="8"/>
        <v>--</v>
      </c>
      <c r="U29" s="217" t="s">
        <v>213</v>
      </c>
      <c r="V29" s="367">
        <f t="shared" si="9"/>
        <v>644.3724000000001</v>
      </c>
      <c r="W29" s="6"/>
    </row>
    <row r="30" spans="2:23" s="5" customFormat="1" ht="17.1" customHeight="1">
      <c r="B30" s="50"/>
      <c r="C30" s="270">
        <v>80</v>
      </c>
      <c r="D30" s="270">
        <v>297784</v>
      </c>
      <c r="E30" s="149">
        <v>2594</v>
      </c>
      <c r="F30" s="362" t="s">
        <v>321</v>
      </c>
      <c r="G30" s="362" t="s">
        <v>344</v>
      </c>
      <c r="H30" s="363">
        <v>132</v>
      </c>
      <c r="I30" s="129">
        <f t="shared" si="0"/>
        <v>76.711</v>
      </c>
      <c r="J30" s="364">
        <v>42389.47708333333</v>
      </c>
      <c r="K30" s="147">
        <v>42389.56041666667</v>
      </c>
      <c r="L30" s="365">
        <f t="shared" si="1"/>
        <v>2.0000000000582077</v>
      </c>
      <c r="M30" s="366">
        <f t="shared" si="2"/>
        <v>120</v>
      </c>
      <c r="N30" s="216" t="s">
        <v>304</v>
      </c>
      <c r="O30" s="217" t="str">
        <f t="shared" si="3"/>
        <v>--</v>
      </c>
      <c r="P30" s="677">
        <f t="shared" si="4"/>
        <v>40</v>
      </c>
      <c r="Q30" s="807">
        <f t="shared" si="5"/>
        <v>613.688</v>
      </c>
      <c r="R30" s="184" t="str">
        <f t="shared" si="6"/>
        <v>--</v>
      </c>
      <c r="S30" s="359" t="str">
        <f t="shared" si="7"/>
        <v>--</v>
      </c>
      <c r="T30" s="360" t="str">
        <f t="shared" si="8"/>
        <v>--</v>
      </c>
      <c r="U30" s="217" t="s">
        <v>213</v>
      </c>
      <c r="V30" s="367">
        <f t="shared" si="9"/>
        <v>613.688</v>
      </c>
      <c r="W30" s="6"/>
    </row>
    <row r="31" spans="2:23" s="5" customFormat="1" ht="17.1" customHeight="1">
      <c r="B31" s="50"/>
      <c r="C31" s="270"/>
      <c r="D31" s="270"/>
      <c r="E31" s="270"/>
      <c r="F31" s="362"/>
      <c r="G31" s="362"/>
      <c r="H31" s="363"/>
      <c r="I31" s="129">
        <f t="shared" si="0"/>
        <v>76.711</v>
      </c>
      <c r="J31" s="364"/>
      <c r="K31" s="147"/>
      <c r="L31" s="365" t="str">
        <f t="shared" si="1"/>
        <v/>
      </c>
      <c r="M31" s="366" t="str">
        <f t="shared" si="2"/>
        <v/>
      </c>
      <c r="N31" s="216"/>
      <c r="O31" s="217" t="str">
        <f t="shared" si="3"/>
        <v/>
      </c>
      <c r="P31" s="677">
        <f t="shared" si="4"/>
        <v>40</v>
      </c>
      <c r="Q31" s="807" t="str">
        <f t="shared" si="5"/>
        <v>--</v>
      </c>
      <c r="R31" s="184" t="str">
        <f t="shared" si="6"/>
        <v>--</v>
      </c>
      <c r="S31" s="359" t="str">
        <f t="shared" si="7"/>
        <v>--</v>
      </c>
      <c r="T31" s="360" t="str">
        <f t="shared" si="8"/>
        <v>--</v>
      </c>
      <c r="U31" s="217" t="str">
        <f aca="true" t="shared" si="10" ref="U31:U41">IF(F31="","","SI")</f>
        <v/>
      </c>
      <c r="V31" s="367" t="str">
        <f t="shared" si="9"/>
        <v/>
      </c>
      <c r="W31" s="6"/>
    </row>
    <row r="32" spans="2:23" s="5" customFormat="1" ht="17.1" customHeight="1">
      <c r="B32" s="50"/>
      <c r="C32" s="270"/>
      <c r="D32" s="270"/>
      <c r="E32" s="149"/>
      <c r="F32" s="362"/>
      <c r="G32" s="362"/>
      <c r="H32" s="363"/>
      <c r="I32" s="129">
        <f t="shared" si="0"/>
        <v>76.711</v>
      </c>
      <c r="J32" s="364"/>
      <c r="K32" s="147"/>
      <c r="L32" s="365" t="str">
        <f t="shared" si="1"/>
        <v/>
      </c>
      <c r="M32" s="366" t="str">
        <f t="shared" si="2"/>
        <v/>
      </c>
      <c r="N32" s="216"/>
      <c r="O32" s="217" t="str">
        <f t="shared" si="3"/>
        <v/>
      </c>
      <c r="P32" s="677">
        <f t="shared" si="4"/>
        <v>40</v>
      </c>
      <c r="Q32" s="807" t="str">
        <f t="shared" si="5"/>
        <v>--</v>
      </c>
      <c r="R32" s="184" t="str">
        <f t="shared" si="6"/>
        <v>--</v>
      </c>
      <c r="S32" s="359" t="str">
        <f t="shared" si="7"/>
        <v>--</v>
      </c>
      <c r="T32" s="360" t="str">
        <f t="shared" si="8"/>
        <v>--</v>
      </c>
      <c r="U32" s="217" t="str">
        <f t="shared" si="10"/>
        <v/>
      </c>
      <c r="V32" s="367" t="str">
        <f t="shared" si="9"/>
        <v/>
      </c>
      <c r="W32" s="6"/>
    </row>
    <row r="33" spans="2:23" s="5" customFormat="1" ht="17.1" customHeight="1">
      <c r="B33" s="50"/>
      <c r="C33" s="270"/>
      <c r="D33" s="270"/>
      <c r="E33" s="270"/>
      <c r="F33" s="362"/>
      <c r="G33" s="362"/>
      <c r="H33" s="363"/>
      <c r="I33" s="129">
        <f t="shared" si="0"/>
        <v>76.711</v>
      </c>
      <c r="J33" s="364"/>
      <c r="K33" s="147"/>
      <c r="L33" s="365" t="str">
        <f t="shared" si="1"/>
        <v/>
      </c>
      <c r="M33" s="366" t="str">
        <f t="shared" si="2"/>
        <v/>
      </c>
      <c r="N33" s="216"/>
      <c r="O33" s="217" t="str">
        <f t="shared" si="3"/>
        <v/>
      </c>
      <c r="P33" s="677">
        <f t="shared" si="4"/>
        <v>40</v>
      </c>
      <c r="Q33" s="807" t="str">
        <f t="shared" si="5"/>
        <v>--</v>
      </c>
      <c r="R33" s="184" t="str">
        <f t="shared" si="6"/>
        <v>--</v>
      </c>
      <c r="S33" s="359" t="str">
        <f t="shared" si="7"/>
        <v>--</v>
      </c>
      <c r="T33" s="360" t="str">
        <f t="shared" si="8"/>
        <v>--</v>
      </c>
      <c r="U33" s="217" t="str">
        <f t="shared" si="10"/>
        <v/>
      </c>
      <c r="V33" s="367" t="str">
        <f t="shared" si="9"/>
        <v/>
      </c>
      <c r="W33" s="6"/>
    </row>
    <row r="34" spans="2:23" s="5" customFormat="1" ht="17.1" customHeight="1">
      <c r="B34" s="50"/>
      <c r="C34" s="270"/>
      <c r="D34" s="270"/>
      <c r="E34" s="149"/>
      <c r="F34" s="362"/>
      <c r="G34" s="362"/>
      <c r="H34" s="363"/>
      <c r="I34" s="129">
        <f t="shared" si="0"/>
        <v>76.711</v>
      </c>
      <c r="J34" s="364"/>
      <c r="K34" s="147"/>
      <c r="L34" s="365" t="str">
        <f t="shared" si="1"/>
        <v/>
      </c>
      <c r="M34" s="366" t="str">
        <f t="shared" si="2"/>
        <v/>
      </c>
      <c r="N34" s="216"/>
      <c r="O34" s="217" t="str">
        <f t="shared" si="3"/>
        <v/>
      </c>
      <c r="P34" s="677">
        <f t="shared" si="4"/>
        <v>40</v>
      </c>
      <c r="Q34" s="807" t="str">
        <f t="shared" si="5"/>
        <v>--</v>
      </c>
      <c r="R34" s="184" t="str">
        <f t="shared" si="6"/>
        <v>--</v>
      </c>
      <c r="S34" s="359" t="str">
        <f t="shared" si="7"/>
        <v>--</v>
      </c>
      <c r="T34" s="360" t="str">
        <f t="shared" si="8"/>
        <v>--</v>
      </c>
      <c r="U34" s="217" t="str">
        <f t="shared" si="10"/>
        <v/>
      </c>
      <c r="V34" s="367" t="str">
        <f t="shared" si="9"/>
        <v/>
      </c>
      <c r="W34" s="6"/>
    </row>
    <row r="35" spans="2:23" s="5" customFormat="1" ht="17.1" customHeight="1">
      <c r="B35" s="50"/>
      <c r="C35" s="270"/>
      <c r="D35" s="270"/>
      <c r="E35" s="270"/>
      <c r="F35" s="362"/>
      <c r="G35" s="362"/>
      <c r="H35" s="363"/>
      <c r="I35" s="129">
        <f t="shared" si="0"/>
        <v>76.711</v>
      </c>
      <c r="J35" s="364"/>
      <c r="K35" s="147"/>
      <c r="L35" s="365" t="str">
        <f t="shared" si="1"/>
        <v/>
      </c>
      <c r="M35" s="366" t="str">
        <f t="shared" si="2"/>
        <v/>
      </c>
      <c r="N35" s="216"/>
      <c r="O35" s="217" t="str">
        <f t="shared" si="3"/>
        <v/>
      </c>
      <c r="P35" s="677">
        <f t="shared" si="4"/>
        <v>40</v>
      </c>
      <c r="Q35" s="807" t="str">
        <f t="shared" si="5"/>
        <v>--</v>
      </c>
      <c r="R35" s="184" t="str">
        <f t="shared" si="6"/>
        <v>--</v>
      </c>
      <c r="S35" s="359" t="str">
        <f t="shared" si="7"/>
        <v>--</v>
      </c>
      <c r="T35" s="360" t="str">
        <f t="shared" si="8"/>
        <v>--</v>
      </c>
      <c r="U35" s="217" t="str">
        <f t="shared" si="10"/>
        <v/>
      </c>
      <c r="V35" s="367" t="str">
        <f>IF(F35="","",SUM(Q35:T35)*IF(U35="SI",1,2))</f>
        <v/>
      </c>
      <c r="W35" s="6"/>
    </row>
    <row r="36" spans="2:23" s="5" customFormat="1" ht="17.1" customHeight="1">
      <c r="B36" s="50"/>
      <c r="C36" s="270"/>
      <c r="D36" s="270"/>
      <c r="E36" s="149"/>
      <c r="F36" s="362"/>
      <c r="G36" s="362"/>
      <c r="H36" s="363"/>
      <c r="I36" s="129">
        <f t="shared" si="0"/>
        <v>76.711</v>
      </c>
      <c r="J36" s="364"/>
      <c r="K36" s="147"/>
      <c r="L36" s="365" t="str">
        <f t="shared" si="1"/>
        <v/>
      </c>
      <c r="M36" s="366" t="str">
        <f t="shared" si="2"/>
        <v/>
      </c>
      <c r="N36" s="216"/>
      <c r="O36" s="217" t="str">
        <f t="shared" si="3"/>
        <v/>
      </c>
      <c r="P36" s="677">
        <f t="shared" si="4"/>
        <v>40</v>
      </c>
      <c r="Q36" s="807" t="str">
        <f t="shared" si="5"/>
        <v>--</v>
      </c>
      <c r="R36" s="184" t="str">
        <f t="shared" si="6"/>
        <v>--</v>
      </c>
      <c r="S36" s="359" t="str">
        <f t="shared" si="7"/>
        <v>--</v>
      </c>
      <c r="T36" s="360" t="str">
        <f t="shared" si="8"/>
        <v>--</v>
      </c>
      <c r="U36" s="217" t="str">
        <f t="shared" si="10"/>
        <v/>
      </c>
      <c r="V36" s="367" t="str">
        <f t="shared" si="9"/>
        <v/>
      </c>
      <c r="W36" s="6"/>
    </row>
    <row r="37" spans="2:23" s="5" customFormat="1" ht="17.1" customHeight="1">
      <c r="B37" s="50"/>
      <c r="C37" s="270"/>
      <c r="D37" s="270"/>
      <c r="E37" s="270"/>
      <c r="F37" s="362"/>
      <c r="G37" s="362"/>
      <c r="H37" s="363"/>
      <c r="I37" s="129">
        <f t="shared" si="0"/>
        <v>76.711</v>
      </c>
      <c r="J37" s="364"/>
      <c r="K37" s="147"/>
      <c r="L37" s="365" t="str">
        <f t="shared" si="1"/>
        <v/>
      </c>
      <c r="M37" s="366" t="str">
        <f t="shared" si="2"/>
        <v/>
      </c>
      <c r="N37" s="216"/>
      <c r="O37" s="217" t="str">
        <f t="shared" si="3"/>
        <v/>
      </c>
      <c r="P37" s="677">
        <f t="shared" si="4"/>
        <v>40</v>
      </c>
      <c r="Q37" s="807" t="str">
        <f t="shared" si="5"/>
        <v>--</v>
      </c>
      <c r="R37" s="184" t="str">
        <f t="shared" si="6"/>
        <v>--</v>
      </c>
      <c r="S37" s="359" t="str">
        <f t="shared" si="7"/>
        <v>--</v>
      </c>
      <c r="T37" s="360" t="str">
        <f t="shared" si="8"/>
        <v>--</v>
      </c>
      <c r="U37" s="217" t="str">
        <f t="shared" si="10"/>
        <v/>
      </c>
      <c r="V37" s="367" t="str">
        <f t="shared" si="9"/>
        <v/>
      </c>
      <c r="W37" s="6"/>
    </row>
    <row r="38" spans="2:23" s="5" customFormat="1" ht="17.1" customHeight="1">
      <c r="B38" s="50"/>
      <c r="C38" s="270"/>
      <c r="D38" s="270"/>
      <c r="E38" s="149"/>
      <c r="F38" s="362"/>
      <c r="G38" s="362"/>
      <c r="H38" s="363"/>
      <c r="I38" s="129">
        <f t="shared" si="0"/>
        <v>76.711</v>
      </c>
      <c r="J38" s="364"/>
      <c r="K38" s="147"/>
      <c r="L38" s="365" t="str">
        <f t="shared" si="1"/>
        <v/>
      </c>
      <c r="M38" s="366" t="str">
        <f t="shared" si="2"/>
        <v/>
      </c>
      <c r="N38" s="216"/>
      <c r="O38" s="217" t="str">
        <f t="shared" si="3"/>
        <v/>
      </c>
      <c r="P38" s="677">
        <f t="shared" si="4"/>
        <v>40</v>
      </c>
      <c r="Q38" s="807" t="str">
        <f t="shared" si="5"/>
        <v>--</v>
      </c>
      <c r="R38" s="184" t="str">
        <f t="shared" si="6"/>
        <v>--</v>
      </c>
      <c r="S38" s="359" t="str">
        <f t="shared" si="7"/>
        <v>--</v>
      </c>
      <c r="T38" s="360" t="str">
        <f t="shared" si="8"/>
        <v>--</v>
      </c>
      <c r="U38" s="217" t="str">
        <f t="shared" si="10"/>
        <v/>
      </c>
      <c r="V38" s="367" t="str">
        <f t="shared" si="9"/>
        <v/>
      </c>
      <c r="W38" s="6"/>
    </row>
    <row r="39" spans="2:23" s="5" customFormat="1" ht="17.1" customHeight="1">
      <c r="B39" s="50"/>
      <c r="C39" s="270"/>
      <c r="D39" s="270"/>
      <c r="E39" s="270"/>
      <c r="F39" s="362"/>
      <c r="G39" s="362"/>
      <c r="H39" s="363"/>
      <c r="I39" s="129">
        <f t="shared" si="0"/>
        <v>76.711</v>
      </c>
      <c r="J39" s="364"/>
      <c r="K39" s="147"/>
      <c r="L39" s="365" t="str">
        <f t="shared" si="1"/>
        <v/>
      </c>
      <c r="M39" s="366" t="str">
        <f t="shared" si="2"/>
        <v/>
      </c>
      <c r="N39" s="216"/>
      <c r="O39" s="217" t="str">
        <f t="shared" si="3"/>
        <v/>
      </c>
      <c r="P39" s="677">
        <f t="shared" si="4"/>
        <v>40</v>
      </c>
      <c r="Q39" s="807" t="str">
        <f t="shared" si="5"/>
        <v>--</v>
      </c>
      <c r="R39" s="184" t="str">
        <f t="shared" si="6"/>
        <v>--</v>
      </c>
      <c r="S39" s="359" t="str">
        <f t="shared" si="7"/>
        <v>--</v>
      </c>
      <c r="T39" s="360" t="str">
        <f t="shared" si="8"/>
        <v>--</v>
      </c>
      <c r="U39" s="217" t="str">
        <f t="shared" si="10"/>
        <v/>
      </c>
      <c r="V39" s="367" t="str">
        <f t="shared" si="9"/>
        <v/>
      </c>
      <c r="W39" s="6"/>
    </row>
    <row r="40" spans="2:23" s="5" customFormat="1" ht="17.1" customHeight="1">
      <c r="B40" s="50"/>
      <c r="C40" s="270"/>
      <c r="D40" s="270"/>
      <c r="E40" s="149"/>
      <c r="F40" s="362"/>
      <c r="G40" s="362"/>
      <c r="H40" s="363"/>
      <c r="I40" s="129">
        <f t="shared" si="0"/>
        <v>76.711</v>
      </c>
      <c r="J40" s="364"/>
      <c r="K40" s="147"/>
      <c r="L40" s="365" t="str">
        <f t="shared" si="1"/>
        <v/>
      </c>
      <c r="M40" s="366" t="str">
        <f t="shared" si="2"/>
        <v/>
      </c>
      <c r="N40" s="216"/>
      <c r="O40" s="217" t="str">
        <f t="shared" si="3"/>
        <v/>
      </c>
      <c r="P40" s="677">
        <f t="shared" si="4"/>
        <v>40</v>
      </c>
      <c r="Q40" s="807" t="str">
        <f t="shared" si="5"/>
        <v>--</v>
      </c>
      <c r="R40" s="184" t="str">
        <f t="shared" si="6"/>
        <v>--</v>
      </c>
      <c r="S40" s="359" t="str">
        <f t="shared" si="7"/>
        <v>--</v>
      </c>
      <c r="T40" s="360" t="str">
        <f t="shared" si="8"/>
        <v>--</v>
      </c>
      <c r="U40" s="217" t="str">
        <f t="shared" si="10"/>
        <v/>
      </c>
      <c r="V40" s="367" t="str">
        <f t="shared" si="9"/>
        <v/>
      </c>
      <c r="W40" s="6"/>
    </row>
    <row r="41" spans="2:23" s="5" customFormat="1" ht="17.1" customHeight="1">
      <c r="B41" s="50"/>
      <c r="C41" s="270"/>
      <c r="D41" s="270"/>
      <c r="E41" s="270"/>
      <c r="F41" s="362"/>
      <c r="G41" s="362"/>
      <c r="H41" s="363"/>
      <c r="I41" s="129">
        <f t="shared" si="0"/>
        <v>76.711</v>
      </c>
      <c r="J41" s="364"/>
      <c r="K41" s="147"/>
      <c r="L41" s="365" t="str">
        <f t="shared" si="1"/>
        <v/>
      </c>
      <c r="M41" s="366" t="str">
        <f t="shared" si="2"/>
        <v/>
      </c>
      <c r="N41" s="216"/>
      <c r="O41" s="217" t="str">
        <f t="shared" si="3"/>
        <v/>
      </c>
      <c r="P41" s="677">
        <f t="shared" si="4"/>
        <v>40</v>
      </c>
      <c r="Q41" s="807" t="str">
        <f t="shared" si="5"/>
        <v>--</v>
      </c>
      <c r="R41" s="184" t="str">
        <f t="shared" si="6"/>
        <v>--</v>
      </c>
      <c r="S41" s="359" t="str">
        <f t="shared" si="7"/>
        <v>--</v>
      </c>
      <c r="T41" s="360" t="str">
        <f t="shared" si="8"/>
        <v>--</v>
      </c>
      <c r="U41" s="217" t="str">
        <f t="shared" si="10"/>
        <v/>
      </c>
      <c r="V41" s="367" t="str">
        <f t="shared" si="9"/>
        <v/>
      </c>
      <c r="W41" s="6"/>
    </row>
    <row r="42" spans="2:23" s="5" customFormat="1" ht="17.1" customHeight="1" thickBot="1">
      <c r="B42" s="50"/>
      <c r="C42" s="224"/>
      <c r="D42" s="224"/>
      <c r="E42" s="224"/>
      <c r="F42" s="224"/>
      <c r="G42" s="224"/>
      <c r="H42" s="224"/>
      <c r="I42" s="130"/>
      <c r="J42" s="368"/>
      <c r="K42" s="368"/>
      <c r="L42" s="369"/>
      <c r="M42" s="369"/>
      <c r="N42" s="368"/>
      <c r="O42" s="148"/>
      <c r="P42" s="370"/>
      <c r="Q42" s="371"/>
      <c r="R42" s="372"/>
      <c r="S42" s="373"/>
      <c r="T42" s="154"/>
      <c r="U42" s="148"/>
      <c r="V42" s="374"/>
      <c r="W42" s="6"/>
    </row>
    <row r="43" spans="2:23" s="5" customFormat="1" ht="17.1" customHeight="1" thickBot="1" thickTop="1">
      <c r="B43" s="50"/>
      <c r="C43" s="126" t="s">
        <v>25</v>
      </c>
      <c r="D43" s="73" t="s">
        <v>369</v>
      </c>
      <c r="E43" s="126"/>
      <c r="F43" s="127"/>
      <c r="G43"/>
      <c r="H43" s="4"/>
      <c r="I43" s="4"/>
      <c r="J43" s="4"/>
      <c r="K43" s="4"/>
      <c r="L43" s="4"/>
      <c r="M43" s="4"/>
      <c r="N43" s="4"/>
      <c r="O43" s="4"/>
      <c r="P43" s="4"/>
      <c r="Q43" s="375">
        <f>SUM(Q20:Q42)</f>
        <v>16379.33272</v>
      </c>
      <c r="R43" s="376">
        <f>SUM(R20:R42)</f>
        <v>0</v>
      </c>
      <c r="S43" s="377">
        <f>SUM(S20:S42)</f>
        <v>0</v>
      </c>
      <c r="T43" s="378">
        <f>SUM(T20:T42)</f>
        <v>0</v>
      </c>
      <c r="U43" s="379"/>
      <c r="V43" s="100">
        <f>ROUND(SUM(V20:V42),2)</f>
        <v>16379.33</v>
      </c>
      <c r="W43" s="6"/>
    </row>
    <row r="44" spans="2:23" s="5" customFormat="1" ht="17.1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23:25" ht="17.1" customHeight="1" thickTop="1">
      <c r="W45" s="168"/>
      <c r="X45" s="168"/>
      <c r="Y45" s="168"/>
    </row>
    <row r="46" spans="23:25" ht="17.1" customHeight="1">
      <c r="W46" s="168"/>
      <c r="X46" s="168"/>
      <c r="Y46" s="168"/>
    </row>
    <row r="47" spans="23:25" ht="17.1" customHeight="1">
      <c r="W47" s="168"/>
      <c r="X47" s="168"/>
      <c r="Y47" s="168"/>
    </row>
    <row r="48" spans="23:25" ht="17.1" customHeight="1">
      <c r="W48" s="168"/>
      <c r="X48" s="168"/>
      <c r="Y48" s="168"/>
    </row>
    <row r="49" spans="23:25" ht="17.1" customHeight="1">
      <c r="W49" s="168"/>
      <c r="X49" s="168"/>
      <c r="Y49" s="168"/>
    </row>
    <row r="50" spans="6:25" ht="17.1" customHeight="1"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</row>
    <row r="51" spans="6:25" ht="17.1" customHeight="1"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</row>
    <row r="52" spans="6:25" ht="17.1" customHeight="1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</row>
    <row r="53" spans="6:25" ht="17.1" customHeight="1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</row>
    <row r="54" spans="6:25" ht="17.1" customHeight="1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</row>
    <row r="55" spans="6:25" ht="17.1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</row>
    <row r="56" spans="6:25" ht="17.1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</row>
    <row r="57" spans="6:25" ht="17.1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</row>
    <row r="58" spans="6:25" ht="17.1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</row>
    <row r="59" spans="6:25" ht="17.1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</row>
    <row r="60" spans="6:25" ht="17.1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</row>
    <row r="61" spans="6:25" ht="17.1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</row>
    <row r="62" spans="6:25" ht="17.1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</row>
    <row r="63" spans="6:25" ht="17.1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</row>
    <row r="64" spans="6:25" ht="17.1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</row>
    <row r="65" spans="6:25" ht="17.1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</row>
    <row r="66" spans="6:25" ht="17.1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</row>
    <row r="67" spans="6:25" ht="17.1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</row>
    <row r="68" spans="6:25" ht="17.1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</row>
    <row r="69" spans="6:25" ht="17.1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</row>
    <row r="70" spans="6:25" ht="17.1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</row>
    <row r="71" spans="6:25" ht="17.1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</row>
    <row r="72" spans="6:25" ht="17.1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</row>
    <row r="73" spans="6:25" ht="17.1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</row>
    <row r="74" spans="6:25" ht="17.1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</row>
    <row r="75" spans="6:25" ht="17.1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</row>
    <row r="76" spans="6:25" ht="17.1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</row>
    <row r="77" spans="6:25" ht="17.1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</row>
    <row r="78" spans="6:25" ht="17.1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</row>
    <row r="79" spans="6:25" ht="17.1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</row>
    <row r="80" spans="6:25" ht="17.1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</row>
    <row r="81" spans="6:25" ht="17.1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</row>
    <row r="82" spans="6:25" ht="17.1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</row>
    <row r="83" spans="6:25" ht="17.1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</row>
    <row r="84" spans="6:25" ht="17.1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</row>
    <row r="85" spans="6:25" ht="17.1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</row>
    <row r="86" spans="6:25" ht="17.1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</row>
    <row r="87" spans="6:25" ht="17.1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</row>
    <row r="88" spans="6:25" ht="17.1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</row>
    <row r="89" spans="6:25" ht="17.1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</row>
    <row r="90" spans="6:25" ht="17.1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</row>
    <row r="91" spans="6:25" ht="17.1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</row>
    <row r="92" spans="6:25" ht="17.1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</row>
    <row r="93" spans="6:25" ht="17.1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</row>
    <row r="94" spans="6:25" ht="17.1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</row>
    <row r="95" spans="6:25" ht="17.1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</row>
    <row r="96" spans="6:25" ht="17.1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</row>
    <row r="97" spans="6:25" ht="17.1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</row>
    <row r="98" spans="6:25" ht="17.1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</row>
    <row r="99" spans="6:25" ht="17.1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</row>
    <row r="100" spans="6:25" ht="17.1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</row>
    <row r="101" spans="6:25" ht="17.1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</row>
    <row r="102" spans="6:25" ht="17.1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</row>
    <row r="103" spans="6:25" ht="17.1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</row>
    <row r="104" spans="6:25" ht="17.1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</row>
    <row r="105" spans="6:25" ht="17.1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</row>
    <row r="106" spans="6:25" ht="17.1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</row>
    <row r="107" spans="6:25" ht="17.1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</row>
    <row r="108" spans="6:25" ht="17.1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</row>
    <row r="109" spans="6:25" ht="17.1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</row>
    <row r="110" spans="6:25" ht="17.1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</row>
    <row r="111" spans="6:25" ht="17.1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</row>
    <row r="112" spans="6:25" ht="17.1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</row>
    <row r="113" spans="6:25" ht="17.1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</row>
    <row r="114" spans="6:25" ht="17.1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</row>
    <row r="115" spans="6:25" ht="17.1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</row>
    <row r="116" spans="6:25" ht="17.1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</row>
    <row r="117" spans="6:25" ht="17.1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</row>
    <row r="118" spans="6:25" ht="17.1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</row>
    <row r="119" spans="6:25" ht="17.1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</row>
    <row r="120" spans="6:25" ht="17.1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</row>
    <row r="121" spans="6:25" ht="17.1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</row>
    <row r="122" spans="6:25" ht="17.1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</row>
    <row r="123" spans="6:25" ht="17.1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</row>
    <row r="124" spans="6:25" ht="17.1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</row>
    <row r="125" spans="6:25" ht="17.1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</row>
    <row r="126" spans="6:25" ht="17.1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</row>
    <row r="127" spans="6:25" ht="17.1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</row>
    <row r="128" spans="6:25" ht="17.1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</row>
    <row r="129" spans="6:25" ht="17.1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</row>
    <row r="130" spans="6:25" ht="17.1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</row>
    <row r="131" spans="6:25" ht="17.1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</row>
    <row r="132" spans="6:25" ht="17.1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</row>
    <row r="133" spans="6:25" ht="17.1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</row>
    <row r="134" spans="6:25" ht="17.1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</row>
    <row r="135" spans="6:25" ht="17.1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</row>
    <row r="136" spans="6:25" ht="17.1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</row>
    <row r="137" spans="6:25" ht="17.1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</row>
    <row r="138" spans="6:25" ht="17.1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</row>
    <row r="139" spans="6:25" ht="17.1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</row>
    <row r="140" spans="6:25" ht="17.1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</row>
    <row r="141" spans="6:25" ht="17.1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</row>
    <row r="142" spans="6:25" ht="17.1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</row>
    <row r="143" spans="6:25" ht="17.1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</row>
    <row r="144" spans="6:25" ht="17.1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</row>
    <row r="145" spans="6:25" ht="17.1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</row>
    <row r="146" spans="6:25" ht="17.1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</row>
    <row r="147" spans="6:25" ht="17.1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</row>
    <row r="148" spans="6:25" ht="17.1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</row>
    <row r="149" spans="6:25" ht="17.1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</row>
    <row r="150" spans="6:25" ht="17.1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</row>
    <row r="151" spans="6:25" ht="17.1" customHeight="1"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</row>
    <row r="152" spans="6:25" ht="17.1" customHeight="1"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</row>
    <row r="153" spans="6:25" ht="17.1" customHeight="1"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</row>
    <row r="154" spans="6:25" ht="17.1" customHeight="1"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</row>
    <row r="155" spans="6:25" ht="17.1" customHeight="1"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</row>
    <row r="156" spans="6:25" ht="17.1" customHeight="1"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</row>
    <row r="157" spans="6:25" ht="17.1" customHeight="1"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</row>
    <row r="160" ht="12.75"/>
    <row r="161" ht="12.75"/>
    <row r="162" ht="12.75"/>
    <row r="163" ht="12.75"/>
    <row r="164" ht="12.75"/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2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5505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57150</xdr:colOff>
                    <xdr:row>41</xdr:row>
                    <xdr:rowOff>200025</xdr:rowOff>
                  </from>
                  <to>
                    <xdr:col>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6">
    <pageSetUpPr fitToPage="1"/>
  </sheetPr>
  <dimension ref="A1:AC156"/>
  <sheetViews>
    <sheetView zoomScale="70" zoomScaleNormal="70" workbookViewId="0" topLeftCell="A1">
      <selection activeCell="A48" sqref="A48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25.7109375" style="0" customWidth="1"/>
    <col min="8" max="8" width="8.00390625" style="0" customWidth="1"/>
    <col min="9" max="9" width="5.421875" style="0" hidden="1" customWidth="1"/>
    <col min="10" max="11" width="15.7109375" style="0" customWidth="1"/>
    <col min="12" max="15" width="9.7109375" style="0" customWidth="1"/>
    <col min="16" max="16" width="6.00390625" style="0" customWidth="1"/>
    <col min="17" max="17" width="3.7109375" style="0" hidden="1" customWidth="1"/>
    <col min="18" max="18" width="13.140625" style="0" hidden="1" customWidth="1"/>
    <col min="19" max="22" width="9.57421875" style="0" hidden="1" customWidth="1"/>
    <col min="23" max="24" width="12.28125" style="0" hidden="1" customWidth="1"/>
    <col min="25" max="25" width="9.7109375" style="0" customWidth="1"/>
    <col min="26" max="26" width="15.7109375" style="0" customWidth="1"/>
    <col min="27" max="27" width="4.140625" style="0" customWidth="1"/>
  </cols>
  <sheetData>
    <row r="1" s="18" customFormat="1" ht="26.25">
      <c r="AA1" s="139"/>
    </row>
    <row r="2" spans="1:27" s="18" customFormat="1" ht="26.25">
      <c r="A2" s="91"/>
      <c r="B2" s="381" t="str">
        <f>+'TOT-0116'!B2</f>
        <v>ANEXO II al Memorándum D.T.E.E. N° 231 / 2017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27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s="29" customFormat="1" ht="20.25">
      <c r="B8" s="79"/>
      <c r="C8" s="30"/>
      <c r="D8" s="30"/>
      <c r="F8" s="167" t="s">
        <v>85</v>
      </c>
      <c r="G8" s="382"/>
      <c r="H8" s="164"/>
      <c r="I8" s="163"/>
      <c r="J8" s="163"/>
      <c r="K8" s="163"/>
      <c r="L8" s="163"/>
      <c r="M8" s="163"/>
      <c r="N8" s="163"/>
      <c r="O8" s="163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383"/>
    </row>
    <row r="9" spans="2:27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2:27" s="29" customFormat="1" ht="20.25">
      <c r="B10" s="79"/>
      <c r="C10" s="30"/>
      <c r="D10" s="30"/>
      <c r="F10" s="11" t="s">
        <v>86</v>
      </c>
      <c r="H10" s="384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30"/>
      <c r="AA10" s="80"/>
    </row>
    <row r="11" spans="2:27" s="5" customFormat="1" ht="17.1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6"/>
    </row>
    <row r="12" spans="2:27" s="29" customFormat="1" ht="20.25">
      <c r="B12" s="79"/>
      <c r="C12" s="30"/>
      <c r="D12" s="30"/>
      <c r="F12" s="11" t="s">
        <v>87</v>
      </c>
      <c r="H12" s="384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30"/>
      <c r="AA12" s="80"/>
    </row>
    <row r="13" spans="2:27" s="5" customFormat="1" ht="17.1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6"/>
    </row>
    <row r="14" spans="2:27" s="36" customFormat="1" ht="17.1" customHeight="1">
      <c r="B14" s="37" t="str">
        <f>'TOT-0116'!B14</f>
        <v>Desde el 01 al 31 de enero de 2016</v>
      </c>
      <c r="C14" s="40"/>
      <c r="D14" s="40"/>
      <c r="E14" s="385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5"/>
      <c r="S14" s="385"/>
      <c r="T14" s="385"/>
      <c r="U14" s="385"/>
      <c r="V14" s="385"/>
      <c r="W14" s="385"/>
      <c r="X14" s="385"/>
      <c r="Y14" s="385"/>
      <c r="Z14" s="385"/>
      <c r="AA14" s="387"/>
    </row>
    <row r="15" spans="2:27" s="5" customFormat="1" ht="17.1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2:27" s="5" customFormat="1" ht="17.1" customHeight="1" thickBot="1" thickTop="1">
      <c r="B16" s="50"/>
      <c r="C16" s="4"/>
      <c r="D16" s="4"/>
      <c r="E16" s="4"/>
      <c r="F16" s="116" t="s">
        <v>76</v>
      </c>
      <c r="G16" s="388"/>
      <c r="H16" s="248">
        <v>1.391</v>
      </c>
      <c r="I16" s="336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2:27" s="5" customFormat="1" ht="17.1" customHeight="1" thickBot="1" thickTop="1">
      <c r="B17" s="50"/>
      <c r="C17" s="4"/>
      <c r="D17" s="4"/>
      <c r="E17" s="4"/>
      <c r="F17" s="389" t="s">
        <v>26</v>
      </c>
      <c r="G17" s="390"/>
      <c r="H17" s="753">
        <v>20</v>
      </c>
      <c r="I17" s="336"/>
      <c r="J17"/>
      <c r="K17" s="195"/>
      <c r="L17" s="196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115"/>
      <c r="Z17" s="115"/>
      <c r="AA17" s="6"/>
    </row>
    <row r="18" spans="2:27" s="5" customFormat="1" ht="17.1" customHeight="1" thickBot="1" thickTop="1">
      <c r="B18" s="50"/>
      <c r="C18" s="836">
        <v>3</v>
      </c>
      <c r="D18" s="836">
        <v>4</v>
      </c>
      <c r="E18" s="836">
        <v>5</v>
      </c>
      <c r="F18" s="836">
        <v>6</v>
      </c>
      <c r="G18" s="836">
        <v>7</v>
      </c>
      <c r="H18" s="836">
        <v>8</v>
      </c>
      <c r="I18" s="836">
        <v>9</v>
      </c>
      <c r="J18" s="836">
        <v>10</v>
      </c>
      <c r="K18" s="836">
        <v>11</v>
      </c>
      <c r="L18" s="836">
        <v>12</v>
      </c>
      <c r="M18" s="836">
        <v>13</v>
      </c>
      <c r="N18" s="836">
        <v>14</v>
      </c>
      <c r="O18" s="836">
        <v>15</v>
      </c>
      <c r="P18" s="836">
        <v>16</v>
      </c>
      <c r="Q18" s="836">
        <v>17</v>
      </c>
      <c r="R18" s="836">
        <v>18</v>
      </c>
      <c r="S18" s="836">
        <v>19</v>
      </c>
      <c r="T18" s="836">
        <v>20</v>
      </c>
      <c r="U18" s="836">
        <v>21</v>
      </c>
      <c r="V18" s="836">
        <v>22</v>
      </c>
      <c r="W18" s="836">
        <v>23</v>
      </c>
      <c r="X18" s="836">
        <v>24</v>
      </c>
      <c r="Y18" s="836">
        <v>25</v>
      </c>
      <c r="Z18" s="836">
        <v>26</v>
      </c>
      <c r="AA18" s="6"/>
    </row>
    <row r="19" spans="2:27" s="5" customFormat="1" ht="33.95" customHeight="1" thickBot="1" thickTop="1">
      <c r="B19" s="50"/>
      <c r="C19" s="122" t="s">
        <v>13</v>
      </c>
      <c r="D19" s="84" t="s">
        <v>242</v>
      </c>
      <c r="E19" s="84" t="s">
        <v>243</v>
      </c>
      <c r="F19" s="86" t="s">
        <v>27</v>
      </c>
      <c r="G19" s="85" t="s">
        <v>28</v>
      </c>
      <c r="H19" s="392" t="s">
        <v>241</v>
      </c>
      <c r="I19" s="128" t="s">
        <v>16</v>
      </c>
      <c r="J19" s="85" t="s">
        <v>17</v>
      </c>
      <c r="K19" s="85" t="s">
        <v>18</v>
      </c>
      <c r="L19" s="86" t="s">
        <v>36</v>
      </c>
      <c r="M19" s="86" t="s">
        <v>31</v>
      </c>
      <c r="N19" s="88" t="s">
        <v>19</v>
      </c>
      <c r="O19" s="88" t="s">
        <v>58</v>
      </c>
      <c r="P19" s="85" t="s">
        <v>32</v>
      </c>
      <c r="Q19" s="128" t="s">
        <v>37</v>
      </c>
      <c r="R19" s="393" t="s">
        <v>70</v>
      </c>
      <c r="S19" s="394" t="s">
        <v>237</v>
      </c>
      <c r="T19" s="395"/>
      <c r="U19" s="252" t="s">
        <v>238</v>
      </c>
      <c r="V19" s="253"/>
      <c r="W19" s="396" t="s">
        <v>22</v>
      </c>
      <c r="X19" s="251" t="s">
        <v>21</v>
      </c>
      <c r="Y19" s="131" t="s">
        <v>74</v>
      </c>
      <c r="Z19" s="397" t="s">
        <v>24</v>
      </c>
      <c r="AA19" s="6"/>
    </row>
    <row r="20" spans="2:27" s="5" customFormat="1" ht="17.1" customHeight="1" thickTop="1">
      <c r="B20" s="50"/>
      <c r="C20" s="256"/>
      <c r="D20" s="256"/>
      <c r="E20" s="256"/>
      <c r="F20" s="399"/>
      <c r="G20" s="399"/>
      <c r="H20" s="399"/>
      <c r="I20" s="327"/>
      <c r="J20" s="400"/>
      <c r="K20" s="400"/>
      <c r="L20" s="398"/>
      <c r="M20" s="398"/>
      <c r="N20" s="399"/>
      <c r="O20" s="176"/>
      <c r="P20" s="398"/>
      <c r="Q20" s="401"/>
      <c r="R20" s="402"/>
      <c r="S20" s="403"/>
      <c r="T20" s="404"/>
      <c r="U20" s="265"/>
      <c r="V20" s="266"/>
      <c r="W20" s="405"/>
      <c r="X20" s="405"/>
      <c r="Y20" s="406"/>
      <c r="Z20" s="407"/>
      <c r="AA20" s="6"/>
    </row>
    <row r="21" spans="2:27" s="5" customFormat="1" ht="17.1" customHeight="1">
      <c r="B21" s="50"/>
      <c r="C21" s="270"/>
      <c r="D21" s="270"/>
      <c r="E21" s="270"/>
      <c r="F21" s="408"/>
      <c r="G21" s="409"/>
      <c r="H21" s="410"/>
      <c r="I21" s="411"/>
      <c r="J21" s="412"/>
      <c r="K21" s="413"/>
      <c r="L21" s="414"/>
      <c r="M21" s="415"/>
      <c r="N21" s="416"/>
      <c r="O21" s="177"/>
      <c r="P21" s="417"/>
      <c r="Q21" s="418"/>
      <c r="R21" s="419"/>
      <c r="S21" s="420"/>
      <c r="T21" s="421"/>
      <c r="U21" s="279"/>
      <c r="V21" s="280"/>
      <c r="W21" s="422"/>
      <c r="X21" s="422"/>
      <c r="Y21" s="417"/>
      <c r="Z21" s="423"/>
      <c r="AA21" s="6"/>
    </row>
    <row r="22" spans="2:27" s="5" customFormat="1" ht="17.1" customHeight="1">
      <c r="B22" s="50"/>
      <c r="C22" s="270">
        <v>81</v>
      </c>
      <c r="D22" s="270">
        <v>283019</v>
      </c>
      <c r="E22" s="149">
        <v>651</v>
      </c>
      <c r="F22" s="424" t="s">
        <v>430</v>
      </c>
      <c r="G22" s="362" t="s">
        <v>431</v>
      </c>
      <c r="H22" s="425">
        <v>120</v>
      </c>
      <c r="I22" s="287">
        <f aca="true" t="shared" si="0" ref="I22:I40">H22*$H$16</f>
        <v>166.92000000000002</v>
      </c>
      <c r="J22" s="364">
        <v>42370</v>
      </c>
      <c r="K22" s="181">
        <v>42400.99998842592</v>
      </c>
      <c r="L22" s="365">
        <f aca="true" t="shared" si="1" ref="L22:L40">IF(F22="","",(K22-J22)*24)</f>
        <v>743.9997222221573</v>
      </c>
      <c r="M22" s="366">
        <f aca="true" t="shared" si="2" ref="M22:M40">IF(F22="","",ROUND((K22-J22)*24*60,0))</f>
        <v>44640</v>
      </c>
      <c r="N22" s="216" t="s">
        <v>304</v>
      </c>
      <c r="O22" s="499" t="s">
        <v>345</v>
      </c>
      <c r="P22" s="217" t="str">
        <f aca="true" t="shared" si="3" ref="P22:P40">IF(F22="","",IF(OR(N22="P",N22="RP"),"--","NO"))</f>
        <v>--</v>
      </c>
      <c r="Q22" s="808">
        <f>IF(OR(N22="P",N22="RP"),$H$17/10,$H$17)</f>
        <v>2</v>
      </c>
      <c r="R22" s="809">
        <f aca="true" t="shared" si="4" ref="R22:R39">IF(N22="P",I22*Q22*ROUND(M22/60,2),"--")</f>
        <v>248376.96000000002</v>
      </c>
      <c r="S22" s="420" t="str">
        <f aca="true" t="shared" si="5" ref="S22:S39">IF(AND(N22="F",P22="NO"),I22*Q22,"--")</f>
        <v>--</v>
      </c>
      <c r="T22" s="421" t="str">
        <f aca="true" t="shared" si="6" ref="T22:T39">IF(N22="F",I22*Q22*ROUND(M22/60,2),"--")</f>
        <v>--</v>
      </c>
      <c r="U22" s="294" t="str">
        <f>IF(AND(N22="R",P22="NO"),I22*Q22*O22/100,"--")</f>
        <v>--</v>
      </c>
      <c r="V22" s="295" t="str">
        <f>IF(N22="R",I22*Q22*O22/100*ROUND(M22/60,2),"--")</f>
        <v>--</v>
      </c>
      <c r="W22" s="422" t="str">
        <f aca="true" t="shared" si="7" ref="W22:W39">IF(N22="RF",I22*Q22*ROUND(M22/60,2),"--")</f>
        <v>--</v>
      </c>
      <c r="X22" s="806" t="str">
        <f>IF(N22="RP",I22*Q22*O22/100*ROUND(M22/60,2),"--")</f>
        <v>--</v>
      </c>
      <c r="Y22" s="217" t="s">
        <v>213</v>
      </c>
      <c r="Z22" s="367">
        <f>IF(F22="","",SUM(R22:X22)*IF(Y22="SI",1,2)*IF(AND(O22&lt;&gt;"--",N22="RF"),O22/100,1))</f>
        <v>248376.96000000002</v>
      </c>
      <c r="AA22" s="6"/>
    </row>
    <row r="23" spans="2:27" s="5" customFormat="1" ht="17.1" customHeight="1">
      <c r="B23" s="50"/>
      <c r="C23" s="270">
        <v>82</v>
      </c>
      <c r="D23" s="270">
        <v>285468</v>
      </c>
      <c r="E23" s="270">
        <v>645</v>
      </c>
      <c r="F23" s="424" t="s">
        <v>432</v>
      </c>
      <c r="G23" s="362" t="s">
        <v>433</v>
      </c>
      <c r="H23" s="425">
        <v>120</v>
      </c>
      <c r="I23" s="287">
        <f t="shared" si="0"/>
        <v>166.92000000000002</v>
      </c>
      <c r="J23" s="364">
        <v>42370</v>
      </c>
      <c r="K23" s="181">
        <v>42386.214583333334</v>
      </c>
      <c r="L23" s="365">
        <f aca="true" t="shared" si="8" ref="L23">IF(F23="","",(K23-J23)*24)</f>
        <v>389.1500000000233</v>
      </c>
      <c r="M23" s="366">
        <f aca="true" t="shared" si="9" ref="M23">IF(F23="","",ROUND((K23-J23)*24*60,0))</f>
        <v>23349</v>
      </c>
      <c r="N23" s="216" t="s">
        <v>304</v>
      </c>
      <c r="O23" s="499" t="s">
        <v>345</v>
      </c>
      <c r="P23" s="217" t="str">
        <f t="shared" si="3"/>
        <v>--</v>
      </c>
      <c r="Q23" s="808">
        <f aca="true" t="shared" si="10" ref="Q23:Q39">IF(OR(N23="P",N23="RP"),$H$17/10,$H$17)</f>
        <v>2</v>
      </c>
      <c r="R23" s="809">
        <f t="shared" si="4"/>
        <v>129913.83600000001</v>
      </c>
      <c r="S23" s="420" t="str">
        <f t="shared" si="5"/>
        <v>--</v>
      </c>
      <c r="T23" s="421" t="str">
        <f t="shared" si="6"/>
        <v>--</v>
      </c>
      <c r="U23" s="294" t="str">
        <f aca="true" t="shared" si="11" ref="U23:U40">IF(AND(N23="R",P23="NO"),I23*Q23*O23/100,"--")</f>
        <v>--</v>
      </c>
      <c r="V23" s="295" t="str">
        <f aca="true" t="shared" si="12" ref="V23:V40">IF(N23="R",I23*Q23*O23/100*ROUND(M23/60,2),"--")</f>
        <v>--</v>
      </c>
      <c r="W23" s="422" t="str">
        <f t="shared" si="7"/>
        <v>--</v>
      </c>
      <c r="X23" s="806" t="str">
        <f aca="true" t="shared" si="13" ref="X23:X39">IF(N23="RP",I23*Q23*O23/100*ROUND(M23/60,2),"--")</f>
        <v>--</v>
      </c>
      <c r="Y23" s="217" t="s">
        <v>213</v>
      </c>
      <c r="Z23" s="367">
        <f aca="true" t="shared" si="14" ref="Z23:Z40">IF(F23="","",SUM(R23:X23)*IF(Y23="SI",1,2)*IF(AND(O23&lt;&gt;"--",N23="RF"),O23/100,1))</f>
        <v>129913.83600000001</v>
      </c>
      <c r="AA23" s="6"/>
    </row>
    <row r="24" spans="2:27" s="5" customFormat="1" ht="17.1" customHeight="1">
      <c r="B24" s="50"/>
      <c r="C24" s="270">
        <v>83</v>
      </c>
      <c r="D24" s="270">
        <v>290131</v>
      </c>
      <c r="E24" s="149">
        <v>587</v>
      </c>
      <c r="F24" s="424" t="s">
        <v>346</v>
      </c>
      <c r="G24" s="362" t="s">
        <v>347</v>
      </c>
      <c r="H24" s="425">
        <v>245</v>
      </c>
      <c r="I24" s="287">
        <f t="shared" si="0"/>
        <v>340.795</v>
      </c>
      <c r="J24" s="364">
        <v>42370</v>
      </c>
      <c r="K24" s="181">
        <v>42400.99998842592</v>
      </c>
      <c r="L24" s="365">
        <f t="shared" si="1"/>
        <v>743.9997222221573</v>
      </c>
      <c r="M24" s="366">
        <f t="shared" si="2"/>
        <v>44640</v>
      </c>
      <c r="N24" s="216" t="s">
        <v>304</v>
      </c>
      <c r="O24" s="499" t="s">
        <v>345</v>
      </c>
      <c r="P24" s="217" t="str">
        <f t="shared" si="3"/>
        <v>--</v>
      </c>
      <c r="Q24" s="808">
        <f t="shared" si="10"/>
        <v>2</v>
      </c>
      <c r="R24" s="809">
        <f t="shared" si="4"/>
        <v>507102.96</v>
      </c>
      <c r="S24" s="420" t="str">
        <f t="shared" si="5"/>
        <v>--</v>
      </c>
      <c r="T24" s="421" t="str">
        <f t="shared" si="6"/>
        <v>--</v>
      </c>
      <c r="U24" s="294" t="str">
        <f t="shared" si="11"/>
        <v>--</v>
      </c>
      <c r="V24" s="295" t="str">
        <f t="shared" si="12"/>
        <v>--</v>
      </c>
      <c r="W24" s="422" t="str">
        <f t="shared" si="7"/>
        <v>--</v>
      </c>
      <c r="X24" s="806" t="str">
        <f t="shared" si="13"/>
        <v>--</v>
      </c>
      <c r="Y24" s="217" t="s">
        <v>213</v>
      </c>
      <c r="Z24" s="367">
        <f t="shared" si="14"/>
        <v>507102.96</v>
      </c>
      <c r="AA24" s="6"/>
    </row>
    <row r="25" spans="2:27" s="5" customFormat="1" ht="17.1" customHeight="1">
      <c r="B25" s="50"/>
      <c r="C25" s="270">
        <v>84</v>
      </c>
      <c r="D25" s="270">
        <v>296960</v>
      </c>
      <c r="E25" s="270">
        <v>5038</v>
      </c>
      <c r="F25" s="424" t="s">
        <v>333</v>
      </c>
      <c r="G25" s="362" t="s">
        <v>434</v>
      </c>
      <c r="H25" s="425">
        <v>85</v>
      </c>
      <c r="I25" s="287">
        <f t="shared" si="0"/>
        <v>118.235</v>
      </c>
      <c r="J25" s="364">
        <v>42374.34305555555</v>
      </c>
      <c r="K25" s="181">
        <v>42374.64166666667</v>
      </c>
      <c r="L25" s="365">
        <f t="shared" si="1"/>
        <v>7.1666666668024845</v>
      </c>
      <c r="M25" s="366">
        <f t="shared" si="2"/>
        <v>430</v>
      </c>
      <c r="N25" s="216" t="s">
        <v>304</v>
      </c>
      <c r="O25" s="499" t="s">
        <v>345</v>
      </c>
      <c r="P25" s="217" t="str">
        <f t="shared" si="3"/>
        <v>--</v>
      </c>
      <c r="Q25" s="808">
        <f t="shared" si="10"/>
        <v>2</v>
      </c>
      <c r="R25" s="809">
        <f t="shared" si="4"/>
        <v>1695.4899</v>
      </c>
      <c r="S25" s="420" t="str">
        <f t="shared" si="5"/>
        <v>--</v>
      </c>
      <c r="T25" s="421" t="str">
        <f t="shared" si="6"/>
        <v>--</v>
      </c>
      <c r="U25" s="294" t="str">
        <f t="shared" si="11"/>
        <v>--</v>
      </c>
      <c r="V25" s="295" t="str">
        <f t="shared" si="12"/>
        <v>--</v>
      </c>
      <c r="W25" s="422" t="str">
        <f t="shared" si="7"/>
        <v>--</v>
      </c>
      <c r="X25" s="806" t="str">
        <f t="shared" si="13"/>
        <v>--</v>
      </c>
      <c r="Y25" s="217" t="s">
        <v>213</v>
      </c>
      <c r="Z25" s="367">
        <f t="shared" si="14"/>
        <v>1695.4899</v>
      </c>
      <c r="AA25" s="426"/>
    </row>
    <row r="26" spans="2:27" s="5" customFormat="1" ht="17.1" customHeight="1">
      <c r="B26" s="50"/>
      <c r="C26" s="270">
        <v>85</v>
      </c>
      <c r="D26" s="270">
        <v>297352</v>
      </c>
      <c r="E26" s="149">
        <v>677</v>
      </c>
      <c r="F26" s="424" t="s">
        <v>436</v>
      </c>
      <c r="G26" s="362" t="s">
        <v>435</v>
      </c>
      <c r="H26" s="425" t="s">
        <v>311</v>
      </c>
      <c r="I26" s="287">
        <f t="shared" si="0"/>
        <v>0</v>
      </c>
      <c r="J26" s="364">
        <v>42380.22222222222</v>
      </c>
      <c r="K26" s="181">
        <v>42380.56041666667</v>
      </c>
      <c r="L26" s="365">
        <f t="shared" si="1"/>
        <v>8.116666666755918</v>
      </c>
      <c r="M26" s="366">
        <f t="shared" si="2"/>
        <v>487</v>
      </c>
      <c r="N26" s="216" t="s">
        <v>304</v>
      </c>
      <c r="O26" s="499" t="s">
        <v>345</v>
      </c>
      <c r="P26" s="217" t="str">
        <f t="shared" si="3"/>
        <v>--</v>
      </c>
      <c r="Q26" s="808">
        <f t="shared" si="10"/>
        <v>2</v>
      </c>
      <c r="R26" s="809">
        <f t="shared" si="4"/>
        <v>0</v>
      </c>
      <c r="S26" s="420" t="str">
        <f t="shared" si="5"/>
        <v>--</v>
      </c>
      <c r="T26" s="421" t="str">
        <f t="shared" si="6"/>
        <v>--</v>
      </c>
      <c r="U26" s="294" t="str">
        <f t="shared" si="11"/>
        <v>--</v>
      </c>
      <c r="V26" s="295" t="str">
        <f t="shared" si="12"/>
        <v>--</v>
      </c>
      <c r="W26" s="422" t="str">
        <f t="shared" si="7"/>
        <v>--</v>
      </c>
      <c r="X26" s="806" t="str">
        <f t="shared" si="13"/>
        <v>--</v>
      </c>
      <c r="Y26" s="217" t="s">
        <v>213</v>
      </c>
      <c r="Z26" s="367">
        <f t="shared" si="14"/>
        <v>0</v>
      </c>
      <c r="AA26" s="426"/>
    </row>
    <row r="27" spans="2:27" s="5" customFormat="1" ht="17.1" customHeight="1">
      <c r="B27" s="50"/>
      <c r="C27" s="270">
        <v>86</v>
      </c>
      <c r="D27" s="270">
        <v>297363</v>
      </c>
      <c r="E27" s="270">
        <v>678</v>
      </c>
      <c r="F27" s="424" t="s">
        <v>436</v>
      </c>
      <c r="G27" s="362" t="s">
        <v>435</v>
      </c>
      <c r="H27" s="425" t="s">
        <v>311</v>
      </c>
      <c r="I27" s="287">
        <f t="shared" si="0"/>
        <v>0</v>
      </c>
      <c r="J27" s="364">
        <v>42381.34930555556</v>
      </c>
      <c r="K27" s="181">
        <v>42381.63055555556</v>
      </c>
      <c r="L27" s="365">
        <f t="shared" si="1"/>
        <v>6.75</v>
      </c>
      <c r="M27" s="366">
        <f t="shared" si="2"/>
        <v>405</v>
      </c>
      <c r="N27" s="216" t="s">
        <v>304</v>
      </c>
      <c r="O27" s="499" t="s">
        <v>345</v>
      </c>
      <c r="P27" s="217" t="str">
        <f t="shared" si="3"/>
        <v>--</v>
      </c>
      <c r="Q27" s="808">
        <f t="shared" si="10"/>
        <v>2</v>
      </c>
      <c r="R27" s="809">
        <f t="shared" si="4"/>
        <v>0</v>
      </c>
      <c r="S27" s="420" t="str">
        <f t="shared" si="5"/>
        <v>--</v>
      </c>
      <c r="T27" s="421" t="str">
        <f t="shared" si="6"/>
        <v>--</v>
      </c>
      <c r="U27" s="294" t="str">
        <f t="shared" si="11"/>
        <v>--</v>
      </c>
      <c r="V27" s="295" t="str">
        <f t="shared" si="12"/>
        <v>--</v>
      </c>
      <c r="W27" s="422" t="str">
        <f t="shared" si="7"/>
        <v>--</v>
      </c>
      <c r="X27" s="806" t="str">
        <f t="shared" si="13"/>
        <v>--</v>
      </c>
      <c r="Y27" s="217" t="s">
        <v>213</v>
      </c>
      <c r="Z27" s="367">
        <f t="shared" si="14"/>
        <v>0</v>
      </c>
      <c r="AA27" s="426"/>
    </row>
    <row r="28" spans="2:27" s="5" customFormat="1" ht="17.1" customHeight="1">
      <c r="B28" s="50"/>
      <c r="C28" s="270">
        <v>87</v>
      </c>
      <c r="D28" s="270">
        <v>297376</v>
      </c>
      <c r="E28" s="149">
        <v>677</v>
      </c>
      <c r="F28" s="424" t="s">
        <v>436</v>
      </c>
      <c r="G28" s="362" t="s">
        <v>435</v>
      </c>
      <c r="H28" s="425" t="s">
        <v>311</v>
      </c>
      <c r="I28" s="287">
        <f t="shared" si="0"/>
        <v>0</v>
      </c>
      <c r="J28" s="364">
        <v>42382.36041666667</v>
      </c>
      <c r="K28" s="181">
        <v>42382.64166666667</v>
      </c>
      <c r="L28" s="365">
        <f t="shared" si="1"/>
        <v>6.75</v>
      </c>
      <c r="M28" s="366">
        <f t="shared" si="2"/>
        <v>405</v>
      </c>
      <c r="N28" s="216" t="s">
        <v>304</v>
      </c>
      <c r="O28" s="499" t="s">
        <v>345</v>
      </c>
      <c r="P28" s="217" t="str">
        <f t="shared" si="3"/>
        <v>--</v>
      </c>
      <c r="Q28" s="808">
        <f t="shared" si="10"/>
        <v>2</v>
      </c>
      <c r="R28" s="809">
        <f t="shared" si="4"/>
        <v>0</v>
      </c>
      <c r="S28" s="420" t="str">
        <f t="shared" si="5"/>
        <v>--</v>
      </c>
      <c r="T28" s="421" t="str">
        <f t="shared" si="6"/>
        <v>--</v>
      </c>
      <c r="U28" s="294" t="str">
        <f t="shared" si="11"/>
        <v>--</v>
      </c>
      <c r="V28" s="295" t="str">
        <f t="shared" si="12"/>
        <v>--</v>
      </c>
      <c r="W28" s="422" t="str">
        <f t="shared" si="7"/>
        <v>--</v>
      </c>
      <c r="X28" s="806" t="str">
        <f t="shared" si="13"/>
        <v>--</v>
      </c>
      <c r="Y28" s="217" t="s">
        <v>213</v>
      </c>
      <c r="Z28" s="367">
        <f t="shared" si="14"/>
        <v>0</v>
      </c>
      <c r="AA28" s="426"/>
    </row>
    <row r="29" spans="2:27" s="5" customFormat="1" ht="17.1" customHeight="1">
      <c r="B29" s="50"/>
      <c r="C29" s="270">
        <v>88</v>
      </c>
      <c r="D29" s="270">
        <v>297377</v>
      </c>
      <c r="E29" s="270">
        <v>3999</v>
      </c>
      <c r="F29" s="424" t="s">
        <v>348</v>
      </c>
      <c r="G29" s="362" t="s">
        <v>349</v>
      </c>
      <c r="H29" s="425">
        <v>150</v>
      </c>
      <c r="I29" s="287">
        <f t="shared" si="0"/>
        <v>208.65</v>
      </c>
      <c r="J29" s="364">
        <v>42382.38680555556</v>
      </c>
      <c r="K29" s="181">
        <v>42382.75625</v>
      </c>
      <c r="L29" s="365">
        <f t="shared" si="1"/>
        <v>8.866666666581295</v>
      </c>
      <c r="M29" s="366">
        <f t="shared" si="2"/>
        <v>532</v>
      </c>
      <c r="N29" s="216" t="s">
        <v>304</v>
      </c>
      <c r="O29" s="499" t="s">
        <v>345</v>
      </c>
      <c r="P29" s="217" t="str">
        <f t="shared" si="3"/>
        <v>--</v>
      </c>
      <c r="Q29" s="808">
        <f t="shared" si="10"/>
        <v>2</v>
      </c>
      <c r="R29" s="809">
        <f t="shared" si="4"/>
        <v>3701.4509999999996</v>
      </c>
      <c r="S29" s="420" t="str">
        <f t="shared" si="5"/>
        <v>--</v>
      </c>
      <c r="T29" s="421" t="str">
        <f t="shared" si="6"/>
        <v>--</v>
      </c>
      <c r="U29" s="294" t="str">
        <f t="shared" si="11"/>
        <v>--</v>
      </c>
      <c r="V29" s="295" t="str">
        <f t="shared" si="12"/>
        <v>--</v>
      </c>
      <c r="W29" s="422" t="str">
        <f t="shared" si="7"/>
        <v>--</v>
      </c>
      <c r="X29" s="806" t="str">
        <f t="shared" si="13"/>
        <v>--</v>
      </c>
      <c r="Y29" s="217" t="s">
        <v>213</v>
      </c>
      <c r="Z29" s="367">
        <f t="shared" si="14"/>
        <v>3701.4509999999996</v>
      </c>
      <c r="AA29" s="426"/>
    </row>
    <row r="30" spans="2:27" s="5" customFormat="1" ht="17.1" customHeight="1">
      <c r="B30" s="50"/>
      <c r="C30" s="270">
        <v>89</v>
      </c>
      <c r="D30" s="270">
        <v>297380</v>
      </c>
      <c r="E30" s="149">
        <v>675</v>
      </c>
      <c r="F30" s="424" t="s">
        <v>350</v>
      </c>
      <c r="G30" s="362" t="s">
        <v>435</v>
      </c>
      <c r="H30" s="425" t="s">
        <v>311</v>
      </c>
      <c r="I30" s="287">
        <f t="shared" si="0"/>
        <v>0</v>
      </c>
      <c r="J30" s="364">
        <v>42383.2125</v>
      </c>
      <c r="K30" s="181">
        <v>42383.42083333333</v>
      </c>
      <c r="L30" s="365">
        <f t="shared" si="1"/>
        <v>4.999999999883585</v>
      </c>
      <c r="M30" s="366">
        <f t="shared" si="2"/>
        <v>300</v>
      </c>
      <c r="N30" s="216" t="s">
        <v>304</v>
      </c>
      <c r="O30" s="499" t="s">
        <v>345</v>
      </c>
      <c r="P30" s="217" t="str">
        <f t="shared" si="3"/>
        <v>--</v>
      </c>
      <c r="Q30" s="808">
        <f t="shared" si="10"/>
        <v>2</v>
      </c>
      <c r="R30" s="809">
        <f t="shared" si="4"/>
        <v>0</v>
      </c>
      <c r="S30" s="420" t="str">
        <f t="shared" si="5"/>
        <v>--</v>
      </c>
      <c r="T30" s="421" t="str">
        <f t="shared" si="6"/>
        <v>--</v>
      </c>
      <c r="U30" s="294" t="str">
        <f t="shared" si="11"/>
        <v>--</v>
      </c>
      <c r="V30" s="295" t="str">
        <f t="shared" si="12"/>
        <v>--</v>
      </c>
      <c r="W30" s="422" t="str">
        <f t="shared" si="7"/>
        <v>--</v>
      </c>
      <c r="X30" s="806" t="str">
        <f t="shared" si="13"/>
        <v>--</v>
      </c>
      <c r="Y30" s="217" t="s">
        <v>213</v>
      </c>
      <c r="Z30" s="367">
        <f t="shared" si="14"/>
        <v>0</v>
      </c>
      <c r="AA30" s="426"/>
    </row>
    <row r="31" spans="2:27" s="5" customFormat="1" ht="17.1" customHeight="1">
      <c r="B31" s="50"/>
      <c r="C31" s="270">
        <v>90</v>
      </c>
      <c r="D31" s="270">
        <v>297382</v>
      </c>
      <c r="E31" s="270">
        <v>676</v>
      </c>
      <c r="F31" s="424" t="s">
        <v>437</v>
      </c>
      <c r="G31" s="362" t="s">
        <v>435</v>
      </c>
      <c r="H31" s="425" t="s">
        <v>311</v>
      </c>
      <c r="I31" s="287">
        <f t="shared" si="0"/>
        <v>0</v>
      </c>
      <c r="J31" s="364">
        <v>42383.42916666667</v>
      </c>
      <c r="K31" s="181">
        <v>42383.56736111111</v>
      </c>
      <c r="L31" s="365">
        <f t="shared" si="1"/>
        <v>3.3166666666511446</v>
      </c>
      <c r="M31" s="366">
        <f t="shared" si="2"/>
        <v>199</v>
      </c>
      <c r="N31" s="216" t="s">
        <v>304</v>
      </c>
      <c r="O31" s="499" t="s">
        <v>345</v>
      </c>
      <c r="P31" s="217" t="str">
        <f t="shared" si="3"/>
        <v>--</v>
      </c>
      <c r="Q31" s="808">
        <f t="shared" si="10"/>
        <v>2</v>
      </c>
      <c r="R31" s="809">
        <f t="shared" si="4"/>
        <v>0</v>
      </c>
      <c r="S31" s="420" t="str">
        <f t="shared" si="5"/>
        <v>--</v>
      </c>
      <c r="T31" s="421" t="str">
        <f t="shared" si="6"/>
        <v>--</v>
      </c>
      <c r="U31" s="294" t="str">
        <f t="shared" si="11"/>
        <v>--</v>
      </c>
      <c r="V31" s="295" t="str">
        <f t="shared" si="12"/>
        <v>--</v>
      </c>
      <c r="W31" s="422" t="str">
        <f t="shared" si="7"/>
        <v>--</v>
      </c>
      <c r="X31" s="806" t="str">
        <f t="shared" si="13"/>
        <v>--</v>
      </c>
      <c r="Y31" s="217" t="s">
        <v>213</v>
      </c>
      <c r="Z31" s="367">
        <f t="shared" si="14"/>
        <v>0</v>
      </c>
      <c r="AA31" s="6"/>
    </row>
    <row r="32" spans="2:27" s="5" customFormat="1" ht="17.1" customHeight="1">
      <c r="B32" s="50"/>
      <c r="C32" s="270">
        <v>91</v>
      </c>
      <c r="D32" s="270">
        <v>297390</v>
      </c>
      <c r="E32" s="270">
        <v>675</v>
      </c>
      <c r="F32" s="424" t="s">
        <v>350</v>
      </c>
      <c r="G32" s="362" t="s">
        <v>435</v>
      </c>
      <c r="H32" s="425" t="s">
        <v>311</v>
      </c>
      <c r="I32" s="287">
        <f t="shared" si="0"/>
        <v>0</v>
      </c>
      <c r="J32" s="364">
        <v>42384.36875</v>
      </c>
      <c r="K32" s="181">
        <v>42384.49375</v>
      </c>
      <c r="L32" s="365">
        <f t="shared" si="1"/>
        <v>3</v>
      </c>
      <c r="M32" s="366">
        <f t="shared" si="2"/>
        <v>180</v>
      </c>
      <c r="N32" s="216" t="s">
        <v>304</v>
      </c>
      <c r="O32" s="499" t="s">
        <v>345</v>
      </c>
      <c r="P32" s="217" t="str">
        <f t="shared" si="3"/>
        <v>--</v>
      </c>
      <c r="Q32" s="808">
        <f t="shared" si="10"/>
        <v>2</v>
      </c>
      <c r="R32" s="809">
        <f t="shared" si="4"/>
        <v>0</v>
      </c>
      <c r="S32" s="420" t="str">
        <f t="shared" si="5"/>
        <v>--</v>
      </c>
      <c r="T32" s="421" t="str">
        <f t="shared" si="6"/>
        <v>--</v>
      </c>
      <c r="U32" s="294" t="str">
        <f t="shared" si="11"/>
        <v>--</v>
      </c>
      <c r="V32" s="295" t="str">
        <f t="shared" si="12"/>
        <v>--</v>
      </c>
      <c r="W32" s="422" t="str">
        <f t="shared" si="7"/>
        <v>--</v>
      </c>
      <c r="X32" s="806" t="str">
        <f t="shared" si="13"/>
        <v>--</v>
      </c>
      <c r="Y32" s="217" t="s">
        <v>213</v>
      </c>
      <c r="Z32" s="367">
        <f t="shared" si="14"/>
        <v>0</v>
      </c>
      <c r="AA32" s="6"/>
    </row>
    <row r="33" spans="2:27" s="5" customFormat="1" ht="17.1" customHeight="1">
      <c r="B33" s="50"/>
      <c r="C33" s="270">
        <v>92</v>
      </c>
      <c r="D33" s="270">
        <v>297392</v>
      </c>
      <c r="E33" s="149">
        <v>676</v>
      </c>
      <c r="F33" s="424" t="s">
        <v>437</v>
      </c>
      <c r="G33" s="362" t="s">
        <v>435</v>
      </c>
      <c r="H33" s="425" t="s">
        <v>311</v>
      </c>
      <c r="I33" s="287">
        <f t="shared" si="0"/>
        <v>0</v>
      </c>
      <c r="J33" s="364">
        <v>42384.563888888886</v>
      </c>
      <c r="K33" s="181">
        <v>42384.60625</v>
      </c>
      <c r="L33" s="365">
        <f t="shared" si="1"/>
        <v>1.0166666666627862</v>
      </c>
      <c r="M33" s="366">
        <f t="shared" si="2"/>
        <v>61</v>
      </c>
      <c r="N33" s="216" t="s">
        <v>304</v>
      </c>
      <c r="O33" s="499" t="s">
        <v>345</v>
      </c>
      <c r="P33" s="217" t="str">
        <f t="shared" si="3"/>
        <v>--</v>
      </c>
      <c r="Q33" s="808">
        <f t="shared" si="10"/>
        <v>2</v>
      </c>
      <c r="R33" s="809">
        <f t="shared" si="4"/>
        <v>0</v>
      </c>
      <c r="S33" s="420" t="str">
        <f t="shared" si="5"/>
        <v>--</v>
      </c>
      <c r="T33" s="421" t="str">
        <f t="shared" si="6"/>
        <v>--</v>
      </c>
      <c r="U33" s="294" t="str">
        <f t="shared" si="11"/>
        <v>--</v>
      </c>
      <c r="V33" s="295" t="str">
        <f t="shared" si="12"/>
        <v>--</v>
      </c>
      <c r="W33" s="422" t="str">
        <f t="shared" si="7"/>
        <v>--</v>
      </c>
      <c r="X33" s="806" t="str">
        <f t="shared" si="13"/>
        <v>--</v>
      </c>
      <c r="Y33" s="217" t="s">
        <v>213</v>
      </c>
      <c r="Z33" s="367">
        <f t="shared" si="14"/>
        <v>0</v>
      </c>
      <c r="AA33" s="6"/>
    </row>
    <row r="34" spans="2:27" s="5" customFormat="1" ht="17.1" customHeight="1">
      <c r="B34" s="50"/>
      <c r="C34" s="270">
        <v>93</v>
      </c>
      <c r="D34" s="270">
        <v>297395</v>
      </c>
      <c r="E34" s="270">
        <v>591</v>
      </c>
      <c r="F34" s="424" t="s">
        <v>346</v>
      </c>
      <c r="G34" s="362" t="s">
        <v>351</v>
      </c>
      <c r="H34" s="425">
        <v>245</v>
      </c>
      <c r="I34" s="287">
        <f t="shared" si="0"/>
        <v>340.795</v>
      </c>
      <c r="J34" s="364">
        <v>42386.16875</v>
      </c>
      <c r="K34" s="181">
        <v>42386.50902777778</v>
      </c>
      <c r="L34" s="365">
        <f t="shared" si="1"/>
        <v>8.166666666744277</v>
      </c>
      <c r="M34" s="366">
        <f t="shared" si="2"/>
        <v>490</v>
      </c>
      <c r="N34" s="216" t="s">
        <v>304</v>
      </c>
      <c r="O34" s="499" t="s">
        <v>345</v>
      </c>
      <c r="P34" s="217" t="str">
        <f t="shared" si="3"/>
        <v>--</v>
      </c>
      <c r="Q34" s="808">
        <f t="shared" si="10"/>
        <v>2</v>
      </c>
      <c r="R34" s="809">
        <f t="shared" si="4"/>
        <v>5568.5903</v>
      </c>
      <c r="S34" s="420" t="str">
        <f t="shared" si="5"/>
        <v>--</v>
      </c>
      <c r="T34" s="421" t="str">
        <f t="shared" si="6"/>
        <v>--</v>
      </c>
      <c r="U34" s="294" t="str">
        <f t="shared" si="11"/>
        <v>--</v>
      </c>
      <c r="V34" s="295" t="str">
        <f t="shared" si="12"/>
        <v>--</v>
      </c>
      <c r="W34" s="422" t="str">
        <f t="shared" si="7"/>
        <v>--</v>
      </c>
      <c r="X34" s="806" t="str">
        <f t="shared" si="13"/>
        <v>--</v>
      </c>
      <c r="Y34" s="217" t="s">
        <v>213</v>
      </c>
      <c r="Z34" s="367">
        <f t="shared" si="14"/>
        <v>5568.5903</v>
      </c>
      <c r="AA34" s="6"/>
    </row>
    <row r="35" spans="2:27" s="5" customFormat="1" ht="17.1" customHeight="1">
      <c r="B35" s="50"/>
      <c r="C35" s="270">
        <v>94</v>
      </c>
      <c r="D35" s="270">
        <v>297396</v>
      </c>
      <c r="E35" s="149">
        <v>592</v>
      </c>
      <c r="F35" s="424" t="s">
        <v>346</v>
      </c>
      <c r="G35" s="362" t="s">
        <v>352</v>
      </c>
      <c r="H35" s="425">
        <v>245</v>
      </c>
      <c r="I35" s="287">
        <f t="shared" si="0"/>
        <v>340.795</v>
      </c>
      <c r="J35" s="364">
        <v>42386.17013888889</v>
      </c>
      <c r="K35" s="181">
        <v>42386.490277777775</v>
      </c>
      <c r="L35" s="365">
        <f t="shared" si="1"/>
        <v>7.68333333323244</v>
      </c>
      <c r="M35" s="366">
        <f t="shared" si="2"/>
        <v>461</v>
      </c>
      <c r="N35" s="216" t="s">
        <v>304</v>
      </c>
      <c r="O35" s="499" t="s">
        <v>345</v>
      </c>
      <c r="P35" s="217" t="str">
        <f t="shared" si="3"/>
        <v>--</v>
      </c>
      <c r="Q35" s="808">
        <f t="shared" si="10"/>
        <v>2</v>
      </c>
      <c r="R35" s="809">
        <f t="shared" si="4"/>
        <v>5234.6112</v>
      </c>
      <c r="S35" s="420" t="str">
        <f t="shared" si="5"/>
        <v>--</v>
      </c>
      <c r="T35" s="421" t="str">
        <f t="shared" si="6"/>
        <v>--</v>
      </c>
      <c r="U35" s="294" t="str">
        <f t="shared" si="11"/>
        <v>--</v>
      </c>
      <c r="V35" s="295" t="str">
        <f t="shared" si="12"/>
        <v>--</v>
      </c>
      <c r="W35" s="422" t="str">
        <f t="shared" si="7"/>
        <v>--</v>
      </c>
      <c r="X35" s="806" t="str">
        <f t="shared" si="13"/>
        <v>--</v>
      </c>
      <c r="Y35" s="217" t="s">
        <v>213</v>
      </c>
      <c r="Z35" s="367">
        <f t="shared" si="14"/>
        <v>5234.6112</v>
      </c>
      <c r="AA35" s="6"/>
    </row>
    <row r="36" spans="2:27" s="5" customFormat="1" ht="17.1" customHeight="1">
      <c r="B36" s="50"/>
      <c r="C36" s="270">
        <v>95</v>
      </c>
      <c r="D36" s="270">
        <v>297801</v>
      </c>
      <c r="E36" s="270">
        <v>589</v>
      </c>
      <c r="F36" s="424" t="s">
        <v>346</v>
      </c>
      <c r="G36" s="362" t="s">
        <v>353</v>
      </c>
      <c r="H36" s="425">
        <v>245</v>
      </c>
      <c r="I36" s="287">
        <f t="shared" si="0"/>
        <v>340.795</v>
      </c>
      <c r="J36" s="364">
        <v>42391.59861111111</v>
      </c>
      <c r="K36" s="181">
        <v>42391.76944444444</v>
      </c>
      <c r="L36" s="365">
        <f t="shared" si="1"/>
        <v>4.099999999918509</v>
      </c>
      <c r="M36" s="366">
        <f t="shared" si="2"/>
        <v>246</v>
      </c>
      <c r="N36" s="216" t="s">
        <v>308</v>
      </c>
      <c r="O36" s="499" t="s">
        <v>345</v>
      </c>
      <c r="P36" s="217" t="str">
        <f t="shared" si="3"/>
        <v>NO</v>
      </c>
      <c r="Q36" s="808">
        <f t="shared" si="10"/>
        <v>20</v>
      </c>
      <c r="R36" s="809" t="str">
        <f t="shared" si="4"/>
        <v>--</v>
      </c>
      <c r="S36" s="420">
        <f t="shared" si="5"/>
        <v>6815.900000000001</v>
      </c>
      <c r="T36" s="421">
        <f t="shared" si="6"/>
        <v>27945.19</v>
      </c>
      <c r="U36" s="294" t="str">
        <f t="shared" si="11"/>
        <v>--</v>
      </c>
      <c r="V36" s="295" t="str">
        <f t="shared" si="12"/>
        <v>--</v>
      </c>
      <c r="W36" s="422" t="str">
        <f t="shared" si="7"/>
        <v>--</v>
      </c>
      <c r="X36" s="806" t="str">
        <f t="shared" si="13"/>
        <v>--</v>
      </c>
      <c r="Y36" s="217" t="s">
        <v>213</v>
      </c>
      <c r="Z36" s="367">
        <f t="shared" si="14"/>
        <v>34761.09</v>
      </c>
      <c r="AA36" s="6"/>
    </row>
    <row r="37" spans="2:27" s="5" customFormat="1" ht="17.1" customHeight="1">
      <c r="B37" s="50"/>
      <c r="C37" s="270">
        <v>96</v>
      </c>
      <c r="D37" s="270">
        <v>297802</v>
      </c>
      <c r="E37" s="149">
        <v>590</v>
      </c>
      <c r="F37" s="424" t="s">
        <v>346</v>
      </c>
      <c r="G37" s="362" t="s">
        <v>354</v>
      </c>
      <c r="H37" s="425">
        <v>245</v>
      </c>
      <c r="I37" s="287">
        <f t="shared" si="0"/>
        <v>340.795</v>
      </c>
      <c r="J37" s="364">
        <v>42391.606944444444</v>
      </c>
      <c r="K37" s="181">
        <v>42391.62847222222</v>
      </c>
      <c r="L37" s="365">
        <f t="shared" si="1"/>
        <v>0.5166666666045785</v>
      </c>
      <c r="M37" s="366">
        <f t="shared" si="2"/>
        <v>31</v>
      </c>
      <c r="N37" s="216" t="s">
        <v>308</v>
      </c>
      <c r="O37" s="499" t="s">
        <v>345</v>
      </c>
      <c r="P37" s="217" t="str">
        <f t="shared" si="3"/>
        <v>NO</v>
      </c>
      <c r="Q37" s="808">
        <f t="shared" si="10"/>
        <v>20</v>
      </c>
      <c r="R37" s="809" t="str">
        <f t="shared" si="4"/>
        <v>--</v>
      </c>
      <c r="S37" s="420">
        <f t="shared" si="5"/>
        <v>6815.900000000001</v>
      </c>
      <c r="T37" s="421">
        <f t="shared" si="6"/>
        <v>3544.2680000000005</v>
      </c>
      <c r="U37" s="294" t="str">
        <f t="shared" si="11"/>
        <v>--</v>
      </c>
      <c r="V37" s="295" t="str">
        <f t="shared" si="12"/>
        <v>--</v>
      </c>
      <c r="W37" s="422" t="str">
        <f t="shared" si="7"/>
        <v>--</v>
      </c>
      <c r="X37" s="806" t="str">
        <f t="shared" si="13"/>
        <v>--</v>
      </c>
      <c r="Y37" s="217" t="s">
        <v>213</v>
      </c>
      <c r="Z37" s="367">
        <f t="shared" si="14"/>
        <v>10360.168000000001</v>
      </c>
      <c r="AA37" s="6"/>
    </row>
    <row r="38" spans="2:27" s="5" customFormat="1" ht="17.1" customHeight="1">
      <c r="B38" s="50"/>
      <c r="C38" s="270">
        <v>97</v>
      </c>
      <c r="D38" s="270">
        <v>297803</v>
      </c>
      <c r="E38" s="270">
        <v>676</v>
      </c>
      <c r="F38" s="424" t="s">
        <v>437</v>
      </c>
      <c r="G38" s="362" t="s">
        <v>435</v>
      </c>
      <c r="H38" s="425" t="s">
        <v>311</v>
      </c>
      <c r="I38" s="287">
        <f t="shared" si="0"/>
        <v>0</v>
      </c>
      <c r="J38" s="364">
        <v>42392.20972222222</v>
      </c>
      <c r="K38" s="181">
        <v>42392.302777777775</v>
      </c>
      <c r="L38" s="365">
        <f t="shared" si="1"/>
        <v>2.233333333279006</v>
      </c>
      <c r="M38" s="366">
        <f t="shared" si="2"/>
        <v>134</v>
      </c>
      <c r="N38" s="216" t="s">
        <v>304</v>
      </c>
      <c r="O38" s="499" t="s">
        <v>345</v>
      </c>
      <c r="P38" s="217" t="str">
        <f t="shared" si="3"/>
        <v>--</v>
      </c>
      <c r="Q38" s="808">
        <f t="shared" si="10"/>
        <v>2</v>
      </c>
      <c r="R38" s="809">
        <f t="shared" si="4"/>
        <v>0</v>
      </c>
      <c r="S38" s="420" t="str">
        <f t="shared" si="5"/>
        <v>--</v>
      </c>
      <c r="T38" s="421" t="str">
        <f t="shared" si="6"/>
        <v>--</v>
      </c>
      <c r="U38" s="294" t="str">
        <f t="shared" si="11"/>
        <v>--</v>
      </c>
      <c r="V38" s="295" t="str">
        <f t="shared" si="12"/>
        <v>--</v>
      </c>
      <c r="W38" s="422" t="str">
        <f t="shared" si="7"/>
        <v>--</v>
      </c>
      <c r="X38" s="806" t="str">
        <f t="shared" si="13"/>
        <v>--</v>
      </c>
      <c r="Y38" s="217" t="s">
        <v>213</v>
      </c>
      <c r="Z38" s="367">
        <f t="shared" si="14"/>
        <v>0</v>
      </c>
      <c r="AA38" s="6"/>
    </row>
    <row r="39" spans="2:27" s="5" customFormat="1" ht="17.1" customHeight="1">
      <c r="B39" s="50"/>
      <c r="C39" s="270">
        <v>98</v>
      </c>
      <c r="D39" s="270">
        <v>297806</v>
      </c>
      <c r="E39" s="149">
        <v>5552</v>
      </c>
      <c r="F39" s="424" t="s">
        <v>438</v>
      </c>
      <c r="G39" s="362" t="s">
        <v>439</v>
      </c>
      <c r="H39" s="425">
        <v>25</v>
      </c>
      <c r="I39" s="287">
        <f t="shared" si="0"/>
        <v>34.775</v>
      </c>
      <c r="J39" s="364">
        <v>42392.31597222222</v>
      </c>
      <c r="K39" s="181">
        <v>42392.675</v>
      </c>
      <c r="L39" s="365">
        <f t="shared" si="1"/>
        <v>8.616666666814126</v>
      </c>
      <c r="M39" s="366">
        <f t="shared" si="2"/>
        <v>517</v>
      </c>
      <c r="N39" s="216" t="s">
        <v>304</v>
      </c>
      <c r="O39" s="499" t="s">
        <v>345</v>
      </c>
      <c r="P39" s="217" t="str">
        <f t="shared" si="3"/>
        <v>--</v>
      </c>
      <c r="Q39" s="808">
        <f t="shared" si="10"/>
        <v>2</v>
      </c>
      <c r="R39" s="809">
        <f t="shared" si="4"/>
        <v>599.521</v>
      </c>
      <c r="S39" s="420" t="str">
        <f t="shared" si="5"/>
        <v>--</v>
      </c>
      <c r="T39" s="421" t="str">
        <f t="shared" si="6"/>
        <v>--</v>
      </c>
      <c r="U39" s="294" t="str">
        <f t="shared" si="11"/>
        <v>--</v>
      </c>
      <c r="V39" s="295" t="str">
        <f t="shared" si="12"/>
        <v>--</v>
      </c>
      <c r="W39" s="422" t="str">
        <f t="shared" si="7"/>
        <v>--</v>
      </c>
      <c r="X39" s="806" t="str">
        <f t="shared" si="13"/>
        <v>--</v>
      </c>
      <c r="Y39" s="217" t="s">
        <v>213</v>
      </c>
      <c r="Z39" s="367">
        <f t="shared" si="14"/>
        <v>599.521</v>
      </c>
      <c r="AA39" s="6"/>
    </row>
    <row r="40" spans="2:27" s="5" customFormat="1" ht="17.1" customHeight="1">
      <c r="B40" s="50"/>
      <c r="C40" s="270"/>
      <c r="D40" s="270"/>
      <c r="E40" s="270"/>
      <c r="F40" s="424"/>
      <c r="G40" s="362"/>
      <c r="H40" s="425"/>
      <c r="I40" s="287">
        <f t="shared" si="0"/>
        <v>0</v>
      </c>
      <c r="J40" s="364"/>
      <c r="K40" s="181"/>
      <c r="L40" s="365" t="str">
        <f t="shared" si="1"/>
        <v/>
      </c>
      <c r="M40" s="366" t="str">
        <f t="shared" si="2"/>
        <v/>
      </c>
      <c r="N40" s="216"/>
      <c r="O40" s="499" t="str">
        <f>IF(F40="","","--")</f>
        <v/>
      </c>
      <c r="P40" s="217" t="str">
        <f t="shared" si="3"/>
        <v/>
      </c>
      <c r="Q40" s="808">
        <f>IF(OR(N40="P",N40="RP"),$H$17/10,$H$17)</f>
        <v>20</v>
      </c>
      <c r="R40" s="809" t="str">
        <f>IF(N40="P",I40*Q40*ROUND(M40/60,2),"--")</f>
        <v>--</v>
      </c>
      <c r="S40" s="420" t="str">
        <f>IF(AND(N40="F",P40="NO"),I40*Q40,"--")</f>
        <v>--</v>
      </c>
      <c r="T40" s="421" t="str">
        <f>IF(N40="F",I40*Q40*ROUND(M40/60,2),"--")</f>
        <v>--</v>
      </c>
      <c r="U40" s="294" t="str">
        <f t="shared" si="11"/>
        <v>--</v>
      </c>
      <c r="V40" s="295" t="str">
        <f t="shared" si="12"/>
        <v>--</v>
      </c>
      <c r="W40" s="422" t="str">
        <f>IF(N40="RF",I40*Q40*ROUND(M40/60,2),"--")</f>
        <v>--</v>
      </c>
      <c r="X40" s="806" t="str">
        <f>IF(N40="RP",I40*Q40*O40/100*ROUND(M40/60,2),"--")</f>
        <v>--</v>
      </c>
      <c r="Y40" s="217" t="str">
        <f>IF(F40="","","SI")</f>
        <v/>
      </c>
      <c r="Z40" s="367" t="str">
        <f t="shared" si="14"/>
        <v/>
      </c>
      <c r="AA40" s="6"/>
    </row>
    <row r="41" spans="2:27" s="5" customFormat="1" ht="17.1" customHeight="1" thickBot="1">
      <c r="B41" s="50"/>
      <c r="C41" s="427"/>
      <c r="D41" s="427"/>
      <c r="E41" s="427"/>
      <c r="F41" s="427"/>
      <c r="G41" s="427"/>
      <c r="H41" s="427"/>
      <c r="I41" s="130"/>
      <c r="J41" s="368"/>
      <c r="K41" s="368"/>
      <c r="L41" s="369"/>
      <c r="M41" s="369"/>
      <c r="N41" s="368"/>
      <c r="O41" s="185"/>
      <c r="P41" s="148"/>
      <c r="Q41" s="428"/>
      <c r="R41" s="429"/>
      <c r="S41" s="430"/>
      <c r="T41" s="431"/>
      <c r="U41" s="312"/>
      <c r="V41" s="313"/>
      <c r="W41" s="432"/>
      <c r="X41" s="432"/>
      <c r="Y41" s="148"/>
      <c r="Z41" s="433"/>
      <c r="AA41" s="6"/>
    </row>
    <row r="42" spans="2:27" s="5" customFormat="1" ht="17.1" customHeight="1" thickBot="1" thickTop="1">
      <c r="B42" s="50"/>
      <c r="C42" s="126" t="s">
        <v>25</v>
      </c>
      <c r="D42" s="73" t="s">
        <v>371</v>
      </c>
      <c r="E42" s="126"/>
      <c r="F42" s="127"/>
      <c r="I42" s="4"/>
      <c r="J42" s="4"/>
      <c r="K42" s="4"/>
      <c r="L42" s="4"/>
      <c r="M42" s="4"/>
      <c r="N42" s="4"/>
      <c r="O42" s="4"/>
      <c r="P42" s="4"/>
      <c r="Q42" s="4"/>
      <c r="R42" s="434">
        <f aca="true" t="shared" si="15" ref="R42:X42">SUM(R20:R41)</f>
        <v>902193.4194000001</v>
      </c>
      <c r="S42" s="435">
        <f t="shared" si="15"/>
        <v>13631.800000000001</v>
      </c>
      <c r="T42" s="436">
        <f t="shared" si="15"/>
        <v>31489.458</v>
      </c>
      <c r="U42" s="322">
        <f t="shared" si="15"/>
        <v>0</v>
      </c>
      <c r="V42" s="323">
        <f t="shared" si="15"/>
        <v>0</v>
      </c>
      <c r="W42" s="437">
        <f t="shared" si="15"/>
        <v>0</v>
      </c>
      <c r="X42" s="437">
        <f t="shared" si="15"/>
        <v>0</v>
      </c>
      <c r="Z42" s="100">
        <f>ROUND(SUM(Z20:Z41),2)</f>
        <v>947314.68</v>
      </c>
      <c r="AA42" s="438"/>
    </row>
    <row r="43" spans="2:27" s="5" customFormat="1" ht="17.1" customHeight="1" thickBot="1" thickTop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6"/>
    </row>
    <row r="44" spans="6:29" ht="17.1" customHeight="1" thickTop="1">
      <c r="F44" s="170"/>
      <c r="G44" s="170"/>
      <c r="H44" s="170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</row>
    <row r="45" spans="6:29" ht="17.1" customHeight="1">
      <c r="F45" s="170"/>
      <c r="G45" s="170"/>
      <c r="H45" s="170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</row>
    <row r="46" spans="6:29" ht="17.1" customHeight="1">
      <c r="F46" s="170"/>
      <c r="G46" s="170"/>
      <c r="H46" s="170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</row>
    <row r="47" spans="6:29" ht="17.1" customHeight="1">
      <c r="F47" s="170"/>
      <c r="G47" s="170"/>
      <c r="H47" s="170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</row>
    <row r="48" spans="6:29" ht="17.1" customHeight="1">
      <c r="F48" s="170"/>
      <c r="G48" s="170"/>
      <c r="H48" s="170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</row>
    <row r="49" spans="6:29" ht="17.1" customHeight="1">
      <c r="F49" s="170"/>
      <c r="G49" s="170"/>
      <c r="H49" s="170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</row>
    <row r="50" spans="6:29" ht="17.1" customHeight="1"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</row>
    <row r="51" spans="6:29" ht="17.1" customHeight="1"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</row>
    <row r="52" spans="6:29" ht="17.1" customHeight="1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</row>
    <row r="53" spans="6:29" ht="17.1" customHeight="1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</row>
    <row r="54" spans="6:29" ht="17.1" customHeight="1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</row>
    <row r="55" spans="6:29" ht="17.1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</row>
    <row r="56" spans="6:29" ht="17.1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</row>
    <row r="57" spans="6:29" ht="17.1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</row>
    <row r="58" spans="6:29" ht="17.1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</row>
    <row r="59" spans="6:29" ht="17.1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</row>
    <row r="60" spans="6:29" ht="17.1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</row>
    <row r="61" spans="6:29" ht="17.1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</row>
    <row r="62" spans="6:29" ht="17.1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</row>
    <row r="63" spans="6:29" ht="17.1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</row>
    <row r="64" spans="6:29" ht="17.1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</row>
    <row r="65" spans="6:29" ht="17.1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</row>
    <row r="66" spans="6:29" ht="17.1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</row>
    <row r="67" spans="6:29" ht="17.1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</row>
    <row r="68" spans="6:29" ht="17.1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</row>
    <row r="69" spans="6:29" ht="17.1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</row>
    <row r="70" spans="6:29" ht="17.1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</row>
    <row r="71" spans="6:29" ht="17.1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</row>
    <row r="72" spans="6:29" ht="17.1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</row>
    <row r="73" spans="6:29" ht="17.1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</row>
    <row r="74" spans="6:29" ht="17.1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</row>
    <row r="75" spans="6:29" ht="17.1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</row>
    <row r="76" spans="6:29" ht="17.1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</row>
    <row r="77" spans="6:29" ht="17.1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</row>
    <row r="78" spans="6:29" ht="17.1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</row>
    <row r="79" spans="6:29" ht="17.1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</row>
    <row r="80" spans="6:29" ht="17.1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</row>
    <row r="81" spans="6:29" ht="17.1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</row>
    <row r="82" spans="6:29" ht="17.1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</row>
    <row r="83" spans="6:29" ht="17.1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</row>
    <row r="84" spans="6:29" ht="17.1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</row>
    <row r="85" spans="6:29" ht="17.1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</row>
    <row r="86" spans="6:29" ht="17.1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</row>
    <row r="87" spans="6:29" ht="17.1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</row>
    <row r="88" spans="6:29" ht="17.1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</row>
    <row r="89" spans="6:29" ht="17.1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</row>
    <row r="90" spans="6:29" ht="17.1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</row>
    <row r="91" spans="6:29" ht="17.1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</row>
    <row r="92" spans="6:29" ht="17.1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</row>
    <row r="93" spans="6:29" ht="17.1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</row>
    <row r="94" spans="6:29" ht="17.1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</row>
    <row r="95" spans="6:29" ht="17.1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</row>
    <row r="96" spans="6:29" ht="17.1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</row>
    <row r="97" spans="6:29" ht="17.1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</row>
    <row r="98" spans="6:29" ht="17.1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</row>
    <row r="99" spans="6:29" ht="17.1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</row>
    <row r="100" spans="6:29" ht="17.1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</row>
    <row r="101" spans="6:29" ht="17.1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</row>
    <row r="102" spans="6:29" ht="17.1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</row>
    <row r="103" spans="6:29" ht="17.1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</row>
    <row r="104" spans="6:29" ht="17.1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</row>
    <row r="105" spans="6:29" ht="17.1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</row>
    <row r="106" spans="6:29" ht="17.1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</row>
    <row r="107" spans="6:29" ht="17.1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</row>
    <row r="108" spans="6:29" ht="17.1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</row>
    <row r="109" spans="6:29" ht="17.1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</row>
    <row r="110" spans="6:29" ht="17.1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</row>
    <row r="111" spans="6:29" ht="17.1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</row>
    <row r="112" spans="6:29" ht="17.1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</row>
    <row r="113" spans="6:29" ht="17.1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</row>
    <row r="114" spans="6:29" ht="17.1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</row>
    <row r="115" spans="6:29" ht="17.1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</row>
    <row r="116" spans="6:29" ht="17.1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</row>
    <row r="117" spans="6:29" ht="17.1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</row>
    <row r="118" spans="6:29" ht="17.1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</row>
    <row r="119" spans="6:29" ht="17.1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</row>
    <row r="120" spans="6:29" ht="17.1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</row>
    <row r="121" spans="6:29" ht="17.1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</row>
    <row r="122" spans="6:29" ht="17.1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</row>
    <row r="123" spans="6:29" ht="17.1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</row>
    <row r="124" spans="6:29" ht="17.1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</row>
    <row r="125" spans="6:29" ht="17.1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</row>
    <row r="126" spans="6:29" ht="17.1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</row>
    <row r="127" spans="6:29" ht="17.1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</row>
    <row r="128" spans="6:29" ht="17.1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</row>
    <row r="129" spans="6:29" ht="17.1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</row>
    <row r="130" spans="6:29" ht="17.1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</row>
    <row r="131" spans="6:29" ht="17.1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</row>
    <row r="132" spans="6:29" ht="17.1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</row>
    <row r="133" spans="6:29" ht="17.1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</row>
    <row r="134" spans="6:29" ht="17.1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</row>
    <row r="135" spans="6:29" ht="17.1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</row>
    <row r="136" spans="6:29" ht="17.1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</row>
    <row r="137" spans="6:29" ht="17.1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</row>
    <row r="138" spans="6:29" ht="17.1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</row>
    <row r="139" spans="6:29" ht="17.1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</row>
    <row r="140" spans="6:29" ht="17.1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</row>
    <row r="141" spans="6:29" ht="17.1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</row>
    <row r="142" spans="6:29" ht="17.1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</row>
    <row r="143" spans="6:29" ht="17.1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</row>
    <row r="144" spans="6:29" ht="17.1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</row>
    <row r="145" spans="6:29" ht="17.1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</row>
    <row r="146" spans="6:29" ht="17.1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</row>
    <row r="147" spans="6:29" ht="17.1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</row>
    <row r="148" spans="6:29" ht="17.1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</row>
    <row r="149" spans="6:29" ht="17.1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</row>
    <row r="150" spans="6:29" ht="17.1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</row>
    <row r="151" spans="6:29" ht="17.1" customHeight="1">
      <c r="F151" s="168"/>
      <c r="G151" s="168"/>
      <c r="H151" s="168"/>
      <c r="AB151" s="168"/>
      <c r="AC151" s="168"/>
    </row>
    <row r="152" spans="6:8" ht="17.1" customHeight="1">
      <c r="F152" s="168"/>
      <c r="G152" s="168"/>
      <c r="H152" s="168"/>
    </row>
    <row r="153" spans="6:8" ht="17.1" customHeight="1">
      <c r="F153" s="168"/>
      <c r="G153" s="168"/>
      <c r="H153" s="168"/>
    </row>
    <row r="154" spans="6:8" ht="17.1" customHeight="1">
      <c r="F154" s="168"/>
      <c r="G154" s="168"/>
      <c r="H154" s="168"/>
    </row>
    <row r="155" spans="6:8" ht="17.1" customHeight="1">
      <c r="F155" s="168"/>
      <c r="G155" s="168"/>
      <c r="H155" s="168"/>
    </row>
    <row r="156" spans="6:8" ht="17.1" customHeight="1">
      <c r="F156" s="168"/>
      <c r="G156" s="168"/>
      <c r="H156" s="168"/>
    </row>
    <row r="157" ht="17.1" customHeight="1"/>
    <row r="158" ht="17.1" customHeight="1"/>
    <row r="159" ht="17.1" customHeight="1"/>
    <row r="160" ht="17.1" customHeight="1"/>
    <row r="161" ht="17.1" customHeight="1"/>
    <row r="162" ht="17.1" customHeight="1"/>
    <row r="163" ht="17.1" customHeight="1"/>
    <row r="164" ht="17.1" customHeight="1"/>
    <row r="165" ht="17.1" customHeight="1"/>
    <row r="166" ht="17.1" customHeight="1"/>
    <row r="167" ht="17.1" customHeight="1"/>
    <row r="168" ht="17.1" customHeight="1"/>
    <row r="169" ht="17.1" customHeight="1"/>
    <row r="170" ht="17.1" customHeight="1"/>
    <row r="171" ht="17.1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1200" verticalDpi="1200" orientation="landscape" paperSize="9" scale="65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11649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66675</xdr:colOff>
                    <xdr:row>40</xdr:row>
                    <xdr:rowOff>190500</xdr:rowOff>
                  </from>
                  <to>
                    <xdr:col>2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9">
    <pageSetUpPr fitToPage="1"/>
  </sheetPr>
  <dimension ref="A1:AC157"/>
  <sheetViews>
    <sheetView zoomScale="70" zoomScaleNormal="70" workbookViewId="0" topLeftCell="A1">
      <selection activeCell="A48" sqref="A48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25.7109375" style="0" customWidth="1"/>
    <col min="8" max="8" width="8.00390625" style="0" customWidth="1"/>
    <col min="9" max="9" width="5.421875" style="0" hidden="1" customWidth="1"/>
    <col min="10" max="11" width="15.7109375" style="0" customWidth="1"/>
    <col min="12" max="15" width="9.7109375" style="0" customWidth="1"/>
    <col min="16" max="16" width="6.00390625" style="0" customWidth="1"/>
    <col min="17" max="17" width="3.7109375" style="0" hidden="1" customWidth="1"/>
    <col min="18" max="18" width="13.140625" style="0" hidden="1" customWidth="1"/>
    <col min="19" max="22" width="9.57421875" style="0" hidden="1" customWidth="1"/>
    <col min="23" max="24" width="12.28125" style="0" hidden="1" customWidth="1"/>
    <col min="25" max="25" width="9.7109375" style="0" customWidth="1"/>
    <col min="26" max="26" width="15.7109375" style="0" customWidth="1"/>
    <col min="27" max="27" width="4.140625" style="0" customWidth="1"/>
  </cols>
  <sheetData>
    <row r="1" s="18" customFormat="1" ht="26.25">
      <c r="AA1" s="139"/>
    </row>
    <row r="2" spans="1:27" s="18" customFormat="1" ht="26.25">
      <c r="A2" s="91"/>
      <c r="B2" s="381" t="str">
        <f>+'TOT-0116'!B2</f>
        <v>ANEXO II al Memorándum D.T.E.E. N° 231 / 2017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27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s="29" customFormat="1" ht="20.25">
      <c r="B8" s="79"/>
      <c r="C8" s="30"/>
      <c r="D8" s="30"/>
      <c r="F8" s="167" t="s">
        <v>85</v>
      </c>
      <c r="G8" s="382"/>
      <c r="H8" s="164"/>
      <c r="I8" s="163"/>
      <c r="J8" s="163"/>
      <c r="K8" s="163"/>
      <c r="L8" s="163"/>
      <c r="M8" s="163"/>
      <c r="N8" s="163"/>
      <c r="O8" s="163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383"/>
    </row>
    <row r="9" spans="2:27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2:27" s="29" customFormat="1" ht="20.25">
      <c r="B10" s="79"/>
      <c r="C10" s="30"/>
      <c r="D10" s="30"/>
      <c r="F10" s="11" t="s">
        <v>86</v>
      </c>
      <c r="H10" s="384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30"/>
      <c r="AA10" s="80"/>
    </row>
    <row r="11" spans="2:27" s="5" customFormat="1" ht="17.1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6"/>
    </row>
    <row r="12" spans="2:27" s="29" customFormat="1" ht="20.25">
      <c r="B12" s="79"/>
      <c r="C12" s="30"/>
      <c r="D12" s="30"/>
      <c r="F12" s="11" t="s">
        <v>87</v>
      </c>
      <c r="H12" s="384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30"/>
      <c r="AA12" s="80"/>
    </row>
    <row r="13" spans="2:27" s="5" customFormat="1" ht="17.1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6"/>
    </row>
    <row r="14" spans="2:27" s="36" customFormat="1" ht="17.1" customHeight="1">
      <c r="B14" s="37" t="str">
        <f>'TOT-0116'!B14</f>
        <v>Desde el 01 al 31 de enero de 2016</v>
      </c>
      <c r="C14" s="40"/>
      <c r="D14" s="40"/>
      <c r="E14" s="385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5"/>
      <c r="S14" s="385"/>
      <c r="T14" s="385"/>
      <c r="U14" s="385"/>
      <c r="V14" s="385"/>
      <c r="W14" s="385"/>
      <c r="X14" s="385"/>
      <c r="Y14" s="385"/>
      <c r="Z14" s="385"/>
      <c r="AA14" s="387"/>
    </row>
    <row r="15" spans="2:27" s="5" customFormat="1" ht="17.1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2:27" s="5" customFormat="1" ht="17.1" customHeight="1" thickBot="1" thickTop="1">
      <c r="B16" s="50"/>
      <c r="C16" s="4"/>
      <c r="D16" s="4"/>
      <c r="E16" s="4"/>
      <c r="F16" s="116" t="s">
        <v>76</v>
      </c>
      <c r="G16" s="388"/>
      <c r="H16" s="248">
        <v>1.391</v>
      </c>
      <c r="I16" s="336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2:27" s="5" customFormat="1" ht="17.1" customHeight="1" thickBot="1" thickTop="1">
      <c r="B17" s="50"/>
      <c r="C17" s="4"/>
      <c r="D17" s="4"/>
      <c r="E17" s="4"/>
      <c r="F17" s="389" t="s">
        <v>26</v>
      </c>
      <c r="G17" s="390"/>
      <c r="H17" s="753">
        <v>20</v>
      </c>
      <c r="I17" s="336"/>
      <c r="J17"/>
      <c r="K17" s="195"/>
      <c r="L17" s="196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115"/>
      <c r="Z17" s="115"/>
      <c r="AA17" s="6"/>
    </row>
    <row r="18" spans="2:27" s="5" customFormat="1" ht="17.1" customHeight="1" thickBot="1" thickTop="1">
      <c r="B18" s="50"/>
      <c r="C18" s="836">
        <v>3</v>
      </c>
      <c r="D18" s="836">
        <v>4</v>
      </c>
      <c r="E18" s="836">
        <v>5</v>
      </c>
      <c r="F18" s="836">
        <v>6</v>
      </c>
      <c r="G18" s="836">
        <v>7</v>
      </c>
      <c r="H18" s="836">
        <v>8</v>
      </c>
      <c r="I18" s="836">
        <v>9</v>
      </c>
      <c r="J18" s="836">
        <v>10</v>
      </c>
      <c r="K18" s="836">
        <v>11</v>
      </c>
      <c r="L18" s="836">
        <v>12</v>
      </c>
      <c r="M18" s="836">
        <v>13</v>
      </c>
      <c r="N18" s="836">
        <v>14</v>
      </c>
      <c r="O18" s="836">
        <v>15</v>
      </c>
      <c r="P18" s="836">
        <v>16</v>
      </c>
      <c r="Q18" s="836">
        <v>17</v>
      </c>
      <c r="R18" s="836">
        <v>18</v>
      </c>
      <c r="S18" s="836">
        <v>19</v>
      </c>
      <c r="T18" s="836">
        <v>20</v>
      </c>
      <c r="U18" s="836">
        <v>21</v>
      </c>
      <c r="V18" s="836">
        <v>22</v>
      </c>
      <c r="W18" s="836">
        <v>23</v>
      </c>
      <c r="X18" s="836">
        <v>24</v>
      </c>
      <c r="Y18" s="836">
        <v>25</v>
      </c>
      <c r="Z18" s="836">
        <v>26</v>
      </c>
      <c r="AA18" s="6"/>
    </row>
    <row r="19" spans="2:27" s="5" customFormat="1" ht="33.95" customHeight="1" thickBot="1" thickTop="1">
      <c r="B19" s="50"/>
      <c r="C19" s="122" t="s">
        <v>13</v>
      </c>
      <c r="D19" s="84" t="s">
        <v>242</v>
      </c>
      <c r="E19" s="84" t="s">
        <v>243</v>
      </c>
      <c r="F19" s="86" t="s">
        <v>27</v>
      </c>
      <c r="G19" s="85" t="s">
        <v>28</v>
      </c>
      <c r="H19" s="392" t="s">
        <v>241</v>
      </c>
      <c r="I19" s="128" t="s">
        <v>16</v>
      </c>
      <c r="J19" s="85" t="s">
        <v>17</v>
      </c>
      <c r="K19" s="85" t="s">
        <v>18</v>
      </c>
      <c r="L19" s="86" t="s">
        <v>36</v>
      </c>
      <c r="M19" s="86" t="s">
        <v>31</v>
      </c>
      <c r="N19" s="88" t="s">
        <v>19</v>
      </c>
      <c r="O19" s="88" t="s">
        <v>58</v>
      </c>
      <c r="P19" s="85" t="s">
        <v>32</v>
      </c>
      <c r="Q19" s="128" t="s">
        <v>37</v>
      </c>
      <c r="R19" s="393" t="s">
        <v>70</v>
      </c>
      <c r="S19" s="394" t="s">
        <v>237</v>
      </c>
      <c r="T19" s="395"/>
      <c r="U19" s="252" t="s">
        <v>238</v>
      </c>
      <c r="V19" s="253"/>
      <c r="W19" s="396" t="s">
        <v>22</v>
      </c>
      <c r="X19" s="251" t="s">
        <v>21</v>
      </c>
      <c r="Y19" s="131" t="s">
        <v>74</v>
      </c>
      <c r="Z19" s="397" t="s">
        <v>24</v>
      </c>
      <c r="AA19" s="6"/>
    </row>
    <row r="20" spans="2:27" s="5" customFormat="1" ht="17.1" customHeight="1" thickTop="1">
      <c r="B20" s="50"/>
      <c r="C20" s="256"/>
      <c r="D20" s="256"/>
      <c r="E20" s="256"/>
      <c r="F20" s="399"/>
      <c r="G20" s="399"/>
      <c r="H20" s="399"/>
      <c r="I20" s="327"/>
      <c r="J20" s="400"/>
      <c r="K20" s="400"/>
      <c r="L20" s="398"/>
      <c r="M20" s="398"/>
      <c r="N20" s="399"/>
      <c r="O20" s="176"/>
      <c r="P20" s="398"/>
      <c r="Q20" s="401"/>
      <c r="R20" s="402"/>
      <c r="S20" s="403"/>
      <c r="T20" s="404"/>
      <c r="U20" s="265"/>
      <c r="V20" s="266"/>
      <c r="W20" s="849">
        <f>'RE-01 (1)'!Z42</f>
        <v>947314.68</v>
      </c>
      <c r="X20" s="405"/>
      <c r="Y20" s="406"/>
      <c r="Z20" s="407">
        <f>'RE-01 (1)'!Z42</f>
        <v>947314.68</v>
      </c>
      <c r="AA20" s="6"/>
    </row>
    <row r="21" spans="2:27" s="5" customFormat="1" ht="17.1" customHeight="1">
      <c r="B21" s="50"/>
      <c r="C21" s="270"/>
      <c r="D21" s="270"/>
      <c r="E21" s="270"/>
      <c r="F21" s="408"/>
      <c r="G21" s="409"/>
      <c r="H21" s="410"/>
      <c r="I21" s="411"/>
      <c r="J21" s="412"/>
      <c r="K21" s="413"/>
      <c r="L21" s="414"/>
      <c r="M21" s="415"/>
      <c r="N21" s="416"/>
      <c r="O21" s="177"/>
      <c r="P21" s="417"/>
      <c r="Q21" s="418"/>
      <c r="R21" s="419"/>
      <c r="S21" s="420"/>
      <c r="T21" s="421"/>
      <c r="U21" s="279"/>
      <c r="V21" s="280"/>
      <c r="W21" s="422"/>
      <c r="X21" s="422"/>
      <c r="Y21" s="417"/>
      <c r="Z21" s="423"/>
      <c r="AA21" s="6"/>
    </row>
    <row r="22" spans="2:27" s="5" customFormat="1" ht="17.1" customHeight="1">
      <c r="B22" s="50"/>
      <c r="C22" s="270">
        <v>99</v>
      </c>
      <c r="D22" s="270">
        <v>298212</v>
      </c>
      <c r="E22" s="149">
        <v>648</v>
      </c>
      <c r="F22" s="424" t="s">
        <v>355</v>
      </c>
      <c r="G22" s="362" t="s">
        <v>356</v>
      </c>
      <c r="H22" s="425">
        <v>25</v>
      </c>
      <c r="I22" s="287">
        <f aca="true" t="shared" si="0" ref="I22:I41">H22*$H$16</f>
        <v>34.775</v>
      </c>
      <c r="J22" s="364">
        <v>42399.36597222222</v>
      </c>
      <c r="K22" s="181">
        <v>42400.99930555555</v>
      </c>
      <c r="L22" s="365">
        <f aca="true" t="shared" si="1" ref="L22:L41">IF(F22="","",(K22-J22)*24)</f>
        <v>39.199999999953434</v>
      </c>
      <c r="M22" s="366">
        <f aca="true" t="shared" si="2" ref="M22:M41">IF(F22="","",ROUND((K22-J22)*24*60,0))</f>
        <v>2352</v>
      </c>
      <c r="N22" s="216" t="s">
        <v>304</v>
      </c>
      <c r="O22" s="499" t="s">
        <v>345</v>
      </c>
      <c r="P22" s="217" t="str">
        <f aca="true" t="shared" si="3" ref="P22:P41">IF(F22="","",IF(OR(N22="P",N22="RP"),"--","NO"))</f>
        <v>--</v>
      </c>
      <c r="Q22" s="808">
        <f>IF(OR(N22="P",N22="RP"),$H$17/10,$H$17)</f>
        <v>2</v>
      </c>
      <c r="R22" s="809">
        <f aca="true" t="shared" si="4" ref="R22:R40">IF(N22="P",I22*Q22*ROUND(M22/60,2),"--")</f>
        <v>2726.36</v>
      </c>
      <c r="S22" s="420" t="str">
        <f aca="true" t="shared" si="5" ref="S22:S40">IF(AND(N22="F",P22="NO"),I22*Q22,"--")</f>
        <v>--</v>
      </c>
      <c r="T22" s="421" t="str">
        <f aca="true" t="shared" si="6" ref="T22:T40">IF(N22="F",I22*Q22*ROUND(M22/60,2),"--")</f>
        <v>--</v>
      </c>
      <c r="U22" s="294" t="str">
        <f>IF(AND(N22="R",P22="NO"),I22*Q22*O22/100,"--")</f>
        <v>--</v>
      </c>
      <c r="V22" s="295" t="str">
        <f>IF(N22="R",I22*Q22*O22/100*ROUND(M22/60,2),"--")</f>
        <v>--</v>
      </c>
      <c r="W22" s="422" t="str">
        <f aca="true" t="shared" si="7" ref="W22:W40">IF(N22="RF",I22*Q22*ROUND(M22/60,2),"--")</f>
        <v>--</v>
      </c>
      <c r="X22" s="806" t="str">
        <f>IF(N22="RP",I22*Q22*O22/100*ROUND(M22/60,2),"--")</f>
        <v>--</v>
      </c>
      <c r="Y22" s="217" t="s">
        <v>213</v>
      </c>
      <c r="Z22" s="367">
        <f>IF(F22="","",SUM(R22:X22)*IF(Y22="SI",1,2)*IF(AND(O22&lt;&gt;"--",N22="RF"),O22/100,1))</f>
        <v>2726.36</v>
      </c>
      <c r="AA22" s="6"/>
    </row>
    <row r="23" spans="2:27" s="5" customFormat="1" ht="17.1" customHeight="1">
      <c r="B23" s="50"/>
      <c r="C23" s="270">
        <v>100</v>
      </c>
      <c r="D23" s="270">
        <v>298219</v>
      </c>
      <c r="E23" s="270">
        <v>589</v>
      </c>
      <c r="F23" s="424" t="s">
        <v>346</v>
      </c>
      <c r="G23" s="362" t="s">
        <v>353</v>
      </c>
      <c r="H23" s="425">
        <v>245</v>
      </c>
      <c r="I23" s="287">
        <f t="shared" si="0"/>
        <v>340.795</v>
      </c>
      <c r="J23" s="364">
        <v>42400.38888888889</v>
      </c>
      <c r="K23" s="181">
        <v>42400.504166666666</v>
      </c>
      <c r="L23" s="365">
        <f t="shared" si="1"/>
        <v>2.7666666666045785</v>
      </c>
      <c r="M23" s="366">
        <f t="shared" si="2"/>
        <v>166</v>
      </c>
      <c r="N23" s="216" t="s">
        <v>304</v>
      </c>
      <c r="O23" s="499" t="s">
        <v>345</v>
      </c>
      <c r="P23" s="217" t="str">
        <f t="shared" si="3"/>
        <v>--</v>
      </c>
      <c r="Q23" s="808">
        <f aca="true" t="shared" si="8" ref="Q23:Q40">IF(OR(N23="P",N23="RP"),$H$17/10,$H$17)</f>
        <v>2</v>
      </c>
      <c r="R23" s="809">
        <f t="shared" si="4"/>
        <v>1888.0043</v>
      </c>
      <c r="S23" s="420" t="str">
        <f t="shared" si="5"/>
        <v>--</v>
      </c>
      <c r="T23" s="421" t="str">
        <f t="shared" si="6"/>
        <v>--</v>
      </c>
      <c r="U23" s="294" t="str">
        <f aca="true" t="shared" si="9" ref="U23:U41">IF(AND(N23="R",P23="NO"),I23*Q23*O23/100,"--")</f>
        <v>--</v>
      </c>
      <c r="V23" s="295" t="str">
        <f aca="true" t="shared" si="10" ref="V23:V41">IF(N23="R",I23*Q23*O23/100*ROUND(M23/60,2),"--")</f>
        <v>--</v>
      </c>
      <c r="W23" s="422" t="str">
        <f t="shared" si="7"/>
        <v>--</v>
      </c>
      <c r="X23" s="806" t="str">
        <f aca="true" t="shared" si="11" ref="X23:X40">IF(N23="RP",I23*Q23*O23/100*ROUND(M23/60,2),"--")</f>
        <v>--</v>
      </c>
      <c r="Y23" s="217" t="s">
        <v>213</v>
      </c>
      <c r="Z23" s="367">
        <f aca="true" t="shared" si="12" ref="Z23:Z41">IF(F23="","",SUM(R23:X23)*IF(Y23="SI",1,2)*IF(AND(O23&lt;&gt;"--",N23="RF"),O23/100,1))</f>
        <v>1888.0043</v>
      </c>
      <c r="AA23" s="6"/>
    </row>
    <row r="24" spans="2:27" s="5" customFormat="1" ht="17.1" customHeight="1">
      <c r="B24" s="50"/>
      <c r="C24" s="270">
        <v>101</v>
      </c>
      <c r="D24" s="270">
        <v>298220</v>
      </c>
      <c r="E24" s="149">
        <v>590</v>
      </c>
      <c r="F24" s="424" t="s">
        <v>346</v>
      </c>
      <c r="G24" s="362" t="s">
        <v>354</v>
      </c>
      <c r="H24" s="425">
        <v>245</v>
      </c>
      <c r="I24" s="287">
        <f t="shared" si="0"/>
        <v>340.795</v>
      </c>
      <c r="J24" s="364">
        <v>42400.38888888889</v>
      </c>
      <c r="K24" s="181">
        <v>42400.509722222225</v>
      </c>
      <c r="L24" s="365">
        <f t="shared" si="1"/>
        <v>2.900000000023283</v>
      </c>
      <c r="M24" s="366">
        <f t="shared" si="2"/>
        <v>174</v>
      </c>
      <c r="N24" s="216" t="s">
        <v>304</v>
      </c>
      <c r="O24" s="499" t="s">
        <v>345</v>
      </c>
      <c r="P24" s="217" t="str">
        <f t="shared" si="3"/>
        <v>--</v>
      </c>
      <c r="Q24" s="808">
        <f t="shared" si="8"/>
        <v>2</v>
      </c>
      <c r="R24" s="809">
        <f t="shared" si="4"/>
        <v>1976.611</v>
      </c>
      <c r="S24" s="420" t="str">
        <f t="shared" si="5"/>
        <v>--</v>
      </c>
      <c r="T24" s="421" t="str">
        <f t="shared" si="6"/>
        <v>--</v>
      </c>
      <c r="U24" s="294" t="str">
        <f t="shared" si="9"/>
        <v>--</v>
      </c>
      <c r="V24" s="295" t="str">
        <f t="shared" si="10"/>
        <v>--</v>
      </c>
      <c r="W24" s="422" t="str">
        <f t="shared" si="7"/>
        <v>--</v>
      </c>
      <c r="X24" s="806" t="str">
        <f t="shared" si="11"/>
        <v>--</v>
      </c>
      <c r="Y24" s="217" t="s">
        <v>213</v>
      </c>
      <c r="Z24" s="367">
        <f t="shared" si="12"/>
        <v>1976.611</v>
      </c>
      <c r="AA24" s="6"/>
    </row>
    <row r="25" spans="2:27" s="5" customFormat="1" ht="17.1" customHeight="1">
      <c r="B25" s="50"/>
      <c r="C25" s="270"/>
      <c r="D25" s="270"/>
      <c r="E25" s="270"/>
      <c r="F25" s="424"/>
      <c r="G25" s="362"/>
      <c r="H25" s="425"/>
      <c r="I25" s="287">
        <f t="shared" si="0"/>
        <v>0</v>
      </c>
      <c r="J25" s="364"/>
      <c r="K25" s="181"/>
      <c r="L25" s="365" t="str">
        <f t="shared" si="1"/>
        <v/>
      </c>
      <c r="M25" s="366" t="str">
        <f t="shared" si="2"/>
        <v/>
      </c>
      <c r="N25" s="216"/>
      <c r="O25" s="499" t="str">
        <f aca="true" t="shared" si="13" ref="O25:O41">IF(F25="","","--")</f>
        <v/>
      </c>
      <c r="P25" s="217" t="str">
        <f t="shared" si="3"/>
        <v/>
      </c>
      <c r="Q25" s="808">
        <f t="shared" si="8"/>
        <v>20</v>
      </c>
      <c r="R25" s="809" t="str">
        <f t="shared" si="4"/>
        <v>--</v>
      </c>
      <c r="S25" s="420" t="str">
        <f t="shared" si="5"/>
        <v>--</v>
      </c>
      <c r="T25" s="421" t="str">
        <f t="shared" si="6"/>
        <v>--</v>
      </c>
      <c r="U25" s="294" t="str">
        <f t="shared" si="9"/>
        <v>--</v>
      </c>
      <c r="V25" s="295" t="str">
        <f t="shared" si="10"/>
        <v>--</v>
      </c>
      <c r="W25" s="422" t="str">
        <f t="shared" si="7"/>
        <v>--</v>
      </c>
      <c r="X25" s="806" t="str">
        <f t="shared" si="11"/>
        <v>--</v>
      </c>
      <c r="Y25" s="217" t="str">
        <f aca="true" t="shared" si="14" ref="Y25:Y41">IF(F25="","","SI")</f>
        <v/>
      </c>
      <c r="Z25" s="367" t="str">
        <f t="shared" si="12"/>
        <v/>
      </c>
      <c r="AA25" s="426"/>
    </row>
    <row r="26" spans="2:27" s="5" customFormat="1" ht="17.1" customHeight="1">
      <c r="B26" s="50"/>
      <c r="C26" s="270"/>
      <c r="D26" s="270"/>
      <c r="E26" s="149"/>
      <c r="F26" s="424"/>
      <c r="G26" s="362"/>
      <c r="H26" s="425"/>
      <c r="I26" s="287">
        <f t="shared" si="0"/>
        <v>0</v>
      </c>
      <c r="J26" s="364"/>
      <c r="K26" s="181"/>
      <c r="L26" s="365" t="str">
        <f t="shared" si="1"/>
        <v/>
      </c>
      <c r="M26" s="366" t="str">
        <f t="shared" si="2"/>
        <v/>
      </c>
      <c r="N26" s="216"/>
      <c r="O26" s="499" t="str">
        <f t="shared" si="13"/>
        <v/>
      </c>
      <c r="P26" s="217" t="str">
        <f t="shared" si="3"/>
        <v/>
      </c>
      <c r="Q26" s="808">
        <f t="shared" si="8"/>
        <v>20</v>
      </c>
      <c r="R26" s="809" t="str">
        <f t="shared" si="4"/>
        <v>--</v>
      </c>
      <c r="S26" s="420" t="str">
        <f t="shared" si="5"/>
        <v>--</v>
      </c>
      <c r="T26" s="421" t="str">
        <f t="shared" si="6"/>
        <v>--</v>
      </c>
      <c r="U26" s="294" t="str">
        <f t="shared" si="9"/>
        <v>--</v>
      </c>
      <c r="V26" s="295" t="str">
        <f t="shared" si="10"/>
        <v>--</v>
      </c>
      <c r="W26" s="422" t="str">
        <f t="shared" si="7"/>
        <v>--</v>
      </c>
      <c r="X26" s="806" t="str">
        <f t="shared" si="11"/>
        <v>--</v>
      </c>
      <c r="Y26" s="217" t="str">
        <f t="shared" si="14"/>
        <v/>
      </c>
      <c r="Z26" s="367" t="str">
        <f t="shared" si="12"/>
        <v/>
      </c>
      <c r="AA26" s="426"/>
    </row>
    <row r="27" spans="2:27" s="5" customFormat="1" ht="17.1" customHeight="1">
      <c r="B27" s="50"/>
      <c r="C27" s="270"/>
      <c r="D27" s="270"/>
      <c r="E27" s="270"/>
      <c r="F27" s="424"/>
      <c r="G27" s="362"/>
      <c r="H27" s="425"/>
      <c r="I27" s="287">
        <f t="shared" si="0"/>
        <v>0</v>
      </c>
      <c r="J27" s="364"/>
      <c r="K27" s="181"/>
      <c r="L27" s="365" t="str">
        <f t="shared" si="1"/>
        <v/>
      </c>
      <c r="M27" s="366" t="str">
        <f t="shared" si="2"/>
        <v/>
      </c>
      <c r="N27" s="216"/>
      <c r="O27" s="499" t="str">
        <f t="shared" si="13"/>
        <v/>
      </c>
      <c r="P27" s="217" t="str">
        <f t="shared" si="3"/>
        <v/>
      </c>
      <c r="Q27" s="808">
        <f t="shared" si="8"/>
        <v>20</v>
      </c>
      <c r="R27" s="809" t="str">
        <f t="shared" si="4"/>
        <v>--</v>
      </c>
      <c r="S27" s="420" t="str">
        <f t="shared" si="5"/>
        <v>--</v>
      </c>
      <c r="T27" s="421" t="str">
        <f t="shared" si="6"/>
        <v>--</v>
      </c>
      <c r="U27" s="294" t="str">
        <f t="shared" si="9"/>
        <v>--</v>
      </c>
      <c r="V27" s="295" t="str">
        <f t="shared" si="10"/>
        <v>--</v>
      </c>
      <c r="W27" s="422" t="str">
        <f t="shared" si="7"/>
        <v>--</v>
      </c>
      <c r="X27" s="806" t="str">
        <f t="shared" si="11"/>
        <v>--</v>
      </c>
      <c r="Y27" s="217" t="str">
        <f t="shared" si="14"/>
        <v/>
      </c>
      <c r="Z27" s="367" t="str">
        <f t="shared" si="12"/>
        <v/>
      </c>
      <c r="AA27" s="426"/>
    </row>
    <row r="28" spans="2:27" s="5" customFormat="1" ht="17.1" customHeight="1">
      <c r="B28" s="50"/>
      <c r="C28" s="270"/>
      <c r="D28" s="270"/>
      <c r="E28" s="149"/>
      <c r="F28" s="424"/>
      <c r="G28" s="362"/>
      <c r="H28" s="425"/>
      <c r="I28" s="287">
        <f t="shared" si="0"/>
        <v>0</v>
      </c>
      <c r="J28" s="364"/>
      <c r="K28" s="181"/>
      <c r="L28" s="365" t="str">
        <f t="shared" si="1"/>
        <v/>
      </c>
      <c r="M28" s="366" t="str">
        <f t="shared" si="2"/>
        <v/>
      </c>
      <c r="N28" s="216"/>
      <c r="O28" s="499" t="str">
        <f t="shared" si="13"/>
        <v/>
      </c>
      <c r="P28" s="217" t="str">
        <f t="shared" si="3"/>
        <v/>
      </c>
      <c r="Q28" s="808">
        <f t="shared" si="8"/>
        <v>20</v>
      </c>
      <c r="R28" s="809" t="str">
        <f t="shared" si="4"/>
        <v>--</v>
      </c>
      <c r="S28" s="420" t="str">
        <f t="shared" si="5"/>
        <v>--</v>
      </c>
      <c r="T28" s="421" t="str">
        <f t="shared" si="6"/>
        <v>--</v>
      </c>
      <c r="U28" s="294" t="str">
        <f t="shared" si="9"/>
        <v>--</v>
      </c>
      <c r="V28" s="295" t="str">
        <f t="shared" si="10"/>
        <v>--</v>
      </c>
      <c r="W28" s="422" t="str">
        <f t="shared" si="7"/>
        <v>--</v>
      </c>
      <c r="X28" s="806" t="str">
        <f t="shared" si="11"/>
        <v>--</v>
      </c>
      <c r="Y28" s="217" t="str">
        <f t="shared" si="14"/>
        <v/>
      </c>
      <c r="Z28" s="367" t="str">
        <f t="shared" si="12"/>
        <v/>
      </c>
      <c r="AA28" s="426"/>
    </row>
    <row r="29" spans="2:27" s="5" customFormat="1" ht="17.1" customHeight="1">
      <c r="B29" s="50"/>
      <c r="C29" s="270"/>
      <c r="D29" s="270"/>
      <c r="E29" s="270"/>
      <c r="F29" s="424"/>
      <c r="G29" s="362"/>
      <c r="H29" s="425"/>
      <c r="I29" s="287">
        <f t="shared" si="0"/>
        <v>0</v>
      </c>
      <c r="J29" s="364"/>
      <c r="K29" s="181"/>
      <c r="L29" s="365" t="str">
        <f t="shared" si="1"/>
        <v/>
      </c>
      <c r="M29" s="366" t="str">
        <f t="shared" si="2"/>
        <v/>
      </c>
      <c r="N29" s="216"/>
      <c r="O29" s="499" t="str">
        <f t="shared" si="13"/>
        <v/>
      </c>
      <c r="P29" s="217" t="str">
        <f t="shared" si="3"/>
        <v/>
      </c>
      <c r="Q29" s="808">
        <f t="shared" si="8"/>
        <v>20</v>
      </c>
      <c r="R29" s="809" t="str">
        <f t="shared" si="4"/>
        <v>--</v>
      </c>
      <c r="S29" s="420" t="str">
        <f t="shared" si="5"/>
        <v>--</v>
      </c>
      <c r="T29" s="421" t="str">
        <f t="shared" si="6"/>
        <v>--</v>
      </c>
      <c r="U29" s="294" t="str">
        <f t="shared" si="9"/>
        <v>--</v>
      </c>
      <c r="V29" s="295" t="str">
        <f t="shared" si="10"/>
        <v>--</v>
      </c>
      <c r="W29" s="422" t="str">
        <f t="shared" si="7"/>
        <v>--</v>
      </c>
      <c r="X29" s="806" t="str">
        <f t="shared" si="11"/>
        <v>--</v>
      </c>
      <c r="Y29" s="217" t="str">
        <f t="shared" si="14"/>
        <v/>
      </c>
      <c r="Z29" s="367" t="str">
        <f t="shared" si="12"/>
        <v/>
      </c>
      <c r="AA29" s="426"/>
    </row>
    <row r="30" spans="2:27" s="5" customFormat="1" ht="17.1" customHeight="1">
      <c r="B30" s="50"/>
      <c r="C30" s="270"/>
      <c r="D30" s="270"/>
      <c r="E30" s="149"/>
      <c r="F30" s="424"/>
      <c r="G30" s="362"/>
      <c r="H30" s="425"/>
      <c r="I30" s="287">
        <f t="shared" si="0"/>
        <v>0</v>
      </c>
      <c r="J30" s="364"/>
      <c r="K30" s="181"/>
      <c r="L30" s="365" t="str">
        <f t="shared" si="1"/>
        <v/>
      </c>
      <c r="M30" s="366" t="str">
        <f t="shared" si="2"/>
        <v/>
      </c>
      <c r="N30" s="216"/>
      <c r="O30" s="499" t="str">
        <f t="shared" si="13"/>
        <v/>
      </c>
      <c r="P30" s="217" t="str">
        <f t="shared" si="3"/>
        <v/>
      </c>
      <c r="Q30" s="808">
        <f t="shared" si="8"/>
        <v>20</v>
      </c>
      <c r="R30" s="809" t="str">
        <f t="shared" si="4"/>
        <v>--</v>
      </c>
      <c r="S30" s="420" t="str">
        <f t="shared" si="5"/>
        <v>--</v>
      </c>
      <c r="T30" s="421" t="str">
        <f t="shared" si="6"/>
        <v>--</v>
      </c>
      <c r="U30" s="294" t="str">
        <f t="shared" si="9"/>
        <v>--</v>
      </c>
      <c r="V30" s="295" t="str">
        <f t="shared" si="10"/>
        <v>--</v>
      </c>
      <c r="W30" s="422" t="str">
        <f t="shared" si="7"/>
        <v>--</v>
      </c>
      <c r="X30" s="806" t="str">
        <f t="shared" si="11"/>
        <v>--</v>
      </c>
      <c r="Y30" s="217" t="str">
        <f t="shared" si="14"/>
        <v/>
      </c>
      <c r="Z30" s="367" t="str">
        <f t="shared" si="12"/>
        <v/>
      </c>
      <c r="AA30" s="426"/>
    </row>
    <row r="31" spans="2:27" s="5" customFormat="1" ht="17.1" customHeight="1">
      <c r="B31" s="50"/>
      <c r="C31" s="270"/>
      <c r="D31" s="270"/>
      <c r="E31" s="270"/>
      <c r="F31" s="424"/>
      <c r="G31" s="362"/>
      <c r="H31" s="425"/>
      <c r="I31" s="287">
        <f t="shared" si="0"/>
        <v>0</v>
      </c>
      <c r="J31" s="364"/>
      <c r="K31" s="181"/>
      <c r="L31" s="365" t="str">
        <f t="shared" si="1"/>
        <v/>
      </c>
      <c r="M31" s="366" t="str">
        <f t="shared" si="2"/>
        <v/>
      </c>
      <c r="N31" s="216"/>
      <c r="O31" s="499" t="str">
        <f t="shared" si="13"/>
        <v/>
      </c>
      <c r="P31" s="217" t="str">
        <f t="shared" si="3"/>
        <v/>
      </c>
      <c r="Q31" s="808">
        <f t="shared" si="8"/>
        <v>20</v>
      </c>
      <c r="R31" s="809" t="str">
        <f t="shared" si="4"/>
        <v>--</v>
      </c>
      <c r="S31" s="420" t="str">
        <f t="shared" si="5"/>
        <v>--</v>
      </c>
      <c r="T31" s="421" t="str">
        <f t="shared" si="6"/>
        <v>--</v>
      </c>
      <c r="U31" s="294" t="str">
        <f t="shared" si="9"/>
        <v>--</v>
      </c>
      <c r="V31" s="295" t="str">
        <f t="shared" si="10"/>
        <v>--</v>
      </c>
      <c r="W31" s="422" t="str">
        <f t="shared" si="7"/>
        <v>--</v>
      </c>
      <c r="X31" s="806" t="str">
        <f t="shared" si="11"/>
        <v>--</v>
      </c>
      <c r="Y31" s="217" t="str">
        <f t="shared" si="14"/>
        <v/>
      </c>
      <c r="Z31" s="367" t="str">
        <f t="shared" si="12"/>
        <v/>
      </c>
      <c r="AA31" s="6"/>
    </row>
    <row r="32" spans="2:27" s="5" customFormat="1" ht="17.1" customHeight="1">
      <c r="B32" s="50"/>
      <c r="C32" s="270"/>
      <c r="D32" s="270"/>
      <c r="E32" s="149"/>
      <c r="F32" s="424"/>
      <c r="G32" s="362"/>
      <c r="H32" s="425"/>
      <c r="I32" s="287">
        <f t="shared" si="0"/>
        <v>0</v>
      </c>
      <c r="J32" s="364"/>
      <c r="K32" s="181"/>
      <c r="L32" s="365" t="str">
        <f t="shared" si="1"/>
        <v/>
      </c>
      <c r="M32" s="366" t="str">
        <f t="shared" si="2"/>
        <v/>
      </c>
      <c r="N32" s="216"/>
      <c r="O32" s="499" t="str">
        <f t="shared" si="13"/>
        <v/>
      </c>
      <c r="P32" s="217" t="str">
        <f t="shared" si="3"/>
        <v/>
      </c>
      <c r="Q32" s="808">
        <f t="shared" si="8"/>
        <v>20</v>
      </c>
      <c r="R32" s="809" t="str">
        <f t="shared" si="4"/>
        <v>--</v>
      </c>
      <c r="S32" s="420" t="str">
        <f t="shared" si="5"/>
        <v>--</v>
      </c>
      <c r="T32" s="421" t="str">
        <f t="shared" si="6"/>
        <v>--</v>
      </c>
      <c r="U32" s="294" t="str">
        <f t="shared" si="9"/>
        <v>--</v>
      </c>
      <c r="V32" s="295" t="str">
        <f t="shared" si="10"/>
        <v>--</v>
      </c>
      <c r="W32" s="422" t="str">
        <f t="shared" si="7"/>
        <v>--</v>
      </c>
      <c r="X32" s="806" t="str">
        <f t="shared" si="11"/>
        <v>--</v>
      </c>
      <c r="Y32" s="217" t="str">
        <f t="shared" si="14"/>
        <v/>
      </c>
      <c r="Z32" s="367" t="str">
        <f t="shared" si="12"/>
        <v/>
      </c>
      <c r="AA32" s="6"/>
    </row>
    <row r="33" spans="2:27" s="5" customFormat="1" ht="17.1" customHeight="1">
      <c r="B33" s="50"/>
      <c r="C33" s="270"/>
      <c r="D33" s="270"/>
      <c r="E33" s="270"/>
      <c r="F33" s="424"/>
      <c r="G33" s="362"/>
      <c r="H33" s="425"/>
      <c r="I33" s="287">
        <f t="shared" si="0"/>
        <v>0</v>
      </c>
      <c r="J33" s="364"/>
      <c r="K33" s="181"/>
      <c r="L33" s="365" t="str">
        <f t="shared" si="1"/>
        <v/>
      </c>
      <c r="M33" s="366" t="str">
        <f t="shared" si="2"/>
        <v/>
      </c>
      <c r="N33" s="216"/>
      <c r="O33" s="499" t="str">
        <f t="shared" si="13"/>
        <v/>
      </c>
      <c r="P33" s="217" t="str">
        <f t="shared" si="3"/>
        <v/>
      </c>
      <c r="Q33" s="808">
        <f t="shared" si="8"/>
        <v>20</v>
      </c>
      <c r="R33" s="809" t="str">
        <f t="shared" si="4"/>
        <v>--</v>
      </c>
      <c r="S33" s="420" t="str">
        <f t="shared" si="5"/>
        <v>--</v>
      </c>
      <c r="T33" s="421" t="str">
        <f t="shared" si="6"/>
        <v>--</v>
      </c>
      <c r="U33" s="294" t="str">
        <f t="shared" si="9"/>
        <v>--</v>
      </c>
      <c r="V33" s="295" t="str">
        <f t="shared" si="10"/>
        <v>--</v>
      </c>
      <c r="W33" s="422" t="str">
        <f t="shared" si="7"/>
        <v>--</v>
      </c>
      <c r="X33" s="806" t="str">
        <f t="shared" si="11"/>
        <v>--</v>
      </c>
      <c r="Y33" s="217" t="str">
        <f t="shared" si="14"/>
        <v/>
      </c>
      <c r="Z33" s="367" t="str">
        <f t="shared" si="12"/>
        <v/>
      </c>
      <c r="AA33" s="6"/>
    </row>
    <row r="34" spans="2:27" s="5" customFormat="1" ht="17.1" customHeight="1">
      <c r="B34" s="50"/>
      <c r="C34" s="270"/>
      <c r="D34" s="270"/>
      <c r="E34" s="149"/>
      <c r="F34" s="424"/>
      <c r="G34" s="362"/>
      <c r="H34" s="425"/>
      <c r="I34" s="287">
        <f t="shared" si="0"/>
        <v>0</v>
      </c>
      <c r="J34" s="364"/>
      <c r="K34" s="181"/>
      <c r="L34" s="365" t="str">
        <f t="shared" si="1"/>
        <v/>
      </c>
      <c r="M34" s="366" t="str">
        <f t="shared" si="2"/>
        <v/>
      </c>
      <c r="N34" s="216"/>
      <c r="O34" s="499" t="str">
        <f t="shared" si="13"/>
        <v/>
      </c>
      <c r="P34" s="217" t="str">
        <f t="shared" si="3"/>
        <v/>
      </c>
      <c r="Q34" s="808">
        <f t="shared" si="8"/>
        <v>20</v>
      </c>
      <c r="R34" s="809" t="str">
        <f t="shared" si="4"/>
        <v>--</v>
      </c>
      <c r="S34" s="420" t="str">
        <f t="shared" si="5"/>
        <v>--</v>
      </c>
      <c r="T34" s="421" t="str">
        <f t="shared" si="6"/>
        <v>--</v>
      </c>
      <c r="U34" s="294" t="str">
        <f t="shared" si="9"/>
        <v>--</v>
      </c>
      <c r="V34" s="295" t="str">
        <f t="shared" si="10"/>
        <v>--</v>
      </c>
      <c r="W34" s="422" t="str">
        <f t="shared" si="7"/>
        <v>--</v>
      </c>
      <c r="X34" s="806" t="str">
        <f t="shared" si="11"/>
        <v>--</v>
      </c>
      <c r="Y34" s="217" t="str">
        <f t="shared" si="14"/>
        <v/>
      </c>
      <c r="Z34" s="367" t="str">
        <f t="shared" si="12"/>
        <v/>
      </c>
      <c r="AA34" s="6"/>
    </row>
    <row r="35" spans="2:27" s="5" customFormat="1" ht="17.1" customHeight="1">
      <c r="B35" s="50"/>
      <c r="C35" s="270"/>
      <c r="D35" s="270"/>
      <c r="E35" s="270"/>
      <c r="F35" s="424"/>
      <c r="G35" s="362"/>
      <c r="H35" s="425"/>
      <c r="I35" s="287">
        <f t="shared" si="0"/>
        <v>0</v>
      </c>
      <c r="J35" s="364"/>
      <c r="K35" s="181"/>
      <c r="L35" s="365" t="str">
        <f t="shared" si="1"/>
        <v/>
      </c>
      <c r="M35" s="366" t="str">
        <f t="shared" si="2"/>
        <v/>
      </c>
      <c r="N35" s="216"/>
      <c r="O35" s="499" t="str">
        <f t="shared" si="13"/>
        <v/>
      </c>
      <c r="P35" s="217" t="str">
        <f t="shared" si="3"/>
        <v/>
      </c>
      <c r="Q35" s="808">
        <f t="shared" si="8"/>
        <v>20</v>
      </c>
      <c r="R35" s="809" t="str">
        <f t="shared" si="4"/>
        <v>--</v>
      </c>
      <c r="S35" s="420" t="str">
        <f t="shared" si="5"/>
        <v>--</v>
      </c>
      <c r="T35" s="421" t="str">
        <f t="shared" si="6"/>
        <v>--</v>
      </c>
      <c r="U35" s="294" t="str">
        <f t="shared" si="9"/>
        <v>--</v>
      </c>
      <c r="V35" s="295" t="str">
        <f t="shared" si="10"/>
        <v>--</v>
      </c>
      <c r="W35" s="422" t="str">
        <f t="shared" si="7"/>
        <v>--</v>
      </c>
      <c r="X35" s="806" t="str">
        <f t="shared" si="11"/>
        <v>--</v>
      </c>
      <c r="Y35" s="217" t="str">
        <f t="shared" si="14"/>
        <v/>
      </c>
      <c r="Z35" s="367" t="str">
        <f t="shared" si="12"/>
        <v/>
      </c>
      <c r="AA35" s="6"/>
    </row>
    <row r="36" spans="2:27" s="5" customFormat="1" ht="17.1" customHeight="1">
      <c r="B36" s="50"/>
      <c r="C36" s="270"/>
      <c r="D36" s="270"/>
      <c r="E36" s="149"/>
      <c r="F36" s="424"/>
      <c r="G36" s="362"/>
      <c r="H36" s="425"/>
      <c r="I36" s="287">
        <f t="shared" si="0"/>
        <v>0</v>
      </c>
      <c r="J36" s="364"/>
      <c r="K36" s="181"/>
      <c r="L36" s="365" t="str">
        <f t="shared" si="1"/>
        <v/>
      </c>
      <c r="M36" s="366" t="str">
        <f t="shared" si="2"/>
        <v/>
      </c>
      <c r="N36" s="216"/>
      <c r="O36" s="499" t="str">
        <f t="shared" si="13"/>
        <v/>
      </c>
      <c r="P36" s="217" t="str">
        <f t="shared" si="3"/>
        <v/>
      </c>
      <c r="Q36" s="808">
        <f t="shared" si="8"/>
        <v>20</v>
      </c>
      <c r="R36" s="809" t="str">
        <f t="shared" si="4"/>
        <v>--</v>
      </c>
      <c r="S36" s="420" t="str">
        <f t="shared" si="5"/>
        <v>--</v>
      </c>
      <c r="T36" s="421" t="str">
        <f t="shared" si="6"/>
        <v>--</v>
      </c>
      <c r="U36" s="294" t="str">
        <f t="shared" si="9"/>
        <v>--</v>
      </c>
      <c r="V36" s="295" t="str">
        <f t="shared" si="10"/>
        <v>--</v>
      </c>
      <c r="W36" s="422" t="str">
        <f t="shared" si="7"/>
        <v>--</v>
      </c>
      <c r="X36" s="806" t="str">
        <f t="shared" si="11"/>
        <v>--</v>
      </c>
      <c r="Y36" s="217" t="str">
        <f t="shared" si="14"/>
        <v/>
      </c>
      <c r="Z36" s="367" t="str">
        <f t="shared" si="12"/>
        <v/>
      </c>
      <c r="AA36" s="6"/>
    </row>
    <row r="37" spans="2:27" s="5" customFormat="1" ht="17.1" customHeight="1">
      <c r="B37" s="50"/>
      <c r="C37" s="270"/>
      <c r="D37" s="270"/>
      <c r="E37" s="270"/>
      <c r="F37" s="424"/>
      <c r="G37" s="362"/>
      <c r="H37" s="425"/>
      <c r="I37" s="287">
        <f t="shared" si="0"/>
        <v>0</v>
      </c>
      <c r="J37" s="364"/>
      <c r="K37" s="181"/>
      <c r="L37" s="365" t="str">
        <f t="shared" si="1"/>
        <v/>
      </c>
      <c r="M37" s="366" t="str">
        <f t="shared" si="2"/>
        <v/>
      </c>
      <c r="N37" s="216"/>
      <c r="O37" s="499" t="str">
        <f t="shared" si="13"/>
        <v/>
      </c>
      <c r="P37" s="217" t="str">
        <f t="shared" si="3"/>
        <v/>
      </c>
      <c r="Q37" s="808">
        <f t="shared" si="8"/>
        <v>20</v>
      </c>
      <c r="R37" s="809" t="str">
        <f t="shared" si="4"/>
        <v>--</v>
      </c>
      <c r="S37" s="420" t="str">
        <f t="shared" si="5"/>
        <v>--</v>
      </c>
      <c r="T37" s="421" t="str">
        <f t="shared" si="6"/>
        <v>--</v>
      </c>
      <c r="U37" s="294" t="str">
        <f t="shared" si="9"/>
        <v>--</v>
      </c>
      <c r="V37" s="295" t="str">
        <f t="shared" si="10"/>
        <v>--</v>
      </c>
      <c r="W37" s="422" t="str">
        <f t="shared" si="7"/>
        <v>--</v>
      </c>
      <c r="X37" s="806" t="str">
        <f t="shared" si="11"/>
        <v>--</v>
      </c>
      <c r="Y37" s="217" t="str">
        <f t="shared" si="14"/>
        <v/>
      </c>
      <c r="Z37" s="367" t="str">
        <f t="shared" si="12"/>
        <v/>
      </c>
      <c r="AA37" s="6"/>
    </row>
    <row r="38" spans="2:27" s="5" customFormat="1" ht="17.1" customHeight="1">
      <c r="B38" s="50"/>
      <c r="C38" s="270"/>
      <c r="D38" s="270"/>
      <c r="E38" s="149"/>
      <c r="F38" s="424"/>
      <c r="G38" s="362"/>
      <c r="H38" s="425"/>
      <c r="I38" s="287">
        <f t="shared" si="0"/>
        <v>0</v>
      </c>
      <c r="J38" s="364"/>
      <c r="K38" s="181"/>
      <c r="L38" s="365" t="str">
        <f t="shared" si="1"/>
        <v/>
      </c>
      <c r="M38" s="366" t="str">
        <f t="shared" si="2"/>
        <v/>
      </c>
      <c r="N38" s="216"/>
      <c r="O38" s="499" t="str">
        <f t="shared" si="13"/>
        <v/>
      </c>
      <c r="P38" s="217" t="str">
        <f t="shared" si="3"/>
        <v/>
      </c>
      <c r="Q38" s="808">
        <f t="shared" si="8"/>
        <v>20</v>
      </c>
      <c r="R38" s="809" t="str">
        <f t="shared" si="4"/>
        <v>--</v>
      </c>
      <c r="S38" s="420" t="str">
        <f t="shared" si="5"/>
        <v>--</v>
      </c>
      <c r="T38" s="421" t="str">
        <f t="shared" si="6"/>
        <v>--</v>
      </c>
      <c r="U38" s="294" t="str">
        <f t="shared" si="9"/>
        <v>--</v>
      </c>
      <c r="V38" s="295" t="str">
        <f t="shared" si="10"/>
        <v>--</v>
      </c>
      <c r="W38" s="422" t="str">
        <f t="shared" si="7"/>
        <v>--</v>
      </c>
      <c r="X38" s="806" t="str">
        <f t="shared" si="11"/>
        <v>--</v>
      </c>
      <c r="Y38" s="217" t="str">
        <f t="shared" si="14"/>
        <v/>
      </c>
      <c r="Z38" s="367" t="str">
        <f t="shared" si="12"/>
        <v/>
      </c>
      <c r="AA38" s="6"/>
    </row>
    <row r="39" spans="2:27" s="5" customFormat="1" ht="17.1" customHeight="1">
      <c r="B39" s="50"/>
      <c r="C39" s="270"/>
      <c r="D39" s="270"/>
      <c r="E39" s="270"/>
      <c r="F39" s="424"/>
      <c r="G39" s="362"/>
      <c r="H39" s="425"/>
      <c r="I39" s="287">
        <f t="shared" si="0"/>
        <v>0</v>
      </c>
      <c r="J39" s="364"/>
      <c r="K39" s="181"/>
      <c r="L39" s="365" t="str">
        <f t="shared" si="1"/>
        <v/>
      </c>
      <c r="M39" s="366" t="str">
        <f t="shared" si="2"/>
        <v/>
      </c>
      <c r="N39" s="216"/>
      <c r="O39" s="499" t="str">
        <f t="shared" si="13"/>
        <v/>
      </c>
      <c r="P39" s="217" t="str">
        <f t="shared" si="3"/>
        <v/>
      </c>
      <c r="Q39" s="808">
        <f t="shared" si="8"/>
        <v>20</v>
      </c>
      <c r="R39" s="809" t="str">
        <f t="shared" si="4"/>
        <v>--</v>
      </c>
      <c r="S39" s="420" t="str">
        <f t="shared" si="5"/>
        <v>--</v>
      </c>
      <c r="T39" s="421" t="str">
        <f t="shared" si="6"/>
        <v>--</v>
      </c>
      <c r="U39" s="294" t="str">
        <f t="shared" si="9"/>
        <v>--</v>
      </c>
      <c r="V39" s="295" t="str">
        <f t="shared" si="10"/>
        <v>--</v>
      </c>
      <c r="W39" s="422" t="str">
        <f t="shared" si="7"/>
        <v>--</v>
      </c>
      <c r="X39" s="806" t="str">
        <f t="shared" si="11"/>
        <v>--</v>
      </c>
      <c r="Y39" s="217" t="str">
        <f t="shared" si="14"/>
        <v/>
      </c>
      <c r="Z39" s="367" t="str">
        <f t="shared" si="12"/>
        <v/>
      </c>
      <c r="AA39" s="6"/>
    </row>
    <row r="40" spans="2:27" s="5" customFormat="1" ht="17.1" customHeight="1">
      <c r="B40" s="50"/>
      <c r="C40" s="270"/>
      <c r="D40" s="270"/>
      <c r="E40" s="149"/>
      <c r="F40" s="424"/>
      <c r="G40" s="362"/>
      <c r="H40" s="425"/>
      <c r="I40" s="287">
        <f t="shared" si="0"/>
        <v>0</v>
      </c>
      <c r="J40" s="364"/>
      <c r="K40" s="181"/>
      <c r="L40" s="365" t="str">
        <f t="shared" si="1"/>
        <v/>
      </c>
      <c r="M40" s="366" t="str">
        <f t="shared" si="2"/>
        <v/>
      </c>
      <c r="N40" s="216"/>
      <c r="O40" s="499" t="str">
        <f t="shared" si="13"/>
        <v/>
      </c>
      <c r="P40" s="217" t="str">
        <f t="shared" si="3"/>
        <v/>
      </c>
      <c r="Q40" s="808">
        <f t="shared" si="8"/>
        <v>20</v>
      </c>
      <c r="R40" s="809" t="str">
        <f t="shared" si="4"/>
        <v>--</v>
      </c>
      <c r="S40" s="420" t="str">
        <f t="shared" si="5"/>
        <v>--</v>
      </c>
      <c r="T40" s="421" t="str">
        <f t="shared" si="6"/>
        <v>--</v>
      </c>
      <c r="U40" s="294" t="str">
        <f t="shared" si="9"/>
        <v>--</v>
      </c>
      <c r="V40" s="295" t="str">
        <f t="shared" si="10"/>
        <v>--</v>
      </c>
      <c r="W40" s="422" t="str">
        <f t="shared" si="7"/>
        <v>--</v>
      </c>
      <c r="X40" s="806" t="str">
        <f t="shared" si="11"/>
        <v>--</v>
      </c>
      <c r="Y40" s="217" t="str">
        <f t="shared" si="14"/>
        <v/>
      </c>
      <c r="Z40" s="367" t="str">
        <f t="shared" si="12"/>
        <v/>
      </c>
      <c r="AA40" s="6"/>
    </row>
    <row r="41" spans="2:27" s="5" customFormat="1" ht="17.1" customHeight="1">
      <c r="B41" s="50"/>
      <c r="C41" s="270"/>
      <c r="D41" s="270"/>
      <c r="E41" s="270"/>
      <c r="F41" s="424"/>
      <c r="G41" s="362"/>
      <c r="H41" s="425"/>
      <c r="I41" s="287">
        <f t="shared" si="0"/>
        <v>0</v>
      </c>
      <c r="J41" s="364"/>
      <c r="K41" s="181"/>
      <c r="L41" s="365" t="str">
        <f t="shared" si="1"/>
        <v/>
      </c>
      <c r="M41" s="366" t="str">
        <f t="shared" si="2"/>
        <v/>
      </c>
      <c r="N41" s="216"/>
      <c r="O41" s="499" t="str">
        <f t="shared" si="13"/>
        <v/>
      </c>
      <c r="P41" s="217" t="str">
        <f t="shared" si="3"/>
        <v/>
      </c>
      <c r="Q41" s="808">
        <f>IF(OR(N41="P",N41="RP"),$H$17/10,$H$17)</f>
        <v>20</v>
      </c>
      <c r="R41" s="809" t="str">
        <f>IF(N41="P",I41*Q41*ROUND(M41/60,2),"--")</f>
        <v>--</v>
      </c>
      <c r="S41" s="420" t="str">
        <f>IF(AND(N41="F",P41="NO"),I41*Q41,"--")</f>
        <v>--</v>
      </c>
      <c r="T41" s="421" t="str">
        <f>IF(N41="F",I41*Q41*ROUND(M41/60,2),"--")</f>
        <v>--</v>
      </c>
      <c r="U41" s="294" t="str">
        <f t="shared" si="9"/>
        <v>--</v>
      </c>
      <c r="V41" s="295" t="str">
        <f t="shared" si="10"/>
        <v>--</v>
      </c>
      <c r="W41" s="422" t="str">
        <f>IF(N41="RF",I41*Q41*ROUND(M41/60,2),"--")</f>
        <v>--</v>
      </c>
      <c r="X41" s="806" t="str">
        <f>IF(N41="RP",I41*Q41*O41/100*ROUND(M41/60,2),"--")</f>
        <v>--</v>
      </c>
      <c r="Y41" s="217" t="str">
        <f t="shared" si="14"/>
        <v/>
      </c>
      <c r="Z41" s="367" t="str">
        <f t="shared" si="12"/>
        <v/>
      </c>
      <c r="AA41" s="6"/>
    </row>
    <row r="42" spans="2:27" s="5" customFormat="1" ht="17.1" customHeight="1" thickBot="1">
      <c r="B42" s="50"/>
      <c r="C42" s="427"/>
      <c r="D42" s="427"/>
      <c r="E42" s="427"/>
      <c r="F42" s="427"/>
      <c r="G42" s="427"/>
      <c r="H42" s="427"/>
      <c r="I42" s="130"/>
      <c r="J42" s="368"/>
      <c r="K42" s="368"/>
      <c r="L42" s="369"/>
      <c r="M42" s="369"/>
      <c r="N42" s="368"/>
      <c r="O42" s="185"/>
      <c r="P42" s="148"/>
      <c r="Q42" s="428"/>
      <c r="R42" s="429"/>
      <c r="S42" s="430"/>
      <c r="T42" s="431"/>
      <c r="U42" s="312"/>
      <c r="V42" s="313"/>
      <c r="W42" s="432"/>
      <c r="X42" s="432"/>
      <c r="Y42" s="148"/>
      <c r="Z42" s="433"/>
      <c r="AA42" s="6"/>
    </row>
    <row r="43" spans="2:27" s="5" customFormat="1" ht="17.1" customHeight="1" thickBot="1" thickTop="1">
      <c r="B43" s="50"/>
      <c r="C43" s="126" t="s">
        <v>25</v>
      </c>
      <c r="D43" s="73" t="s">
        <v>369</v>
      </c>
      <c r="E43" s="126"/>
      <c r="F43" s="127"/>
      <c r="I43" s="4"/>
      <c r="J43" s="4"/>
      <c r="K43" s="4"/>
      <c r="L43" s="4"/>
      <c r="M43" s="4"/>
      <c r="N43" s="4"/>
      <c r="O43" s="4"/>
      <c r="P43" s="4"/>
      <c r="Q43" s="4"/>
      <c r="R43" s="434">
        <f aca="true" t="shared" si="15" ref="R43:X43">SUM(R20:R42)</f>
        <v>6590.9753</v>
      </c>
      <c r="S43" s="435">
        <f t="shared" si="15"/>
        <v>0</v>
      </c>
      <c r="T43" s="436">
        <f t="shared" si="15"/>
        <v>0</v>
      </c>
      <c r="U43" s="322">
        <f t="shared" si="15"/>
        <v>0</v>
      </c>
      <c r="V43" s="323">
        <f t="shared" si="15"/>
        <v>0</v>
      </c>
      <c r="W43" s="437">
        <f t="shared" si="15"/>
        <v>947314.68</v>
      </c>
      <c r="X43" s="437">
        <f t="shared" si="15"/>
        <v>0</v>
      </c>
      <c r="Z43" s="100">
        <f>ROUND(SUM(Z20:Z42),2)</f>
        <v>953905.66</v>
      </c>
      <c r="AA43" s="438"/>
    </row>
    <row r="44" spans="2:27" s="5" customFormat="1" ht="17.1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6"/>
    </row>
    <row r="45" spans="6:29" ht="17.1" customHeight="1" thickTop="1">
      <c r="F45" s="170"/>
      <c r="G45" s="170"/>
      <c r="H45" s="170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</row>
    <row r="46" spans="6:29" ht="17.1" customHeight="1">
      <c r="F46" s="170"/>
      <c r="G46" s="170"/>
      <c r="H46" s="170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</row>
    <row r="47" spans="6:29" ht="17.1" customHeight="1">
      <c r="F47" s="170"/>
      <c r="G47" s="170"/>
      <c r="H47" s="170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</row>
    <row r="48" spans="6:29" ht="17.1" customHeight="1">
      <c r="F48" s="170"/>
      <c r="G48" s="170"/>
      <c r="H48" s="170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</row>
    <row r="49" spans="6:29" ht="17.1" customHeight="1">
      <c r="F49" s="170"/>
      <c r="G49" s="170"/>
      <c r="H49" s="170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</row>
    <row r="50" spans="6:29" ht="17.1" customHeight="1">
      <c r="F50" s="170"/>
      <c r="G50" s="170"/>
      <c r="H50" s="170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</row>
    <row r="51" spans="6:29" ht="17.1" customHeight="1"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</row>
    <row r="52" spans="6:29" ht="17.1" customHeight="1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</row>
    <row r="53" spans="6:29" ht="17.1" customHeight="1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</row>
    <row r="54" spans="6:29" ht="17.1" customHeight="1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</row>
    <row r="55" spans="6:29" ht="17.1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</row>
    <row r="56" spans="6:29" ht="17.1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</row>
    <row r="57" spans="6:29" ht="17.1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</row>
    <row r="58" spans="6:29" ht="17.1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</row>
    <row r="59" spans="6:29" ht="17.1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</row>
    <row r="60" spans="6:29" ht="17.1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</row>
    <row r="61" spans="6:29" ht="17.1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</row>
    <row r="62" spans="6:29" ht="17.1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</row>
    <row r="63" spans="6:29" ht="17.1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</row>
    <row r="64" spans="6:29" ht="17.1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</row>
    <row r="65" spans="6:29" ht="17.1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</row>
    <row r="66" spans="6:29" ht="17.1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</row>
    <row r="67" spans="6:29" ht="17.1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</row>
    <row r="68" spans="6:29" ht="17.1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</row>
    <row r="69" spans="6:29" ht="17.1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</row>
    <row r="70" spans="6:29" ht="17.1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</row>
    <row r="71" spans="6:29" ht="17.1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</row>
    <row r="72" spans="6:29" ht="17.1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</row>
    <row r="73" spans="6:29" ht="17.1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</row>
    <row r="74" spans="6:29" ht="17.1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</row>
    <row r="75" spans="6:29" ht="17.1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</row>
    <row r="76" spans="6:29" ht="17.1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</row>
    <row r="77" spans="6:29" ht="17.1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</row>
    <row r="78" spans="6:29" ht="17.1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</row>
    <row r="79" spans="6:29" ht="17.1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</row>
    <row r="80" spans="6:29" ht="17.1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</row>
    <row r="81" spans="6:29" ht="17.1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</row>
    <row r="82" spans="6:29" ht="17.1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</row>
    <row r="83" spans="6:29" ht="17.1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</row>
    <row r="84" spans="6:29" ht="17.1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</row>
    <row r="85" spans="6:29" ht="17.1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</row>
    <row r="86" spans="6:29" ht="17.1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</row>
    <row r="87" spans="6:29" ht="17.1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</row>
    <row r="88" spans="6:29" ht="17.1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</row>
    <row r="89" spans="6:29" ht="17.1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</row>
    <row r="90" spans="6:29" ht="17.1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</row>
    <row r="91" spans="6:29" ht="17.1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</row>
    <row r="92" spans="6:29" ht="17.1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</row>
    <row r="93" spans="6:29" ht="17.1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</row>
    <row r="94" spans="6:29" ht="17.1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</row>
    <row r="95" spans="6:29" ht="17.1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</row>
    <row r="96" spans="6:29" ht="17.1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</row>
    <row r="97" spans="6:29" ht="17.1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</row>
    <row r="98" spans="6:29" ht="17.1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</row>
    <row r="99" spans="6:29" ht="17.1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</row>
    <row r="100" spans="6:29" ht="17.1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</row>
    <row r="101" spans="6:29" ht="17.1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</row>
    <row r="102" spans="6:29" ht="17.1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</row>
    <row r="103" spans="6:29" ht="17.1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</row>
    <row r="104" spans="6:29" ht="17.1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</row>
    <row r="105" spans="6:29" ht="17.1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</row>
    <row r="106" spans="6:29" ht="17.1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</row>
    <row r="107" spans="6:29" ht="17.1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</row>
    <row r="108" spans="6:29" ht="17.1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</row>
    <row r="109" spans="6:29" ht="17.1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</row>
    <row r="110" spans="6:29" ht="17.1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</row>
    <row r="111" spans="6:29" ht="17.1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</row>
    <row r="112" spans="6:29" ht="17.1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</row>
    <row r="113" spans="6:29" ht="17.1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</row>
    <row r="114" spans="6:29" ht="17.1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</row>
    <row r="115" spans="6:29" ht="17.1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</row>
    <row r="116" spans="6:29" ht="17.1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</row>
    <row r="117" spans="6:29" ht="17.1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</row>
    <row r="118" spans="6:29" ht="17.1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</row>
    <row r="119" spans="6:29" ht="17.1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</row>
    <row r="120" spans="6:29" ht="17.1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</row>
    <row r="121" spans="6:29" ht="17.1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</row>
    <row r="122" spans="6:29" ht="17.1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</row>
    <row r="123" spans="6:29" ht="17.1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</row>
    <row r="124" spans="6:29" ht="17.1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</row>
    <row r="125" spans="6:29" ht="17.1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</row>
    <row r="126" spans="6:29" ht="17.1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</row>
    <row r="127" spans="6:29" ht="17.1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</row>
    <row r="128" spans="6:29" ht="17.1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</row>
    <row r="129" spans="6:29" ht="17.1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</row>
    <row r="130" spans="6:29" ht="17.1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</row>
    <row r="131" spans="6:29" ht="17.1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</row>
    <row r="132" spans="6:29" ht="17.1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</row>
    <row r="133" spans="6:29" ht="17.1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</row>
    <row r="134" spans="6:29" ht="17.1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</row>
    <row r="135" spans="6:29" ht="17.1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</row>
    <row r="136" spans="6:29" ht="17.1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</row>
    <row r="137" spans="6:29" ht="17.1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</row>
    <row r="138" spans="6:29" ht="17.1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</row>
    <row r="139" spans="6:29" ht="17.1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</row>
    <row r="140" spans="6:29" ht="17.1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</row>
    <row r="141" spans="6:29" ht="17.1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</row>
    <row r="142" spans="6:29" ht="17.1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</row>
    <row r="143" spans="6:29" ht="17.1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</row>
    <row r="144" spans="6:29" ht="17.1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</row>
    <row r="145" spans="6:29" ht="17.1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</row>
    <row r="146" spans="6:29" ht="17.1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</row>
    <row r="147" spans="6:29" ht="17.1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</row>
    <row r="148" spans="6:29" ht="17.1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</row>
    <row r="149" spans="6:29" ht="17.1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</row>
    <row r="150" spans="6:29" ht="17.1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</row>
    <row r="151" spans="6:29" ht="17.1" customHeight="1"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</row>
    <row r="152" spans="6:29" ht="17.1" customHeight="1">
      <c r="F152" s="168"/>
      <c r="G152" s="168"/>
      <c r="H152" s="168"/>
      <c r="AB152" s="168"/>
      <c r="AC152" s="168"/>
    </row>
    <row r="153" spans="6:8" ht="17.1" customHeight="1">
      <c r="F153" s="168"/>
      <c r="G153" s="168"/>
      <c r="H153" s="168"/>
    </row>
    <row r="154" spans="6:8" ht="17.1" customHeight="1">
      <c r="F154" s="168"/>
      <c r="G154" s="168"/>
      <c r="H154" s="168"/>
    </row>
    <row r="155" spans="6:8" ht="17.1" customHeight="1">
      <c r="F155" s="168"/>
      <c r="G155" s="168"/>
      <c r="H155" s="168"/>
    </row>
    <row r="156" spans="6:8" ht="17.1" customHeight="1">
      <c r="F156" s="168"/>
      <c r="G156" s="168"/>
      <c r="H156" s="168"/>
    </row>
    <row r="157" spans="6:8" ht="17.1" customHeight="1">
      <c r="F157" s="168"/>
      <c r="G157" s="168"/>
      <c r="H157" s="168"/>
    </row>
    <row r="158" ht="17.1" customHeight="1"/>
    <row r="159" ht="17.1" customHeight="1"/>
    <row r="160" ht="17.1" customHeight="1"/>
    <row r="161" ht="17.1" customHeight="1"/>
    <row r="162" ht="17.1" customHeight="1"/>
    <row r="163" ht="17.1" customHeight="1"/>
    <row r="164" ht="17.1" customHeight="1"/>
    <row r="165" ht="17.1" customHeight="1"/>
    <row r="166" ht="17.1" customHeight="1"/>
    <row r="167" ht="17.1" customHeight="1"/>
    <row r="168" ht="17.1" customHeight="1"/>
    <row r="169" ht="17.1" customHeight="1"/>
    <row r="170" ht="17.1" customHeight="1"/>
    <row r="171" ht="17.1" customHeight="1"/>
    <row r="172" ht="17.1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12673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66675</xdr:colOff>
                    <xdr:row>41</xdr:row>
                    <xdr:rowOff>190500</xdr:rowOff>
                  </from>
                  <to>
                    <xdr:col>2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AA156"/>
  <sheetViews>
    <sheetView zoomScale="75" zoomScaleNormal="75" workbookViewId="0" topLeftCell="A1">
      <selection activeCell="A48" sqref="A48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17.57421875" style="0" customWidth="1"/>
    <col min="8" max="8" width="14.57421875" style="0" customWidth="1"/>
    <col min="9" max="9" width="10.28125" style="0" customWidth="1"/>
    <col min="10" max="10" width="12.7109375" style="0" hidden="1" customWidth="1"/>
    <col min="11" max="11" width="15.7109375" style="0" customWidth="1"/>
    <col min="12" max="12" width="14.8515625" style="0" customWidth="1"/>
    <col min="13" max="15" width="9.7109375" style="0" customWidth="1"/>
    <col min="16" max="17" width="6.00390625" style="0" customWidth="1"/>
    <col min="18" max="18" width="5.7109375" style="0" hidden="1" customWidth="1"/>
    <col min="19" max="19" width="13.140625" style="0" hidden="1" customWidth="1"/>
    <col min="20" max="21" width="5.7109375" style="0" hidden="1" customWidth="1"/>
    <col min="22" max="22" width="12.28125" style="0" hidden="1" customWidth="1"/>
    <col min="23" max="23" width="9.7109375" style="0" hidden="1" customWidth="1"/>
    <col min="24" max="25" width="15.7109375" style="0" customWidth="1"/>
    <col min="26" max="26" width="4.140625" style="0" customWidth="1"/>
  </cols>
  <sheetData>
    <row r="1" s="18" customFormat="1" ht="26.25">
      <c r="Y1" s="139"/>
    </row>
    <row r="2" spans="1:25" s="18" customFormat="1" ht="26.25">
      <c r="A2" s="91"/>
      <c r="B2" s="381" t="str">
        <f>+'TOT-0116'!B2</f>
        <v>ANEXO II al Memorándum D.T.E.E. N° 231 / 2017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26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1"/>
    </row>
    <row r="8" spans="2:26" s="29" customFormat="1" ht="20.25">
      <c r="B8" s="79"/>
      <c r="C8" s="30"/>
      <c r="D8" s="30"/>
      <c r="F8" s="167" t="s">
        <v>85</v>
      </c>
      <c r="G8" s="382"/>
      <c r="H8" s="164"/>
      <c r="I8" s="163"/>
      <c r="J8" s="163"/>
      <c r="K8" s="163"/>
      <c r="L8" s="163"/>
      <c r="M8" s="163"/>
      <c r="N8" s="163"/>
      <c r="O8" s="163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383"/>
    </row>
    <row r="9" spans="2:26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6"/>
    </row>
    <row r="10" spans="2:26" s="29" customFormat="1" ht="20.25">
      <c r="B10" s="79"/>
      <c r="C10" s="30"/>
      <c r="D10" s="30"/>
      <c r="F10" s="11" t="s">
        <v>226</v>
      </c>
      <c r="H10" s="384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80"/>
    </row>
    <row r="11" spans="2:26" s="5" customFormat="1" ht="17.1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6"/>
    </row>
    <row r="12" spans="2:26" s="29" customFormat="1" ht="20.25">
      <c r="B12" s="79"/>
      <c r="C12" s="30"/>
      <c r="D12" s="30"/>
      <c r="F12" s="11" t="s">
        <v>227</v>
      </c>
      <c r="H12" s="384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80"/>
    </row>
    <row r="13" spans="2:26" s="5" customFormat="1" ht="17.1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6"/>
    </row>
    <row r="14" spans="2:26" s="36" customFormat="1" ht="17.1" customHeight="1">
      <c r="B14" s="37" t="str">
        <f>'TOT-0116'!B14</f>
        <v>Desde el 01 al 31 de enero de 2016</v>
      </c>
      <c r="C14" s="40"/>
      <c r="D14" s="40"/>
      <c r="E14" s="385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5"/>
      <c r="S14" s="385"/>
      <c r="T14" s="385"/>
      <c r="U14" s="385"/>
      <c r="V14" s="385"/>
      <c r="W14" s="385"/>
      <c r="X14" s="385"/>
      <c r="Y14" s="385"/>
      <c r="Z14" s="387"/>
    </row>
    <row r="15" spans="2:26" s="5" customFormat="1" ht="17.1" customHeigh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6"/>
    </row>
    <row r="16" spans="2:26" s="5" customFormat="1" ht="4.5" customHeight="1" thickBot="1">
      <c r="B16" s="50"/>
      <c r="C16" s="4"/>
      <c r="D16" s="4"/>
      <c r="E16" s="4"/>
      <c r="F16" s="792"/>
      <c r="G16" s="195"/>
      <c r="H16" s="793"/>
      <c r="I16" s="336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6"/>
    </row>
    <row r="17" spans="2:26" s="5" customFormat="1" ht="17.1" customHeight="1" thickBot="1" thickTop="1">
      <c r="B17" s="50"/>
      <c r="C17" s="4"/>
      <c r="D17" s="4"/>
      <c r="E17" s="4"/>
      <c r="F17" s="389" t="s">
        <v>26</v>
      </c>
      <c r="G17" s="390"/>
      <c r="H17" s="753">
        <v>20</v>
      </c>
      <c r="I17" s="336"/>
      <c r="J17"/>
      <c r="K17" s="195"/>
      <c r="L17" s="196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115"/>
      <c r="Z17" s="6"/>
    </row>
    <row r="18" spans="2:26" s="5" customFormat="1" ht="17.1" customHeight="1" thickBot="1" thickTop="1">
      <c r="B18" s="50"/>
      <c r="C18" s="836">
        <v>3</v>
      </c>
      <c r="D18" s="836">
        <v>4</v>
      </c>
      <c r="E18" s="836">
        <v>5</v>
      </c>
      <c r="F18" s="836">
        <v>6</v>
      </c>
      <c r="G18" s="836">
        <v>7</v>
      </c>
      <c r="H18" s="836">
        <v>8</v>
      </c>
      <c r="I18" s="836">
        <v>9</v>
      </c>
      <c r="J18" s="836">
        <v>10</v>
      </c>
      <c r="K18" s="836">
        <v>11</v>
      </c>
      <c r="L18" s="836">
        <v>12</v>
      </c>
      <c r="M18" s="836">
        <v>13</v>
      </c>
      <c r="N18" s="836">
        <v>14</v>
      </c>
      <c r="O18" s="836">
        <v>15</v>
      </c>
      <c r="P18" s="836">
        <v>16</v>
      </c>
      <c r="Q18" s="836">
        <v>17</v>
      </c>
      <c r="R18" s="836">
        <v>18</v>
      </c>
      <c r="S18" s="836">
        <v>19</v>
      </c>
      <c r="T18" s="836">
        <v>20</v>
      </c>
      <c r="U18" s="836">
        <v>21</v>
      </c>
      <c r="V18" s="836">
        <v>22</v>
      </c>
      <c r="W18" s="836">
        <v>23</v>
      </c>
      <c r="X18" s="836">
        <v>24</v>
      </c>
      <c r="Y18" s="836">
        <v>25</v>
      </c>
      <c r="Z18" s="6"/>
    </row>
    <row r="19" spans="2:26" s="5" customFormat="1" ht="33.95" customHeight="1" thickBot="1" thickTop="1">
      <c r="B19" s="50"/>
      <c r="C19" s="122" t="s">
        <v>13</v>
      </c>
      <c r="D19" s="84" t="s">
        <v>242</v>
      </c>
      <c r="E19" s="84" t="s">
        <v>243</v>
      </c>
      <c r="F19" s="86" t="s">
        <v>27</v>
      </c>
      <c r="G19" s="85" t="s">
        <v>28</v>
      </c>
      <c r="H19" s="86" t="s">
        <v>228</v>
      </c>
      <c r="I19" s="392" t="s">
        <v>29</v>
      </c>
      <c r="J19" s="128" t="s">
        <v>16</v>
      </c>
      <c r="K19" s="85" t="s">
        <v>17</v>
      </c>
      <c r="L19" s="85" t="s">
        <v>18</v>
      </c>
      <c r="M19" s="86" t="s">
        <v>36</v>
      </c>
      <c r="N19" s="86" t="s">
        <v>31</v>
      </c>
      <c r="O19" s="88" t="s">
        <v>19</v>
      </c>
      <c r="P19" s="88" t="s">
        <v>58</v>
      </c>
      <c r="Q19" s="85" t="s">
        <v>32</v>
      </c>
      <c r="R19" s="128" t="s">
        <v>37</v>
      </c>
      <c r="S19" s="393" t="s">
        <v>70</v>
      </c>
      <c r="T19" s="394" t="s">
        <v>88</v>
      </c>
      <c r="U19" s="395"/>
      <c r="V19" s="396" t="s">
        <v>22</v>
      </c>
      <c r="W19" s="251" t="s">
        <v>21</v>
      </c>
      <c r="X19" s="131" t="s">
        <v>74</v>
      </c>
      <c r="Y19" s="397" t="s">
        <v>24</v>
      </c>
      <c r="Z19" s="6"/>
    </row>
    <row r="20" spans="2:26" s="5" customFormat="1" ht="17.1" customHeight="1" thickTop="1">
      <c r="B20" s="50"/>
      <c r="C20" s="256"/>
      <c r="D20" s="256"/>
      <c r="E20" s="256"/>
      <c r="F20" s="399"/>
      <c r="G20" s="399"/>
      <c r="H20" s="399"/>
      <c r="I20" s="399"/>
      <c r="J20" s="327"/>
      <c r="K20" s="400"/>
      <c r="L20" s="400"/>
      <c r="M20" s="398"/>
      <c r="N20" s="398"/>
      <c r="O20" s="399"/>
      <c r="P20" s="176"/>
      <c r="Q20" s="398"/>
      <c r="R20" s="401"/>
      <c r="S20" s="402"/>
      <c r="T20" s="403"/>
      <c r="U20" s="404"/>
      <c r="V20" s="405"/>
      <c r="W20" s="405"/>
      <c r="X20" s="406"/>
      <c r="Y20" s="407"/>
      <c r="Z20" s="6"/>
    </row>
    <row r="21" spans="2:26" s="5" customFormat="1" ht="17.1" customHeight="1">
      <c r="B21" s="50"/>
      <c r="C21" s="270"/>
      <c r="D21" s="270"/>
      <c r="E21" s="270"/>
      <c r="F21" s="408"/>
      <c r="G21" s="409"/>
      <c r="H21" s="409"/>
      <c r="I21" s="410"/>
      <c r="J21" s="411"/>
      <c r="K21" s="412"/>
      <c r="L21" s="413"/>
      <c r="M21" s="414"/>
      <c r="N21" s="415"/>
      <c r="O21" s="416"/>
      <c r="P21" s="177"/>
      <c r="Q21" s="417"/>
      <c r="R21" s="418"/>
      <c r="S21" s="419"/>
      <c r="T21" s="420"/>
      <c r="U21" s="421"/>
      <c r="V21" s="422"/>
      <c r="W21" s="422"/>
      <c r="X21" s="417"/>
      <c r="Y21" s="423"/>
      <c r="Z21" s="6"/>
    </row>
    <row r="22" spans="2:26" s="5" customFormat="1" ht="17.1" customHeight="1">
      <c r="B22" s="50"/>
      <c r="C22" s="270">
        <v>102</v>
      </c>
      <c r="D22" s="270">
        <v>297383</v>
      </c>
      <c r="E22" s="149">
        <v>4304</v>
      </c>
      <c r="F22" s="424" t="s">
        <v>235</v>
      </c>
      <c r="G22" s="362" t="s">
        <v>236</v>
      </c>
      <c r="H22" s="3440">
        <f>32052.8/720/100</f>
        <v>0.44517777777777773</v>
      </c>
      <c r="I22" s="425">
        <v>37.35</v>
      </c>
      <c r="J22" s="287">
        <f aca="true" t="shared" si="0" ref="J22:J40">I22*H22</f>
        <v>16.62739</v>
      </c>
      <c r="K22" s="364">
        <v>42383.48333333333</v>
      </c>
      <c r="L22" s="181">
        <v>42383.55</v>
      </c>
      <c r="M22" s="365">
        <f aca="true" t="shared" si="1" ref="M22:M40">IF(F22="","",(L22-K22)*24)</f>
        <v>1.60000000015134</v>
      </c>
      <c r="N22" s="366">
        <f aca="true" t="shared" si="2" ref="N22:N40">IF(F22="","",ROUND((L22-K22)*24*60,0))</f>
        <v>96</v>
      </c>
      <c r="O22" s="216" t="s">
        <v>304</v>
      </c>
      <c r="P22" s="499" t="s">
        <v>345</v>
      </c>
      <c r="Q22" s="217" t="str">
        <f aca="true" t="shared" si="3" ref="Q22:Q40">IF(F22="","",IF(OR(O22="P",O22="RP"),"--","NO"))</f>
        <v>--</v>
      </c>
      <c r="R22" s="808">
        <f aca="true" t="shared" si="4" ref="R22:R40">IF(OR(O22="P",O22="RP"),$H$17/10,$H$17)</f>
        <v>2</v>
      </c>
      <c r="S22" s="809">
        <f aca="true" t="shared" si="5" ref="S22:S40">IF(O22="P",J22*R22*ROUND(N22/60,2),"--")</f>
        <v>53.207648</v>
      </c>
      <c r="T22" s="420" t="str">
        <f aca="true" t="shared" si="6" ref="T22:T40">IF(AND(O22="F",Q22="NO"),J22*R22,"--")</f>
        <v>--</v>
      </c>
      <c r="U22" s="421" t="str">
        <f aca="true" t="shared" si="7" ref="U22:U40">IF(O22="F",J22*R22*ROUND(N22/60,2),"--")</f>
        <v>--</v>
      </c>
      <c r="V22" s="422" t="str">
        <f aca="true" t="shared" si="8" ref="V22:V40">IF(O22="RF",J22*R22*ROUND(N22/60,2),"--")</f>
        <v>--</v>
      </c>
      <c r="W22" s="806" t="s">
        <v>213</v>
      </c>
      <c r="X22" s="217" t="str">
        <f aca="true" t="shared" si="9" ref="X22:X40">IF(F22="","","SI")</f>
        <v>SI</v>
      </c>
      <c r="Y22" s="367">
        <f aca="true" t="shared" si="10" ref="Y22:Y40">IF(F22="","",SUM(S22:W22)*IF(X22="SI",1,2))</f>
        <v>53.207648</v>
      </c>
      <c r="Z22" s="426"/>
    </row>
    <row r="23" spans="2:26" s="5" customFormat="1" ht="17.1" customHeight="1">
      <c r="B23" s="50"/>
      <c r="C23" s="270"/>
      <c r="D23" s="270"/>
      <c r="E23" s="270"/>
      <c r="F23" s="424"/>
      <c r="G23" s="362"/>
      <c r="H23" s="362"/>
      <c r="I23" s="425"/>
      <c r="J23" s="287">
        <f t="shared" si="0"/>
        <v>0</v>
      </c>
      <c r="K23" s="364"/>
      <c r="L23" s="181"/>
      <c r="M23" s="365" t="str">
        <f t="shared" si="1"/>
        <v/>
      </c>
      <c r="N23" s="366" t="str">
        <f t="shared" si="2"/>
        <v/>
      </c>
      <c r="O23" s="216"/>
      <c r="P23" s="499" t="str">
        <f aca="true" t="shared" si="11" ref="P23:P40">IF(F23="","","--")</f>
        <v/>
      </c>
      <c r="Q23" s="217" t="str">
        <f t="shared" si="3"/>
        <v/>
      </c>
      <c r="R23" s="808">
        <f t="shared" si="4"/>
        <v>20</v>
      </c>
      <c r="S23" s="809" t="str">
        <f t="shared" si="5"/>
        <v>--</v>
      </c>
      <c r="T23" s="420" t="str">
        <f t="shared" si="6"/>
        <v>--</v>
      </c>
      <c r="U23" s="421" t="str">
        <f t="shared" si="7"/>
        <v>--</v>
      </c>
      <c r="V23" s="422" t="str">
        <f t="shared" si="8"/>
        <v>--</v>
      </c>
      <c r="W23" s="806" t="s">
        <v>213</v>
      </c>
      <c r="X23" s="217" t="str">
        <f t="shared" si="9"/>
        <v/>
      </c>
      <c r="Y23" s="367" t="str">
        <f t="shared" si="10"/>
        <v/>
      </c>
      <c r="Z23" s="426"/>
    </row>
    <row r="24" spans="2:26" s="5" customFormat="1" ht="17.1" customHeight="1">
      <c r="B24" s="50"/>
      <c r="C24" s="270"/>
      <c r="D24" s="270"/>
      <c r="E24" s="270"/>
      <c r="F24" s="424"/>
      <c r="G24" s="362"/>
      <c r="H24" s="362"/>
      <c r="I24" s="425"/>
      <c r="J24" s="287">
        <f t="shared" si="0"/>
        <v>0</v>
      </c>
      <c r="K24" s="364"/>
      <c r="L24" s="181"/>
      <c r="M24" s="365" t="str">
        <f t="shared" si="1"/>
        <v/>
      </c>
      <c r="N24" s="366" t="str">
        <f t="shared" si="2"/>
        <v/>
      </c>
      <c r="O24" s="216"/>
      <c r="P24" s="499" t="str">
        <f t="shared" si="11"/>
        <v/>
      </c>
      <c r="Q24" s="217" t="str">
        <f t="shared" si="3"/>
        <v/>
      </c>
      <c r="R24" s="808">
        <f t="shared" si="4"/>
        <v>20</v>
      </c>
      <c r="S24" s="809" t="str">
        <f t="shared" si="5"/>
        <v>--</v>
      </c>
      <c r="T24" s="420" t="str">
        <f t="shared" si="6"/>
        <v>--</v>
      </c>
      <c r="U24" s="421" t="str">
        <f t="shared" si="7"/>
        <v>--</v>
      </c>
      <c r="V24" s="422" t="str">
        <f t="shared" si="8"/>
        <v>--</v>
      </c>
      <c r="W24" s="806" t="s">
        <v>213</v>
      </c>
      <c r="X24" s="217" t="str">
        <f t="shared" si="9"/>
        <v/>
      </c>
      <c r="Y24" s="367" t="str">
        <f t="shared" si="10"/>
        <v/>
      </c>
      <c r="Z24" s="426"/>
    </row>
    <row r="25" spans="2:26" s="5" customFormat="1" ht="17.1" customHeight="1">
      <c r="B25" s="50"/>
      <c r="C25" s="270"/>
      <c r="D25" s="270"/>
      <c r="E25" s="270"/>
      <c r="F25" s="424"/>
      <c r="G25" s="362"/>
      <c r="H25" s="362"/>
      <c r="I25" s="425"/>
      <c r="J25" s="287">
        <f t="shared" si="0"/>
        <v>0</v>
      </c>
      <c r="K25" s="364"/>
      <c r="L25" s="181"/>
      <c r="M25" s="365" t="str">
        <f t="shared" si="1"/>
        <v/>
      </c>
      <c r="N25" s="366" t="str">
        <f t="shared" si="2"/>
        <v/>
      </c>
      <c r="O25" s="216"/>
      <c r="P25" s="499" t="str">
        <f t="shared" si="11"/>
        <v/>
      </c>
      <c r="Q25" s="217" t="str">
        <f t="shared" si="3"/>
        <v/>
      </c>
      <c r="R25" s="808">
        <f t="shared" si="4"/>
        <v>20</v>
      </c>
      <c r="S25" s="809" t="str">
        <f t="shared" si="5"/>
        <v>--</v>
      </c>
      <c r="T25" s="420" t="str">
        <f t="shared" si="6"/>
        <v>--</v>
      </c>
      <c r="U25" s="421" t="str">
        <f t="shared" si="7"/>
        <v>--</v>
      </c>
      <c r="V25" s="422" t="str">
        <f t="shared" si="8"/>
        <v>--</v>
      </c>
      <c r="W25" s="806" t="s">
        <v>213</v>
      </c>
      <c r="X25" s="217" t="str">
        <f t="shared" si="9"/>
        <v/>
      </c>
      <c r="Y25" s="367" t="str">
        <f t="shared" si="10"/>
        <v/>
      </c>
      <c r="Z25" s="426"/>
    </row>
    <row r="26" spans="2:26" s="5" customFormat="1" ht="17.1" customHeight="1">
      <c r="B26" s="50"/>
      <c r="C26" s="270"/>
      <c r="D26" s="270"/>
      <c r="E26" s="270"/>
      <c r="F26" s="424"/>
      <c r="G26" s="362"/>
      <c r="H26" s="362"/>
      <c r="I26" s="425"/>
      <c r="J26" s="287"/>
      <c r="K26" s="364"/>
      <c r="L26" s="181"/>
      <c r="M26" s="365"/>
      <c r="N26" s="366"/>
      <c r="O26" s="216"/>
      <c r="P26" s="499"/>
      <c r="Q26" s="217"/>
      <c r="R26" s="808"/>
      <c r="S26" s="809"/>
      <c r="T26" s="420"/>
      <c r="U26" s="421"/>
      <c r="V26" s="422"/>
      <c r="W26" s="806"/>
      <c r="X26" s="217"/>
      <c r="Y26" s="367"/>
      <c r="Z26" s="2997"/>
    </row>
    <row r="27" spans="2:26" s="5" customFormat="1" ht="17.1" customHeight="1">
      <c r="B27" s="50"/>
      <c r="C27" s="270"/>
      <c r="D27" s="270"/>
      <c r="E27" s="270"/>
      <c r="F27" s="424"/>
      <c r="G27" s="362"/>
      <c r="H27" s="362"/>
      <c r="I27" s="425"/>
      <c r="J27" s="287"/>
      <c r="K27" s="364"/>
      <c r="L27" s="181"/>
      <c r="M27" s="365"/>
      <c r="N27" s="366"/>
      <c r="O27" s="216"/>
      <c r="P27" s="499"/>
      <c r="Q27" s="217"/>
      <c r="R27" s="808"/>
      <c r="S27" s="809"/>
      <c r="T27" s="420"/>
      <c r="U27" s="421"/>
      <c r="V27" s="422"/>
      <c r="W27" s="806"/>
      <c r="X27" s="217"/>
      <c r="Y27" s="367"/>
      <c r="Z27" s="2997"/>
    </row>
    <row r="28" spans="2:26" s="5" customFormat="1" ht="17.1" customHeight="1">
      <c r="B28" s="50"/>
      <c r="C28" s="270"/>
      <c r="D28" s="270"/>
      <c r="E28" s="270"/>
      <c r="F28" s="424"/>
      <c r="G28" s="362"/>
      <c r="H28" s="362"/>
      <c r="I28" s="425"/>
      <c r="J28" s="287"/>
      <c r="K28" s="364"/>
      <c r="L28" s="181"/>
      <c r="M28" s="365"/>
      <c r="N28" s="366"/>
      <c r="O28" s="216"/>
      <c r="P28" s="499"/>
      <c r="Q28" s="217"/>
      <c r="R28" s="808"/>
      <c r="S28" s="809"/>
      <c r="T28" s="420"/>
      <c r="U28" s="421"/>
      <c r="V28" s="422"/>
      <c r="W28" s="806"/>
      <c r="X28" s="217"/>
      <c r="Y28" s="367"/>
      <c r="Z28" s="2997"/>
    </row>
    <row r="29" spans="2:26" s="5" customFormat="1" ht="17.1" customHeight="1">
      <c r="B29" s="50"/>
      <c r="C29" s="270"/>
      <c r="D29" s="270"/>
      <c r="E29" s="270"/>
      <c r="F29" s="424"/>
      <c r="G29" s="362"/>
      <c r="H29" s="362"/>
      <c r="I29" s="425"/>
      <c r="J29" s="287"/>
      <c r="K29" s="364"/>
      <c r="L29" s="181"/>
      <c r="M29" s="365"/>
      <c r="N29" s="366"/>
      <c r="O29" s="216"/>
      <c r="P29" s="499"/>
      <c r="Q29" s="217"/>
      <c r="R29" s="808"/>
      <c r="S29" s="809"/>
      <c r="T29" s="420"/>
      <c r="U29" s="421"/>
      <c r="V29" s="422"/>
      <c r="W29" s="806"/>
      <c r="X29" s="217"/>
      <c r="Y29" s="367"/>
      <c r="Z29" s="2997"/>
    </row>
    <row r="30" spans="2:26" s="5" customFormat="1" ht="17.1" customHeight="1">
      <c r="B30" s="50"/>
      <c r="C30" s="270"/>
      <c r="D30" s="270"/>
      <c r="E30" s="270"/>
      <c r="F30" s="424"/>
      <c r="G30" s="362"/>
      <c r="H30" s="362"/>
      <c r="I30" s="425"/>
      <c r="J30" s="287"/>
      <c r="K30" s="364"/>
      <c r="L30" s="181"/>
      <c r="M30" s="365"/>
      <c r="N30" s="366"/>
      <c r="O30" s="216"/>
      <c r="P30" s="499"/>
      <c r="Q30" s="217"/>
      <c r="R30" s="808"/>
      <c r="S30" s="809"/>
      <c r="T30" s="420"/>
      <c r="U30" s="421"/>
      <c r="V30" s="422"/>
      <c r="W30" s="806"/>
      <c r="X30" s="217"/>
      <c r="Y30" s="367"/>
      <c r="Z30" s="2997"/>
    </row>
    <row r="31" spans="2:26" s="5" customFormat="1" ht="17.1" customHeight="1">
      <c r="B31" s="50"/>
      <c r="C31" s="270"/>
      <c r="D31" s="270"/>
      <c r="E31" s="270"/>
      <c r="F31" s="424"/>
      <c r="G31" s="362"/>
      <c r="H31" s="362"/>
      <c r="I31" s="425"/>
      <c r="J31" s="287">
        <f t="shared" si="0"/>
        <v>0</v>
      </c>
      <c r="K31" s="364"/>
      <c r="L31" s="181"/>
      <c r="M31" s="365" t="str">
        <f t="shared" si="1"/>
        <v/>
      </c>
      <c r="N31" s="366" t="str">
        <f t="shared" si="2"/>
        <v/>
      </c>
      <c r="O31" s="216"/>
      <c r="P31" s="499" t="str">
        <f t="shared" si="11"/>
        <v/>
      </c>
      <c r="Q31" s="217" t="str">
        <f t="shared" si="3"/>
        <v/>
      </c>
      <c r="R31" s="808">
        <f t="shared" si="4"/>
        <v>20</v>
      </c>
      <c r="S31" s="809" t="str">
        <f t="shared" si="5"/>
        <v>--</v>
      </c>
      <c r="T31" s="420" t="str">
        <f t="shared" si="6"/>
        <v>--</v>
      </c>
      <c r="U31" s="421" t="str">
        <f t="shared" si="7"/>
        <v>--</v>
      </c>
      <c r="V31" s="422" t="str">
        <f t="shared" si="8"/>
        <v>--</v>
      </c>
      <c r="W31" s="806" t="s">
        <v>213</v>
      </c>
      <c r="X31" s="217" t="str">
        <f t="shared" si="9"/>
        <v/>
      </c>
      <c r="Y31" s="367" t="str">
        <f t="shared" si="10"/>
        <v/>
      </c>
      <c r="Z31" s="6"/>
    </row>
    <row r="32" spans="2:26" s="5" customFormat="1" ht="17.1" customHeight="1">
      <c r="B32" s="50"/>
      <c r="C32" s="270"/>
      <c r="D32" s="270"/>
      <c r="E32" s="270"/>
      <c r="F32" s="424"/>
      <c r="G32" s="362"/>
      <c r="H32" s="362"/>
      <c r="I32" s="425"/>
      <c r="J32" s="287">
        <f t="shared" si="0"/>
        <v>0</v>
      </c>
      <c r="K32" s="364"/>
      <c r="L32" s="181"/>
      <c r="M32" s="365" t="str">
        <f t="shared" si="1"/>
        <v/>
      </c>
      <c r="N32" s="366" t="str">
        <f t="shared" si="2"/>
        <v/>
      </c>
      <c r="O32" s="216"/>
      <c r="P32" s="499" t="str">
        <f t="shared" si="11"/>
        <v/>
      </c>
      <c r="Q32" s="217" t="str">
        <f t="shared" si="3"/>
        <v/>
      </c>
      <c r="R32" s="808">
        <f t="shared" si="4"/>
        <v>20</v>
      </c>
      <c r="S32" s="809" t="str">
        <f t="shared" si="5"/>
        <v>--</v>
      </c>
      <c r="T32" s="420" t="str">
        <f t="shared" si="6"/>
        <v>--</v>
      </c>
      <c r="U32" s="421" t="str">
        <f t="shared" si="7"/>
        <v>--</v>
      </c>
      <c r="V32" s="422" t="str">
        <f t="shared" si="8"/>
        <v>--</v>
      </c>
      <c r="W32" s="806" t="s">
        <v>213</v>
      </c>
      <c r="X32" s="217" t="str">
        <f t="shared" si="9"/>
        <v/>
      </c>
      <c r="Y32" s="367" t="str">
        <f t="shared" si="10"/>
        <v/>
      </c>
      <c r="Z32" s="6"/>
    </row>
    <row r="33" spans="2:26" s="5" customFormat="1" ht="17.1" customHeight="1">
      <c r="B33" s="50"/>
      <c r="C33" s="270"/>
      <c r="D33" s="270"/>
      <c r="E33" s="270"/>
      <c r="F33" s="424"/>
      <c r="G33" s="362"/>
      <c r="H33" s="362"/>
      <c r="I33" s="425"/>
      <c r="J33" s="287">
        <f t="shared" si="0"/>
        <v>0</v>
      </c>
      <c r="K33" s="364"/>
      <c r="L33" s="181"/>
      <c r="M33" s="365" t="str">
        <f t="shared" si="1"/>
        <v/>
      </c>
      <c r="N33" s="366" t="str">
        <f t="shared" si="2"/>
        <v/>
      </c>
      <c r="O33" s="216"/>
      <c r="P33" s="499" t="str">
        <f t="shared" si="11"/>
        <v/>
      </c>
      <c r="Q33" s="217" t="str">
        <f t="shared" si="3"/>
        <v/>
      </c>
      <c r="R33" s="808">
        <f t="shared" si="4"/>
        <v>20</v>
      </c>
      <c r="S33" s="809" t="str">
        <f t="shared" si="5"/>
        <v>--</v>
      </c>
      <c r="T33" s="420" t="str">
        <f t="shared" si="6"/>
        <v>--</v>
      </c>
      <c r="U33" s="421" t="str">
        <f t="shared" si="7"/>
        <v>--</v>
      </c>
      <c r="V33" s="422" t="str">
        <f t="shared" si="8"/>
        <v>--</v>
      </c>
      <c r="W33" s="806" t="s">
        <v>213</v>
      </c>
      <c r="X33" s="217" t="str">
        <f t="shared" si="9"/>
        <v/>
      </c>
      <c r="Y33" s="367" t="str">
        <f t="shared" si="10"/>
        <v/>
      </c>
      <c r="Z33" s="6"/>
    </row>
    <row r="34" spans="2:26" s="5" customFormat="1" ht="17.1" customHeight="1">
      <c r="B34" s="50"/>
      <c r="C34" s="270"/>
      <c r="D34" s="270"/>
      <c r="E34" s="270"/>
      <c r="F34" s="424"/>
      <c r="G34" s="362"/>
      <c r="H34" s="362"/>
      <c r="I34" s="425"/>
      <c r="J34" s="287">
        <f t="shared" si="0"/>
        <v>0</v>
      </c>
      <c r="K34" s="364"/>
      <c r="L34" s="181"/>
      <c r="M34" s="365" t="str">
        <f t="shared" si="1"/>
        <v/>
      </c>
      <c r="N34" s="366" t="str">
        <f t="shared" si="2"/>
        <v/>
      </c>
      <c r="O34" s="216"/>
      <c r="P34" s="499" t="str">
        <f t="shared" si="11"/>
        <v/>
      </c>
      <c r="Q34" s="217" t="str">
        <f t="shared" si="3"/>
        <v/>
      </c>
      <c r="R34" s="808">
        <f t="shared" si="4"/>
        <v>20</v>
      </c>
      <c r="S34" s="809" t="str">
        <f t="shared" si="5"/>
        <v>--</v>
      </c>
      <c r="T34" s="420" t="str">
        <f t="shared" si="6"/>
        <v>--</v>
      </c>
      <c r="U34" s="421" t="str">
        <f t="shared" si="7"/>
        <v>--</v>
      </c>
      <c r="V34" s="422" t="str">
        <f t="shared" si="8"/>
        <v>--</v>
      </c>
      <c r="W34" s="806" t="s">
        <v>213</v>
      </c>
      <c r="X34" s="217" t="str">
        <f t="shared" si="9"/>
        <v/>
      </c>
      <c r="Y34" s="367" t="str">
        <f t="shared" si="10"/>
        <v/>
      </c>
      <c r="Z34" s="6"/>
    </row>
    <row r="35" spans="2:26" s="5" customFormat="1" ht="17.1" customHeight="1">
      <c r="B35" s="50"/>
      <c r="C35" s="270"/>
      <c r="D35" s="270"/>
      <c r="E35" s="270"/>
      <c r="F35" s="424"/>
      <c r="G35" s="362"/>
      <c r="H35" s="362"/>
      <c r="I35" s="425"/>
      <c r="J35" s="287">
        <f t="shared" si="0"/>
        <v>0</v>
      </c>
      <c r="K35" s="364"/>
      <c r="L35" s="181"/>
      <c r="M35" s="365" t="str">
        <f t="shared" si="1"/>
        <v/>
      </c>
      <c r="N35" s="366" t="str">
        <f t="shared" si="2"/>
        <v/>
      </c>
      <c r="O35" s="216"/>
      <c r="P35" s="499" t="str">
        <f t="shared" si="11"/>
        <v/>
      </c>
      <c r="Q35" s="217" t="str">
        <f t="shared" si="3"/>
        <v/>
      </c>
      <c r="R35" s="808">
        <f t="shared" si="4"/>
        <v>20</v>
      </c>
      <c r="S35" s="809" t="str">
        <f t="shared" si="5"/>
        <v>--</v>
      </c>
      <c r="T35" s="420" t="str">
        <f t="shared" si="6"/>
        <v>--</v>
      </c>
      <c r="U35" s="421" t="str">
        <f t="shared" si="7"/>
        <v>--</v>
      </c>
      <c r="V35" s="422" t="str">
        <f t="shared" si="8"/>
        <v>--</v>
      </c>
      <c r="W35" s="806" t="s">
        <v>213</v>
      </c>
      <c r="X35" s="217" t="str">
        <f t="shared" si="9"/>
        <v/>
      </c>
      <c r="Y35" s="367" t="str">
        <f t="shared" si="10"/>
        <v/>
      </c>
      <c r="Z35" s="6"/>
    </row>
    <row r="36" spans="2:26" s="5" customFormat="1" ht="17.1" customHeight="1">
      <c r="B36" s="50"/>
      <c r="C36" s="270"/>
      <c r="D36" s="270"/>
      <c r="E36" s="270"/>
      <c r="F36" s="424"/>
      <c r="G36" s="362"/>
      <c r="H36" s="362"/>
      <c r="I36" s="425"/>
      <c r="J36" s="287">
        <f t="shared" si="0"/>
        <v>0</v>
      </c>
      <c r="K36" s="364"/>
      <c r="L36" s="181"/>
      <c r="M36" s="365" t="str">
        <f t="shared" si="1"/>
        <v/>
      </c>
      <c r="N36" s="366" t="str">
        <f t="shared" si="2"/>
        <v/>
      </c>
      <c r="O36" s="216"/>
      <c r="P36" s="499" t="str">
        <f t="shared" si="11"/>
        <v/>
      </c>
      <c r="Q36" s="217" t="str">
        <f t="shared" si="3"/>
        <v/>
      </c>
      <c r="R36" s="808">
        <f t="shared" si="4"/>
        <v>20</v>
      </c>
      <c r="S36" s="809" t="str">
        <f t="shared" si="5"/>
        <v>--</v>
      </c>
      <c r="T36" s="420" t="str">
        <f t="shared" si="6"/>
        <v>--</v>
      </c>
      <c r="U36" s="421" t="str">
        <f t="shared" si="7"/>
        <v>--</v>
      </c>
      <c r="V36" s="422" t="str">
        <f t="shared" si="8"/>
        <v>--</v>
      </c>
      <c r="W36" s="806" t="s">
        <v>213</v>
      </c>
      <c r="X36" s="217" t="str">
        <f t="shared" si="9"/>
        <v/>
      </c>
      <c r="Y36" s="367" t="str">
        <f t="shared" si="10"/>
        <v/>
      </c>
      <c r="Z36" s="6"/>
    </row>
    <row r="37" spans="2:26" s="5" customFormat="1" ht="17.1" customHeight="1">
      <c r="B37" s="50"/>
      <c r="C37" s="270"/>
      <c r="D37" s="270"/>
      <c r="E37" s="270"/>
      <c r="F37" s="424"/>
      <c r="G37" s="362"/>
      <c r="H37" s="362"/>
      <c r="I37" s="425"/>
      <c r="J37" s="287">
        <f t="shared" si="0"/>
        <v>0</v>
      </c>
      <c r="K37" s="364"/>
      <c r="L37" s="181"/>
      <c r="M37" s="365" t="str">
        <f t="shared" si="1"/>
        <v/>
      </c>
      <c r="N37" s="366" t="str">
        <f t="shared" si="2"/>
        <v/>
      </c>
      <c r="O37" s="216"/>
      <c r="P37" s="499" t="str">
        <f t="shared" si="11"/>
        <v/>
      </c>
      <c r="Q37" s="217" t="str">
        <f t="shared" si="3"/>
        <v/>
      </c>
      <c r="R37" s="808">
        <f t="shared" si="4"/>
        <v>20</v>
      </c>
      <c r="S37" s="809" t="str">
        <f t="shared" si="5"/>
        <v>--</v>
      </c>
      <c r="T37" s="420" t="str">
        <f t="shared" si="6"/>
        <v>--</v>
      </c>
      <c r="U37" s="421" t="str">
        <f t="shared" si="7"/>
        <v>--</v>
      </c>
      <c r="V37" s="422" t="str">
        <f t="shared" si="8"/>
        <v>--</v>
      </c>
      <c r="W37" s="806" t="s">
        <v>213</v>
      </c>
      <c r="X37" s="217" t="str">
        <f t="shared" si="9"/>
        <v/>
      </c>
      <c r="Y37" s="367" t="str">
        <f t="shared" si="10"/>
        <v/>
      </c>
      <c r="Z37" s="6"/>
    </row>
    <row r="38" spans="2:26" s="5" customFormat="1" ht="17.1" customHeight="1">
      <c r="B38" s="50"/>
      <c r="C38" s="270"/>
      <c r="D38" s="270"/>
      <c r="E38" s="270"/>
      <c r="F38" s="424"/>
      <c r="G38" s="362"/>
      <c r="H38" s="362"/>
      <c r="I38" s="425"/>
      <c r="J38" s="287">
        <f t="shared" si="0"/>
        <v>0</v>
      </c>
      <c r="K38" s="364"/>
      <c r="L38" s="181"/>
      <c r="M38" s="365" t="str">
        <f t="shared" si="1"/>
        <v/>
      </c>
      <c r="N38" s="366" t="str">
        <f t="shared" si="2"/>
        <v/>
      </c>
      <c r="O38" s="216"/>
      <c r="P38" s="499" t="str">
        <f t="shared" si="11"/>
        <v/>
      </c>
      <c r="Q38" s="217" t="str">
        <f t="shared" si="3"/>
        <v/>
      </c>
      <c r="R38" s="808">
        <f t="shared" si="4"/>
        <v>20</v>
      </c>
      <c r="S38" s="809" t="str">
        <f t="shared" si="5"/>
        <v>--</v>
      </c>
      <c r="T38" s="420" t="str">
        <f t="shared" si="6"/>
        <v>--</v>
      </c>
      <c r="U38" s="421" t="str">
        <f t="shared" si="7"/>
        <v>--</v>
      </c>
      <c r="V38" s="422" t="str">
        <f t="shared" si="8"/>
        <v>--</v>
      </c>
      <c r="W38" s="806" t="s">
        <v>213</v>
      </c>
      <c r="X38" s="217" t="str">
        <f t="shared" si="9"/>
        <v/>
      </c>
      <c r="Y38" s="367" t="str">
        <f t="shared" si="10"/>
        <v/>
      </c>
      <c r="Z38" s="6"/>
    </row>
    <row r="39" spans="2:26" s="5" customFormat="1" ht="17.1" customHeight="1">
      <c r="B39" s="50"/>
      <c r="C39" s="270"/>
      <c r="D39" s="270"/>
      <c r="E39" s="270"/>
      <c r="F39" s="424"/>
      <c r="G39" s="362"/>
      <c r="H39" s="362"/>
      <c r="I39" s="425"/>
      <c r="J39" s="287">
        <f t="shared" si="0"/>
        <v>0</v>
      </c>
      <c r="K39" s="364"/>
      <c r="L39" s="181"/>
      <c r="M39" s="365" t="str">
        <f t="shared" si="1"/>
        <v/>
      </c>
      <c r="N39" s="366" t="str">
        <f t="shared" si="2"/>
        <v/>
      </c>
      <c r="O39" s="216"/>
      <c r="P39" s="499" t="str">
        <f t="shared" si="11"/>
        <v/>
      </c>
      <c r="Q39" s="217" t="str">
        <f t="shared" si="3"/>
        <v/>
      </c>
      <c r="R39" s="808">
        <f t="shared" si="4"/>
        <v>20</v>
      </c>
      <c r="S39" s="809" t="str">
        <f t="shared" si="5"/>
        <v>--</v>
      </c>
      <c r="T39" s="420" t="str">
        <f t="shared" si="6"/>
        <v>--</v>
      </c>
      <c r="U39" s="421" t="str">
        <f t="shared" si="7"/>
        <v>--</v>
      </c>
      <c r="V39" s="422" t="str">
        <f t="shared" si="8"/>
        <v>--</v>
      </c>
      <c r="W39" s="806" t="s">
        <v>213</v>
      </c>
      <c r="X39" s="217" t="str">
        <f t="shared" si="9"/>
        <v/>
      </c>
      <c r="Y39" s="367" t="str">
        <f t="shared" si="10"/>
        <v/>
      </c>
      <c r="Z39" s="6"/>
    </row>
    <row r="40" spans="2:26" s="5" customFormat="1" ht="17.1" customHeight="1">
      <c r="B40" s="50"/>
      <c r="C40" s="270"/>
      <c r="D40" s="270"/>
      <c r="E40" s="270"/>
      <c r="F40" s="424"/>
      <c r="G40" s="362"/>
      <c r="H40" s="362"/>
      <c r="I40" s="425"/>
      <c r="J40" s="287">
        <f t="shared" si="0"/>
        <v>0</v>
      </c>
      <c r="K40" s="364"/>
      <c r="L40" s="181"/>
      <c r="M40" s="365" t="str">
        <f t="shared" si="1"/>
        <v/>
      </c>
      <c r="N40" s="366" t="str">
        <f t="shared" si="2"/>
        <v/>
      </c>
      <c r="O40" s="216"/>
      <c r="P40" s="499" t="str">
        <f t="shared" si="11"/>
        <v/>
      </c>
      <c r="Q40" s="217" t="str">
        <f t="shared" si="3"/>
        <v/>
      </c>
      <c r="R40" s="808">
        <f t="shared" si="4"/>
        <v>20</v>
      </c>
      <c r="S40" s="809" t="str">
        <f t="shared" si="5"/>
        <v>--</v>
      </c>
      <c r="T40" s="420" t="str">
        <f t="shared" si="6"/>
        <v>--</v>
      </c>
      <c r="U40" s="421" t="str">
        <f t="shared" si="7"/>
        <v>--</v>
      </c>
      <c r="V40" s="422" t="str">
        <f t="shared" si="8"/>
        <v>--</v>
      </c>
      <c r="W40" s="806" t="s">
        <v>213</v>
      </c>
      <c r="X40" s="217" t="str">
        <f t="shared" si="9"/>
        <v/>
      </c>
      <c r="Y40" s="367" t="str">
        <f t="shared" si="10"/>
        <v/>
      </c>
      <c r="Z40" s="6"/>
    </row>
    <row r="41" spans="2:26" s="5" customFormat="1" ht="17.1" customHeight="1" thickBot="1">
      <c r="B41" s="50"/>
      <c r="C41" s="810"/>
      <c r="D41" s="427"/>
      <c r="E41" s="427"/>
      <c r="F41" s="427"/>
      <c r="G41" s="427"/>
      <c r="H41" s="427"/>
      <c r="I41" s="427"/>
      <c r="J41" s="130"/>
      <c r="K41" s="368"/>
      <c r="L41" s="368"/>
      <c r="M41" s="369"/>
      <c r="N41" s="369"/>
      <c r="O41" s="368"/>
      <c r="P41" s="185"/>
      <c r="Q41" s="148"/>
      <c r="R41" s="428"/>
      <c r="S41" s="429"/>
      <c r="T41" s="430"/>
      <c r="U41" s="431"/>
      <c r="V41" s="432"/>
      <c r="W41" s="432"/>
      <c r="X41" s="148"/>
      <c r="Y41" s="433"/>
      <c r="Z41" s="6"/>
    </row>
    <row r="42" spans="2:26" s="5" customFormat="1" ht="17.1" customHeight="1" thickBot="1" thickTop="1">
      <c r="B42" s="50"/>
      <c r="C42" s="126" t="s">
        <v>25</v>
      </c>
      <c r="D42" s="811" t="s">
        <v>369</v>
      </c>
      <c r="I42" s="4"/>
      <c r="J42" s="4"/>
      <c r="K42" s="4"/>
      <c r="L42" s="4"/>
      <c r="M42" s="4"/>
      <c r="N42" s="4"/>
      <c r="O42" s="4"/>
      <c r="P42" s="4"/>
      <c r="Q42" s="4"/>
      <c r="R42" s="434">
        <f>SUM(S20:S41)</f>
        <v>53.207648</v>
      </c>
      <c r="S42" s="435">
        <f>SUM(T20:T41)</f>
        <v>0</v>
      </c>
      <c r="T42" s="436">
        <f>SUM(U20:U41)</f>
        <v>0</v>
      </c>
      <c r="U42" s="437">
        <f>SUM(V20:V41)</f>
        <v>0</v>
      </c>
      <c r="V42" s="437">
        <f>SUM(W20:W41)</f>
        <v>0</v>
      </c>
      <c r="Y42" s="100">
        <f>ROUND(SUM(Y20:Y41),2)</f>
        <v>53.21</v>
      </c>
      <c r="Z42" s="438"/>
    </row>
    <row r="43" spans="2:26" s="5" customFormat="1" ht="17.1" customHeight="1" thickBot="1" thickTop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</row>
    <row r="44" spans="6:27" ht="17.1" customHeight="1" thickTop="1">
      <c r="F44" s="170"/>
      <c r="G44" s="170"/>
      <c r="H44" s="170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</row>
    <row r="45" spans="6:27" ht="17.1" customHeight="1">
      <c r="F45" s="170"/>
      <c r="G45" s="170"/>
      <c r="H45" s="170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</row>
    <row r="46" spans="6:27" ht="17.1" customHeight="1">
      <c r="F46" s="170"/>
      <c r="G46" s="170"/>
      <c r="H46" s="170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</row>
    <row r="47" spans="6:27" ht="17.1" customHeight="1">
      <c r="F47" s="170"/>
      <c r="G47" s="170"/>
      <c r="H47" s="170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</row>
    <row r="48" spans="6:27" ht="17.1" customHeight="1">
      <c r="F48" s="170"/>
      <c r="G48" s="170"/>
      <c r="H48" s="170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</row>
    <row r="49" spans="6:27" ht="17.1" customHeight="1">
      <c r="F49" s="170"/>
      <c r="G49" s="170"/>
      <c r="H49" s="170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</row>
    <row r="50" spans="6:27" ht="17.1" customHeight="1"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</row>
    <row r="51" spans="6:27" ht="17.1" customHeight="1"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</row>
    <row r="52" spans="6:27" ht="17.1" customHeight="1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</row>
    <row r="53" spans="6:27" ht="17.1" customHeight="1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</row>
    <row r="54" spans="6:27" ht="17.1" customHeight="1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</row>
    <row r="55" spans="6:27" ht="17.1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</row>
    <row r="56" spans="6:27" ht="17.1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</row>
    <row r="57" spans="6:27" ht="17.1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</row>
    <row r="58" spans="6:27" ht="17.1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</row>
    <row r="59" spans="6:27" ht="17.1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</row>
    <row r="60" spans="6:27" ht="17.1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</row>
    <row r="61" spans="6:27" ht="17.1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</row>
    <row r="62" spans="6:27" ht="17.1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</row>
    <row r="63" spans="6:27" ht="17.1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</row>
    <row r="64" spans="6:27" ht="17.1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</row>
    <row r="65" spans="6:27" ht="17.1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</row>
    <row r="66" spans="6:27" ht="17.1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</row>
    <row r="67" spans="6:27" ht="17.1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</row>
    <row r="68" spans="6:27" ht="17.1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</row>
    <row r="69" spans="6:27" ht="17.1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</row>
    <row r="70" spans="6:27" ht="17.1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</row>
    <row r="71" spans="6:27" ht="17.1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</row>
    <row r="72" spans="6:27" ht="17.1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</row>
    <row r="73" spans="6:27" ht="17.1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</row>
    <row r="74" spans="6:27" ht="17.1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</row>
    <row r="75" spans="6:27" ht="17.1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</row>
    <row r="76" spans="6:27" ht="17.1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</row>
    <row r="77" spans="6:27" ht="17.1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</row>
    <row r="78" spans="6:27" ht="17.1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</row>
    <row r="79" spans="6:27" ht="17.1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</row>
    <row r="80" spans="6:27" ht="17.1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</row>
    <row r="81" spans="6:27" ht="17.1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</row>
    <row r="82" spans="6:27" ht="17.1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</row>
    <row r="83" spans="6:27" ht="17.1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</row>
    <row r="84" spans="6:27" ht="17.1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</row>
    <row r="85" spans="6:27" ht="17.1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</row>
    <row r="86" spans="6:27" ht="17.1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</row>
    <row r="87" spans="6:27" ht="17.1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</row>
    <row r="88" spans="6:27" ht="17.1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</row>
    <row r="89" spans="6:27" ht="17.1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</row>
    <row r="90" spans="6:27" ht="17.1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</row>
    <row r="91" spans="6:27" ht="17.1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</row>
    <row r="92" spans="6:27" ht="17.1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</row>
    <row r="93" spans="6:27" ht="17.1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</row>
    <row r="94" spans="6:27" ht="17.1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</row>
    <row r="95" spans="6:27" ht="17.1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</row>
    <row r="96" spans="6:27" ht="17.1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</row>
    <row r="97" spans="6:27" ht="17.1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</row>
    <row r="98" spans="6:27" ht="17.1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</row>
    <row r="99" spans="6:27" ht="17.1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</row>
    <row r="100" spans="6:27" ht="17.1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</row>
    <row r="101" spans="6:27" ht="17.1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</row>
    <row r="102" spans="6:27" ht="17.1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</row>
    <row r="103" spans="6:27" ht="17.1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</row>
    <row r="104" spans="6:27" ht="17.1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</row>
    <row r="105" spans="6:27" ht="17.1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</row>
    <row r="106" spans="6:27" ht="17.1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</row>
    <row r="107" spans="6:27" ht="17.1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</row>
    <row r="108" spans="6:27" ht="17.1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</row>
    <row r="109" spans="6:27" ht="17.1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</row>
    <row r="110" spans="6:27" ht="17.1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</row>
    <row r="111" spans="6:27" ht="17.1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</row>
    <row r="112" spans="6:27" ht="17.1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</row>
    <row r="113" spans="6:27" ht="17.1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</row>
    <row r="114" spans="6:27" ht="17.1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</row>
    <row r="115" spans="6:27" ht="17.1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</row>
    <row r="116" spans="6:27" ht="17.1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</row>
    <row r="117" spans="6:27" ht="17.1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</row>
    <row r="118" spans="6:27" ht="17.1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</row>
    <row r="119" spans="6:27" ht="17.1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</row>
    <row r="120" spans="6:27" ht="17.1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</row>
    <row r="121" spans="6:27" ht="17.1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</row>
    <row r="122" spans="6:27" ht="17.1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</row>
    <row r="123" spans="6:27" ht="17.1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</row>
    <row r="124" spans="6:27" ht="17.1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</row>
    <row r="125" spans="6:27" ht="17.1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</row>
    <row r="126" spans="6:27" ht="17.1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</row>
    <row r="127" spans="6:27" ht="17.1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</row>
    <row r="128" spans="6:27" ht="17.1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</row>
    <row r="129" spans="6:27" ht="17.1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</row>
    <row r="130" spans="6:27" ht="17.1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</row>
    <row r="131" spans="6:27" ht="17.1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</row>
    <row r="132" spans="6:27" ht="17.1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</row>
    <row r="133" spans="6:27" ht="17.1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</row>
    <row r="134" spans="6:27" ht="17.1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</row>
    <row r="135" spans="6:27" ht="17.1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</row>
    <row r="136" spans="6:27" ht="17.1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</row>
    <row r="137" spans="6:27" ht="17.1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</row>
    <row r="138" spans="6:27" ht="17.1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</row>
    <row r="139" spans="6:27" ht="17.1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</row>
    <row r="140" spans="6:27" ht="17.1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</row>
    <row r="141" spans="6:27" ht="17.1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</row>
    <row r="142" spans="6:27" ht="17.1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</row>
    <row r="143" spans="6:27" ht="17.1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</row>
    <row r="144" spans="6:27" ht="17.1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</row>
    <row r="145" spans="6:27" ht="17.1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</row>
    <row r="146" spans="6:27" ht="17.1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</row>
    <row r="147" spans="6:27" ht="17.1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</row>
    <row r="148" spans="6:27" ht="17.1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</row>
    <row r="149" spans="6:27" ht="17.1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</row>
    <row r="150" spans="6:27" ht="17.1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</row>
    <row r="151" spans="6:27" ht="17.1" customHeight="1">
      <c r="F151" s="168"/>
      <c r="G151" s="168"/>
      <c r="H151" s="168"/>
      <c r="Z151" s="168"/>
      <c r="AA151" s="168"/>
    </row>
    <row r="152" spans="6:8" ht="17.1" customHeight="1">
      <c r="F152" s="168"/>
      <c r="G152" s="168"/>
      <c r="H152" s="168"/>
    </row>
    <row r="153" spans="6:8" ht="17.1" customHeight="1">
      <c r="F153" s="168"/>
      <c r="G153" s="168"/>
      <c r="H153" s="168"/>
    </row>
    <row r="154" spans="6:8" ht="17.1" customHeight="1">
      <c r="F154" s="168"/>
      <c r="G154" s="168"/>
      <c r="H154" s="168"/>
    </row>
    <row r="155" spans="6:8" ht="17.1" customHeight="1">
      <c r="F155" s="168"/>
      <c r="G155" s="168"/>
      <c r="H155" s="168"/>
    </row>
    <row r="156" spans="6:8" ht="17.1" customHeight="1">
      <c r="F156" s="168"/>
      <c r="G156" s="168"/>
      <c r="H156" s="168"/>
    </row>
    <row r="157" ht="17.1" customHeight="1"/>
    <row r="158" ht="17.1" customHeight="1"/>
    <row r="159" ht="17.1" customHeight="1"/>
    <row r="160" ht="17.1" customHeight="1"/>
    <row r="161" ht="17.1" customHeight="1"/>
    <row r="162" ht="17.1" customHeight="1"/>
    <row r="163" ht="17.1" customHeight="1"/>
    <row r="164" ht="17.1" customHeight="1"/>
    <row r="165" ht="17.1" customHeight="1"/>
    <row r="166" ht="17.1" customHeight="1"/>
    <row r="167" ht="17.1" customHeight="1"/>
    <row r="168" ht="17.1" customHeight="1"/>
    <row r="169" ht="17.1" customHeight="1"/>
    <row r="170" ht="17.1" customHeight="1"/>
    <row r="171" ht="17.1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2"/>
  <headerFooter alignWithMargins="0">
    <oddFooter>&amp;L&amp;"Times New Roman,Normal"&amp;8&amp;Z&amp;F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5">
    <pageSetUpPr fitToPage="1"/>
  </sheetPr>
  <dimension ref="A1:AC157"/>
  <sheetViews>
    <sheetView zoomScale="70" zoomScaleNormal="70" workbookViewId="0" topLeftCell="A1">
      <selection activeCell="A48" sqref="A48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25.7109375" style="0" customWidth="1"/>
    <col min="8" max="8" width="8.00390625" style="0" customWidth="1"/>
    <col min="9" max="9" width="5.421875" style="0" hidden="1" customWidth="1"/>
    <col min="10" max="11" width="15.7109375" style="0" customWidth="1"/>
    <col min="12" max="15" width="9.7109375" style="0" customWidth="1"/>
    <col min="16" max="16" width="6.00390625" style="0" customWidth="1"/>
    <col min="17" max="17" width="3.7109375" style="0" hidden="1" customWidth="1"/>
    <col min="18" max="18" width="13.140625" style="0" hidden="1" customWidth="1"/>
    <col min="19" max="22" width="9.57421875" style="0" hidden="1" customWidth="1"/>
    <col min="23" max="24" width="12.28125" style="0" hidden="1" customWidth="1"/>
    <col min="25" max="25" width="9.7109375" style="0" customWidth="1"/>
    <col min="26" max="26" width="15.7109375" style="0" customWidth="1"/>
    <col min="27" max="27" width="4.140625" style="0" customWidth="1"/>
  </cols>
  <sheetData>
    <row r="1" s="18" customFormat="1" ht="26.25">
      <c r="AA1" s="139"/>
    </row>
    <row r="2" spans="1:27" s="18" customFormat="1" ht="26.25">
      <c r="A2" s="91"/>
      <c r="B2" s="381" t="str">
        <f>+'TOT-0116'!B2</f>
        <v>ANEXO II al Memorándum D.T.E.E. N° 231 / 2017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27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s="29" customFormat="1" ht="20.25">
      <c r="B8" s="79"/>
      <c r="C8" s="30"/>
      <c r="D8" s="30"/>
      <c r="F8" s="167" t="s">
        <v>85</v>
      </c>
      <c r="G8" s="382"/>
      <c r="H8" s="164"/>
      <c r="I8" s="163"/>
      <c r="J8" s="163"/>
      <c r="K8" s="163"/>
      <c r="L8" s="163"/>
      <c r="M8" s="163"/>
      <c r="N8" s="163"/>
      <c r="O8" s="163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383"/>
    </row>
    <row r="9" spans="2:27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2:27" s="29" customFormat="1" ht="20.25">
      <c r="B10" s="79"/>
      <c r="C10" s="30"/>
      <c r="D10" s="30"/>
      <c r="F10" s="11" t="s">
        <v>86</v>
      </c>
      <c r="H10" s="384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30"/>
      <c r="AA10" s="80"/>
    </row>
    <row r="11" spans="2:27" s="5" customFormat="1" ht="17.1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6"/>
    </row>
    <row r="12" spans="2:27" s="29" customFormat="1" ht="20.25">
      <c r="B12" s="79"/>
      <c r="C12" s="30"/>
      <c r="D12" s="30"/>
      <c r="F12" s="11" t="s">
        <v>89</v>
      </c>
      <c r="H12" s="384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30"/>
      <c r="AA12" s="80"/>
    </row>
    <row r="13" spans="2:27" s="5" customFormat="1" ht="17.1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6"/>
    </row>
    <row r="14" spans="2:27" s="36" customFormat="1" ht="17.1" customHeight="1">
      <c r="B14" s="37" t="str">
        <f>'TOT-0116'!B14</f>
        <v>Desde el 01 al 31 de enero de 2016</v>
      </c>
      <c r="C14" s="40"/>
      <c r="D14" s="40"/>
      <c r="E14" s="385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5"/>
      <c r="S14" s="385"/>
      <c r="T14" s="385"/>
      <c r="U14" s="385"/>
      <c r="V14" s="385"/>
      <c r="W14" s="385"/>
      <c r="X14" s="385"/>
      <c r="Y14" s="385"/>
      <c r="Z14" s="385"/>
      <c r="AA14" s="387"/>
    </row>
    <row r="15" spans="2:27" s="5" customFormat="1" ht="17.1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2:27" s="5" customFormat="1" ht="17.1" customHeight="1" thickBot="1" thickTop="1">
      <c r="B16" s="50"/>
      <c r="C16" s="4"/>
      <c r="D16" s="4"/>
      <c r="E16" s="4"/>
      <c r="F16" s="116" t="s">
        <v>76</v>
      </c>
      <c r="G16" s="388"/>
      <c r="H16" s="248">
        <v>0.319</v>
      </c>
      <c r="I16" s="336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2:27" s="5" customFormat="1" ht="17.1" customHeight="1" thickBot="1" thickTop="1">
      <c r="B17" s="50"/>
      <c r="C17" s="4"/>
      <c r="D17" s="4"/>
      <c r="E17" s="4"/>
      <c r="F17" s="389" t="s">
        <v>26</v>
      </c>
      <c r="G17" s="390"/>
      <c r="H17" s="753">
        <v>20</v>
      </c>
      <c r="I17" s="336"/>
      <c r="J17"/>
      <c r="K17" s="195"/>
      <c r="L17" s="196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115"/>
      <c r="Z17" s="115"/>
      <c r="AA17" s="6"/>
    </row>
    <row r="18" spans="2:27" s="5" customFormat="1" ht="17.1" customHeight="1" thickBot="1" thickTop="1">
      <c r="B18" s="50"/>
      <c r="C18" s="836">
        <v>3</v>
      </c>
      <c r="D18" s="836">
        <v>4</v>
      </c>
      <c r="E18" s="836">
        <v>5</v>
      </c>
      <c r="F18" s="836">
        <v>6</v>
      </c>
      <c r="G18" s="836">
        <v>7</v>
      </c>
      <c r="H18" s="836">
        <v>8</v>
      </c>
      <c r="I18" s="836">
        <v>9</v>
      </c>
      <c r="J18" s="836">
        <v>10</v>
      </c>
      <c r="K18" s="836">
        <v>11</v>
      </c>
      <c r="L18" s="836">
        <v>12</v>
      </c>
      <c r="M18" s="836">
        <v>13</v>
      </c>
      <c r="N18" s="836">
        <v>14</v>
      </c>
      <c r="O18" s="836">
        <v>15</v>
      </c>
      <c r="P18" s="836">
        <v>16</v>
      </c>
      <c r="Q18" s="836">
        <v>17</v>
      </c>
      <c r="R18" s="836">
        <v>18</v>
      </c>
      <c r="S18" s="836">
        <v>19</v>
      </c>
      <c r="T18" s="836">
        <v>20</v>
      </c>
      <c r="U18" s="836">
        <v>21</v>
      </c>
      <c r="V18" s="836">
        <v>22</v>
      </c>
      <c r="W18" s="836">
        <v>23</v>
      </c>
      <c r="X18" s="836">
        <v>24</v>
      </c>
      <c r="Y18" s="836">
        <v>25</v>
      </c>
      <c r="Z18" s="836">
        <v>26</v>
      </c>
      <c r="AA18" s="6"/>
    </row>
    <row r="19" spans="2:27" s="5" customFormat="1" ht="33.95" customHeight="1" thickBot="1" thickTop="1">
      <c r="B19" s="50"/>
      <c r="C19" s="122" t="s">
        <v>13</v>
      </c>
      <c r="D19" s="84" t="s">
        <v>242</v>
      </c>
      <c r="E19" s="84" t="s">
        <v>243</v>
      </c>
      <c r="F19" s="86" t="s">
        <v>27</v>
      </c>
      <c r="G19" s="85" t="s">
        <v>28</v>
      </c>
      <c r="H19" s="392" t="s">
        <v>241</v>
      </c>
      <c r="I19" s="128" t="s">
        <v>16</v>
      </c>
      <c r="J19" s="85" t="s">
        <v>17</v>
      </c>
      <c r="K19" s="85" t="s">
        <v>18</v>
      </c>
      <c r="L19" s="86" t="s">
        <v>36</v>
      </c>
      <c r="M19" s="86" t="s">
        <v>31</v>
      </c>
      <c r="N19" s="88" t="s">
        <v>19</v>
      </c>
      <c r="O19" s="88" t="s">
        <v>58</v>
      </c>
      <c r="P19" s="85" t="s">
        <v>32</v>
      </c>
      <c r="Q19" s="128" t="s">
        <v>37</v>
      </c>
      <c r="R19" s="393" t="s">
        <v>70</v>
      </c>
      <c r="S19" s="394" t="s">
        <v>237</v>
      </c>
      <c r="T19" s="395"/>
      <c r="U19" s="252" t="s">
        <v>238</v>
      </c>
      <c r="V19" s="253"/>
      <c r="W19" s="396" t="s">
        <v>22</v>
      </c>
      <c r="X19" s="251" t="s">
        <v>21</v>
      </c>
      <c r="Y19" s="131" t="s">
        <v>74</v>
      </c>
      <c r="Z19" s="397" t="s">
        <v>24</v>
      </c>
      <c r="AA19" s="6"/>
    </row>
    <row r="20" spans="2:27" s="5" customFormat="1" ht="17.1" customHeight="1" thickTop="1">
      <c r="B20" s="50"/>
      <c r="C20" s="256"/>
      <c r="D20" s="256"/>
      <c r="E20" s="256"/>
      <c r="F20" s="399"/>
      <c r="G20" s="399"/>
      <c r="H20" s="399"/>
      <c r="I20" s="327"/>
      <c r="J20" s="400"/>
      <c r="K20" s="400"/>
      <c r="L20" s="398"/>
      <c r="M20" s="398"/>
      <c r="N20" s="399"/>
      <c r="O20" s="176"/>
      <c r="P20" s="398"/>
      <c r="Q20" s="401"/>
      <c r="R20" s="402"/>
      <c r="S20" s="403"/>
      <c r="T20" s="404"/>
      <c r="U20" s="265"/>
      <c r="V20" s="266"/>
      <c r="W20" s="405"/>
      <c r="X20" s="405"/>
      <c r="Y20" s="406"/>
      <c r="Z20" s="407"/>
      <c r="AA20" s="6"/>
    </row>
    <row r="21" spans="2:27" s="5" customFormat="1" ht="17.1" customHeight="1">
      <c r="B21" s="50"/>
      <c r="C21" s="270"/>
      <c r="D21" s="270"/>
      <c r="E21" s="270"/>
      <c r="F21" s="408"/>
      <c r="G21" s="409"/>
      <c r="H21" s="410"/>
      <c r="I21" s="411"/>
      <c r="J21" s="412"/>
      <c r="K21" s="413"/>
      <c r="L21" s="414"/>
      <c r="M21" s="415"/>
      <c r="N21" s="416"/>
      <c r="O21" s="177"/>
      <c r="P21" s="417"/>
      <c r="Q21" s="418"/>
      <c r="R21" s="419"/>
      <c r="S21" s="420"/>
      <c r="T21" s="421"/>
      <c r="U21" s="279"/>
      <c r="V21" s="280"/>
      <c r="W21" s="422"/>
      <c r="X21" s="422"/>
      <c r="Y21" s="417"/>
      <c r="Z21" s="423"/>
      <c r="AA21" s="6"/>
    </row>
    <row r="22" spans="2:27" s="5" customFormat="1" ht="17.1" customHeight="1">
      <c r="B22" s="50"/>
      <c r="C22" s="270">
        <v>103</v>
      </c>
      <c r="D22" s="270">
        <v>282562</v>
      </c>
      <c r="E22" s="149">
        <v>2672</v>
      </c>
      <c r="F22" s="424" t="s">
        <v>372</v>
      </c>
      <c r="G22" s="362" t="s">
        <v>404</v>
      </c>
      <c r="H22" s="425">
        <v>80</v>
      </c>
      <c r="I22" s="287">
        <f aca="true" t="shared" si="0" ref="I22:I41">H22*$H$16</f>
        <v>25.52</v>
      </c>
      <c r="J22" s="364">
        <v>42370</v>
      </c>
      <c r="K22" s="181">
        <v>42400.99998842592</v>
      </c>
      <c r="L22" s="365">
        <f aca="true" t="shared" si="1" ref="L22:L41">IF(F22="","",(K22-J22)*24)</f>
        <v>743.9997222221573</v>
      </c>
      <c r="M22" s="366">
        <f aca="true" t="shared" si="2" ref="M22:M41">IF(F22="","",ROUND((K22-J22)*24*60,0))</f>
        <v>44640</v>
      </c>
      <c r="N22" s="216" t="s">
        <v>304</v>
      </c>
      <c r="O22" s="499" t="str">
        <f aca="true" t="shared" si="3" ref="O22:O41">IF(F22="","","--")</f>
        <v>--</v>
      </c>
      <c r="P22" s="217" t="str">
        <f aca="true" t="shared" si="4" ref="P22:P41">IF(F22="","",IF(OR(N22="P",N22="RP"),"--","NO"))</f>
        <v>--</v>
      </c>
      <c r="Q22" s="808">
        <f aca="true" t="shared" si="5" ref="Q22:Q41">IF(OR(N22="P",N22="RP"),$H$17/10,$H$17)</f>
        <v>2</v>
      </c>
      <c r="R22" s="809">
        <f aca="true" t="shared" si="6" ref="R22:R41">IF(N22="P",I22*Q22*ROUND(M22/60,2),"--")</f>
        <v>37973.76</v>
      </c>
      <c r="S22" s="420" t="str">
        <f aca="true" t="shared" si="7" ref="S22:S41">IF(AND(N22="F",P22="NO"),I22*Q22,"--")</f>
        <v>--</v>
      </c>
      <c r="T22" s="421" t="str">
        <f aca="true" t="shared" si="8" ref="T22:T41">IF(N22="F",I22*Q22*ROUND(M22/60,2),"--")</f>
        <v>--</v>
      </c>
      <c r="U22" s="294" t="str">
        <f aca="true" t="shared" si="9" ref="U22:U41">IF(AND(N22="R",P22="NO"),I22*Q22*O22/100,"--")</f>
        <v>--</v>
      </c>
      <c r="V22" s="295" t="str">
        <f aca="true" t="shared" si="10" ref="V22:V41">IF(N22="R",I22*Q22*O22/100*ROUND(M22/60,2),"--")</f>
        <v>--</v>
      </c>
      <c r="W22" s="422" t="str">
        <f aca="true" t="shared" si="11" ref="W22:W41">IF(N22="RF",I22*Q22*ROUND(M22/60,2),"--")</f>
        <v>--</v>
      </c>
      <c r="X22" s="806" t="str">
        <f aca="true" t="shared" si="12" ref="X22:X41">IF(N22="RP",I22*Q22*O22/100*ROUND(M22/60,2),"--")</f>
        <v>--</v>
      </c>
      <c r="Y22" s="217" t="str">
        <f aca="true" t="shared" si="13" ref="Y22:Y41">IF(F22="","","SI")</f>
        <v>SI</v>
      </c>
      <c r="Z22" s="367">
        <f aca="true" t="shared" si="14" ref="Z22:Z41">IF(F22="","",SUM(R22:X22)*IF(Y22="SI",1,2)*IF(AND(O22&lt;&gt;"--",N22="RF"),O22/100,1))</f>
        <v>37973.76</v>
      </c>
      <c r="AA22" s="6"/>
    </row>
    <row r="23" spans="2:27" s="5" customFormat="1" ht="17.1" customHeight="1">
      <c r="B23" s="50"/>
      <c r="C23" s="270">
        <v>104</v>
      </c>
      <c r="D23" s="270">
        <v>297799</v>
      </c>
      <c r="E23" s="270">
        <v>668</v>
      </c>
      <c r="F23" s="424" t="s">
        <v>330</v>
      </c>
      <c r="G23" s="362" t="s">
        <v>408</v>
      </c>
      <c r="H23" s="425">
        <v>80</v>
      </c>
      <c r="I23" s="287">
        <f t="shared" si="0"/>
        <v>25.52</v>
      </c>
      <c r="J23" s="364">
        <v>42391.345138888886</v>
      </c>
      <c r="K23" s="181">
        <v>42391.37708333333</v>
      </c>
      <c r="L23" s="365">
        <f t="shared" si="1"/>
        <v>0.7666666667209938</v>
      </c>
      <c r="M23" s="366">
        <f t="shared" si="2"/>
        <v>46</v>
      </c>
      <c r="N23" s="216" t="s">
        <v>304</v>
      </c>
      <c r="O23" s="499" t="str">
        <f t="shared" si="3"/>
        <v>--</v>
      </c>
      <c r="P23" s="217" t="str">
        <f t="shared" si="4"/>
        <v>--</v>
      </c>
      <c r="Q23" s="808">
        <f t="shared" si="5"/>
        <v>2</v>
      </c>
      <c r="R23" s="809">
        <f t="shared" si="6"/>
        <v>39.3008</v>
      </c>
      <c r="S23" s="420" t="str">
        <f t="shared" si="7"/>
        <v>--</v>
      </c>
      <c r="T23" s="421" t="str">
        <f t="shared" si="8"/>
        <v>--</v>
      </c>
      <c r="U23" s="294" t="str">
        <f t="shared" si="9"/>
        <v>--</v>
      </c>
      <c r="V23" s="295" t="str">
        <f t="shared" si="10"/>
        <v>--</v>
      </c>
      <c r="W23" s="422" t="str">
        <f t="shared" si="11"/>
        <v>--</v>
      </c>
      <c r="X23" s="806" t="str">
        <f t="shared" si="12"/>
        <v>--</v>
      </c>
      <c r="Y23" s="217" t="str">
        <f t="shared" si="13"/>
        <v>SI</v>
      </c>
      <c r="Z23" s="367">
        <f t="shared" si="14"/>
        <v>39.3008</v>
      </c>
      <c r="AA23" s="6"/>
    </row>
    <row r="24" spans="2:27" s="5" customFormat="1" ht="17.1" customHeight="1">
      <c r="B24" s="50"/>
      <c r="C24" s="270"/>
      <c r="D24" s="270"/>
      <c r="E24" s="149"/>
      <c r="F24" s="424"/>
      <c r="G24" s="362"/>
      <c r="H24" s="425"/>
      <c r="I24" s="287">
        <f t="shared" si="0"/>
        <v>0</v>
      </c>
      <c r="J24" s="364"/>
      <c r="K24" s="181"/>
      <c r="L24" s="365" t="str">
        <f t="shared" si="1"/>
        <v/>
      </c>
      <c r="M24" s="366" t="str">
        <f t="shared" si="2"/>
        <v/>
      </c>
      <c r="N24" s="216"/>
      <c r="O24" s="499" t="str">
        <f t="shared" si="3"/>
        <v/>
      </c>
      <c r="P24" s="217" t="str">
        <f t="shared" si="4"/>
        <v/>
      </c>
      <c r="Q24" s="808">
        <f t="shared" si="5"/>
        <v>20</v>
      </c>
      <c r="R24" s="809" t="str">
        <f t="shared" si="6"/>
        <v>--</v>
      </c>
      <c r="S24" s="420" t="str">
        <f t="shared" si="7"/>
        <v>--</v>
      </c>
      <c r="T24" s="421" t="str">
        <f t="shared" si="8"/>
        <v>--</v>
      </c>
      <c r="U24" s="294" t="str">
        <f t="shared" si="9"/>
        <v>--</v>
      </c>
      <c r="V24" s="295" t="str">
        <f t="shared" si="10"/>
        <v>--</v>
      </c>
      <c r="W24" s="422" t="str">
        <f t="shared" si="11"/>
        <v>--</v>
      </c>
      <c r="X24" s="806" t="str">
        <f t="shared" si="12"/>
        <v>--</v>
      </c>
      <c r="Y24" s="217" t="str">
        <f t="shared" si="13"/>
        <v/>
      </c>
      <c r="Z24" s="367" t="str">
        <f t="shared" si="14"/>
        <v/>
      </c>
      <c r="AA24" s="6"/>
    </row>
    <row r="25" spans="2:27" s="5" customFormat="1" ht="17.1" customHeight="1">
      <c r="B25" s="50"/>
      <c r="C25" s="270"/>
      <c r="D25" s="270"/>
      <c r="E25" s="270"/>
      <c r="F25" s="424"/>
      <c r="G25" s="362"/>
      <c r="H25" s="425"/>
      <c r="I25" s="287">
        <f t="shared" si="0"/>
        <v>0</v>
      </c>
      <c r="J25" s="364"/>
      <c r="K25" s="181"/>
      <c r="L25" s="365" t="str">
        <f t="shared" si="1"/>
        <v/>
      </c>
      <c r="M25" s="366" t="str">
        <f t="shared" si="2"/>
        <v/>
      </c>
      <c r="N25" s="216"/>
      <c r="O25" s="499" t="str">
        <f t="shared" si="3"/>
        <v/>
      </c>
      <c r="P25" s="217" t="str">
        <f t="shared" si="4"/>
        <v/>
      </c>
      <c r="Q25" s="808">
        <f t="shared" si="5"/>
        <v>20</v>
      </c>
      <c r="R25" s="809" t="str">
        <f t="shared" si="6"/>
        <v>--</v>
      </c>
      <c r="S25" s="420" t="str">
        <f t="shared" si="7"/>
        <v>--</v>
      </c>
      <c r="T25" s="421" t="str">
        <f t="shared" si="8"/>
        <v>--</v>
      </c>
      <c r="U25" s="294" t="str">
        <f t="shared" si="9"/>
        <v>--</v>
      </c>
      <c r="V25" s="295" t="str">
        <f t="shared" si="10"/>
        <v>--</v>
      </c>
      <c r="W25" s="422" t="str">
        <f t="shared" si="11"/>
        <v>--</v>
      </c>
      <c r="X25" s="806" t="str">
        <f t="shared" si="12"/>
        <v>--</v>
      </c>
      <c r="Y25" s="217" t="str">
        <f t="shared" si="13"/>
        <v/>
      </c>
      <c r="Z25" s="367" t="str">
        <f t="shared" si="14"/>
        <v/>
      </c>
      <c r="AA25" s="426"/>
    </row>
    <row r="26" spans="2:27" s="5" customFormat="1" ht="17.1" customHeight="1">
      <c r="B26" s="50"/>
      <c r="C26" s="270"/>
      <c r="D26" s="270"/>
      <c r="E26" s="149"/>
      <c r="F26" s="424"/>
      <c r="G26" s="362"/>
      <c r="H26" s="425"/>
      <c r="I26" s="287">
        <f t="shared" si="0"/>
        <v>0</v>
      </c>
      <c r="J26" s="364"/>
      <c r="K26" s="181"/>
      <c r="L26" s="365" t="str">
        <f t="shared" si="1"/>
        <v/>
      </c>
      <c r="M26" s="366" t="str">
        <f t="shared" si="2"/>
        <v/>
      </c>
      <c r="N26" s="216"/>
      <c r="O26" s="499" t="str">
        <f t="shared" si="3"/>
        <v/>
      </c>
      <c r="P26" s="217" t="str">
        <f t="shared" si="4"/>
        <v/>
      </c>
      <c r="Q26" s="808">
        <f t="shared" si="5"/>
        <v>20</v>
      </c>
      <c r="R26" s="809" t="str">
        <f t="shared" si="6"/>
        <v>--</v>
      </c>
      <c r="S26" s="420" t="str">
        <f t="shared" si="7"/>
        <v>--</v>
      </c>
      <c r="T26" s="421" t="str">
        <f t="shared" si="8"/>
        <v>--</v>
      </c>
      <c r="U26" s="294" t="str">
        <f t="shared" si="9"/>
        <v>--</v>
      </c>
      <c r="V26" s="295" t="str">
        <f t="shared" si="10"/>
        <v>--</v>
      </c>
      <c r="W26" s="422" t="str">
        <f t="shared" si="11"/>
        <v>--</v>
      </c>
      <c r="X26" s="806" t="str">
        <f t="shared" si="12"/>
        <v>--</v>
      </c>
      <c r="Y26" s="217" t="str">
        <f t="shared" si="13"/>
        <v/>
      </c>
      <c r="Z26" s="367" t="str">
        <f t="shared" si="14"/>
        <v/>
      </c>
      <c r="AA26" s="426"/>
    </row>
    <row r="27" spans="2:27" s="5" customFormat="1" ht="17.1" customHeight="1">
      <c r="B27" s="50"/>
      <c r="C27" s="270"/>
      <c r="D27" s="270"/>
      <c r="E27" s="270"/>
      <c r="F27" s="424"/>
      <c r="G27" s="362"/>
      <c r="H27" s="425"/>
      <c r="I27" s="287">
        <f t="shared" si="0"/>
        <v>0</v>
      </c>
      <c r="J27" s="364"/>
      <c r="K27" s="181"/>
      <c r="L27" s="365" t="str">
        <f t="shared" si="1"/>
        <v/>
      </c>
      <c r="M27" s="366" t="str">
        <f t="shared" si="2"/>
        <v/>
      </c>
      <c r="N27" s="216"/>
      <c r="O27" s="499" t="str">
        <f t="shared" si="3"/>
        <v/>
      </c>
      <c r="P27" s="217" t="str">
        <f t="shared" si="4"/>
        <v/>
      </c>
      <c r="Q27" s="808">
        <f t="shared" si="5"/>
        <v>20</v>
      </c>
      <c r="R27" s="809" t="str">
        <f t="shared" si="6"/>
        <v>--</v>
      </c>
      <c r="S27" s="420" t="str">
        <f t="shared" si="7"/>
        <v>--</v>
      </c>
      <c r="T27" s="421" t="str">
        <f t="shared" si="8"/>
        <v>--</v>
      </c>
      <c r="U27" s="294" t="str">
        <f t="shared" si="9"/>
        <v>--</v>
      </c>
      <c r="V27" s="295" t="str">
        <f t="shared" si="10"/>
        <v>--</v>
      </c>
      <c r="W27" s="422" t="str">
        <f t="shared" si="11"/>
        <v>--</v>
      </c>
      <c r="X27" s="806" t="str">
        <f t="shared" si="12"/>
        <v>--</v>
      </c>
      <c r="Y27" s="217" t="str">
        <f t="shared" si="13"/>
        <v/>
      </c>
      <c r="Z27" s="367" t="str">
        <f t="shared" si="14"/>
        <v/>
      </c>
      <c r="AA27" s="426"/>
    </row>
    <row r="28" spans="2:27" s="5" customFormat="1" ht="17.1" customHeight="1">
      <c r="B28" s="50"/>
      <c r="C28" s="270"/>
      <c r="D28" s="270"/>
      <c r="E28" s="149"/>
      <c r="F28" s="424"/>
      <c r="G28" s="362"/>
      <c r="H28" s="425"/>
      <c r="I28" s="287">
        <f t="shared" si="0"/>
        <v>0</v>
      </c>
      <c r="J28" s="364"/>
      <c r="K28" s="181"/>
      <c r="L28" s="365" t="str">
        <f t="shared" si="1"/>
        <v/>
      </c>
      <c r="M28" s="366" t="str">
        <f t="shared" si="2"/>
        <v/>
      </c>
      <c r="N28" s="216"/>
      <c r="O28" s="499" t="str">
        <f t="shared" si="3"/>
        <v/>
      </c>
      <c r="P28" s="217" t="str">
        <f t="shared" si="4"/>
        <v/>
      </c>
      <c r="Q28" s="808">
        <f t="shared" si="5"/>
        <v>20</v>
      </c>
      <c r="R28" s="809" t="str">
        <f t="shared" si="6"/>
        <v>--</v>
      </c>
      <c r="S28" s="420" t="str">
        <f t="shared" si="7"/>
        <v>--</v>
      </c>
      <c r="T28" s="421" t="str">
        <f t="shared" si="8"/>
        <v>--</v>
      </c>
      <c r="U28" s="294" t="str">
        <f t="shared" si="9"/>
        <v>--</v>
      </c>
      <c r="V28" s="295" t="str">
        <f t="shared" si="10"/>
        <v>--</v>
      </c>
      <c r="W28" s="422" t="str">
        <f t="shared" si="11"/>
        <v>--</v>
      </c>
      <c r="X28" s="806" t="str">
        <f t="shared" si="12"/>
        <v>--</v>
      </c>
      <c r="Y28" s="217" t="str">
        <f t="shared" si="13"/>
        <v/>
      </c>
      <c r="Z28" s="367" t="str">
        <f t="shared" si="14"/>
        <v/>
      </c>
      <c r="AA28" s="426"/>
    </row>
    <row r="29" spans="2:27" s="5" customFormat="1" ht="17.1" customHeight="1">
      <c r="B29" s="50"/>
      <c r="C29" s="270"/>
      <c r="D29" s="270"/>
      <c r="E29" s="270"/>
      <c r="F29" s="424"/>
      <c r="G29" s="362"/>
      <c r="H29" s="425"/>
      <c r="I29" s="287">
        <f t="shared" si="0"/>
        <v>0</v>
      </c>
      <c r="J29" s="364"/>
      <c r="K29" s="181"/>
      <c r="L29" s="365" t="str">
        <f t="shared" si="1"/>
        <v/>
      </c>
      <c r="M29" s="366" t="str">
        <f t="shared" si="2"/>
        <v/>
      </c>
      <c r="N29" s="216"/>
      <c r="O29" s="499" t="str">
        <f t="shared" si="3"/>
        <v/>
      </c>
      <c r="P29" s="217" t="str">
        <f t="shared" si="4"/>
        <v/>
      </c>
      <c r="Q29" s="808">
        <f t="shared" si="5"/>
        <v>20</v>
      </c>
      <c r="R29" s="809" t="str">
        <f t="shared" si="6"/>
        <v>--</v>
      </c>
      <c r="S29" s="420" t="str">
        <f t="shared" si="7"/>
        <v>--</v>
      </c>
      <c r="T29" s="421" t="str">
        <f t="shared" si="8"/>
        <v>--</v>
      </c>
      <c r="U29" s="294" t="str">
        <f t="shared" si="9"/>
        <v>--</v>
      </c>
      <c r="V29" s="295" t="str">
        <f t="shared" si="10"/>
        <v>--</v>
      </c>
      <c r="W29" s="422" t="str">
        <f t="shared" si="11"/>
        <v>--</v>
      </c>
      <c r="X29" s="806" t="str">
        <f t="shared" si="12"/>
        <v>--</v>
      </c>
      <c r="Y29" s="217" t="str">
        <f t="shared" si="13"/>
        <v/>
      </c>
      <c r="Z29" s="367" t="str">
        <f t="shared" si="14"/>
        <v/>
      </c>
      <c r="AA29" s="426"/>
    </row>
    <row r="30" spans="2:27" s="5" customFormat="1" ht="17.1" customHeight="1">
      <c r="B30" s="50"/>
      <c r="C30" s="270"/>
      <c r="D30" s="270"/>
      <c r="E30" s="149"/>
      <c r="F30" s="424"/>
      <c r="G30" s="362"/>
      <c r="H30" s="425"/>
      <c r="I30" s="287">
        <f t="shared" si="0"/>
        <v>0</v>
      </c>
      <c r="J30" s="364"/>
      <c r="K30" s="181"/>
      <c r="L30" s="365" t="str">
        <f t="shared" si="1"/>
        <v/>
      </c>
      <c r="M30" s="366" t="str">
        <f t="shared" si="2"/>
        <v/>
      </c>
      <c r="N30" s="216"/>
      <c r="O30" s="499" t="str">
        <f t="shared" si="3"/>
        <v/>
      </c>
      <c r="P30" s="217" t="str">
        <f t="shared" si="4"/>
        <v/>
      </c>
      <c r="Q30" s="808">
        <f t="shared" si="5"/>
        <v>20</v>
      </c>
      <c r="R30" s="809" t="str">
        <f t="shared" si="6"/>
        <v>--</v>
      </c>
      <c r="S30" s="420" t="str">
        <f t="shared" si="7"/>
        <v>--</v>
      </c>
      <c r="T30" s="421" t="str">
        <f t="shared" si="8"/>
        <v>--</v>
      </c>
      <c r="U30" s="294" t="str">
        <f t="shared" si="9"/>
        <v>--</v>
      </c>
      <c r="V30" s="295" t="str">
        <f t="shared" si="10"/>
        <v>--</v>
      </c>
      <c r="W30" s="422" t="str">
        <f t="shared" si="11"/>
        <v>--</v>
      </c>
      <c r="X30" s="806" t="str">
        <f t="shared" si="12"/>
        <v>--</v>
      </c>
      <c r="Y30" s="217" t="str">
        <f t="shared" si="13"/>
        <v/>
      </c>
      <c r="Z30" s="367" t="str">
        <f t="shared" si="14"/>
        <v/>
      </c>
      <c r="AA30" s="426"/>
    </row>
    <row r="31" spans="2:27" s="5" customFormat="1" ht="17.1" customHeight="1">
      <c r="B31" s="50"/>
      <c r="C31" s="270"/>
      <c r="D31" s="270"/>
      <c r="E31" s="270"/>
      <c r="F31" s="424"/>
      <c r="G31" s="362"/>
      <c r="H31" s="425"/>
      <c r="I31" s="287">
        <f t="shared" si="0"/>
        <v>0</v>
      </c>
      <c r="J31" s="364"/>
      <c r="K31" s="181"/>
      <c r="L31" s="365" t="str">
        <f t="shared" si="1"/>
        <v/>
      </c>
      <c r="M31" s="366" t="str">
        <f t="shared" si="2"/>
        <v/>
      </c>
      <c r="N31" s="216"/>
      <c r="O31" s="499" t="str">
        <f t="shared" si="3"/>
        <v/>
      </c>
      <c r="P31" s="217" t="str">
        <f t="shared" si="4"/>
        <v/>
      </c>
      <c r="Q31" s="808">
        <f t="shared" si="5"/>
        <v>20</v>
      </c>
      <c r="R31" s="809" t="str">
        <f t="shared" si="6"/>
        <v>--</v>
      </c>
      <c r="S31" s="420" t="str">
        <f t="shared" si="7"/>
        <v>--</v>
      </c>
      <c r="T31" s="421" t="str">
        <f t="shared" si="8"/>
        <v>--</v>
      </c>
      <c r="U31" s="294" t="str">
        <f t="shared" si="9"/>
        <v>--</v>
      </c>
      <c r="V31" s="295" t="str">
        <f t="shared" si="10"/>
        <v>--</v>
      </c>
      <c r="W31" s="422" t="str">
        <f t="shared" si="11"/>
        <v>--</v>
      </c>
      <c r="X31" s="806" t="str">
        <f t="shared" si="12"/>
        <v>--</v>
      </c>
      <c r="Y31" s="217" t="str">
        <f t="shared" si="13"/>
        <v/>
      </c>
      <c r="Z31" s="367" t="str">
        <f t="shared" si="14"/>
        <v/>
      </c>
      <c r="AA31" s="6"/>
    </row>
    <row r="32" spans="2:27" s="5" customFormat="1" ht="17.1" customHeight="1">
      <c r="B32" s="50"/>
      <c r="C32" s="270"/>
      <c r="D32" s="270"/>
      <c r="E32" s="149"/>
      <c r="F32" s="424"/>
      <c r="G32" s="362"/>
      <c r="H32" s="425"/>
      <c r="I32" s="287">
        <f t="shared" si="0"/>
        <v>0</v>
      </c>
      <c r="J32" s="364"/>
      <c r="K32" s="181"/>
      <c r="L32" s="365" t="str">
        <f t="shared" si="1"/>
        <v/>
      </c>
      <c r="M32" s="366" t="str">
        <f t="shared" si="2"/>
        <v/>
      </c>
      <c r="N32" s="216"/>
      <c r="O32" s="499" t="str">
        <f t="shared" si="3"/>
        <v/>
      </c>
      <c r="P32" s="217" t="str">
        <f t="shared" si="4"/>
        <v/>
      </c>
      <c r="Q32" s="808">
        <f t="shared" si="5"/>
        <v>20</v>
      </c>
      <c r="R32" s="809" t="str">
        <f t="shared" si="6"/>
        <v>--</v>
      </c>
      <c r="S32" s="420" t="str">
        <f t="shared" si="7"/>
        <v>--</v>
      </c>
      <c r="T32" s="421" t="str">
        <f t="shared" si="8"/>
        <v>--</v>
      </c>
      <c r="U32" s="294" t="str">
        <f t="shared" si="9"/>
        <v>--</v>
      </c>
      <c r="V32" s="295" t="str">
        <f t="shared" si="10"/>
        <v>--</v>
      </c>
      <c r="W32" s="422" t="str">
        <f t="shared" si="11"/>
        <v>--</v>
      </c>
      <c r="X32" s="806" t="str">
        <f t="shared" si="12"/>
        <v>--</v>
      </c>
      <c r="Y32" s="217" t="str">
        <f t="shared" si="13"/>
        <v/>
      </c>
      <c r="Z32" s="367" t="str">
        <f t="shared" si="14"/>
        <v/>
      </c>
      <c r="AA32" s="6"/>
    </row>
    <row r="33" spans="2:27" s="5" customFormat="1" ht="17.1" customHeight="1">
      <c r="B33" s="50"/>
      <c r="C33" s="270"/>
      <c r="D33" s="270"/>
      <c r="E33" s="270"/>
      <c r="F33" s="424"/>
      <c r="G33" s="362"/>
      <c r="H33" s="425"/>
      <c r="I33" s="287">
        <f t="shared" si="0"/>
        <v>0</v>
      </c>
      <c r="J33" s="364"/>
      <c r="K33" s="181"/>
      <c r="L33" s="365" t="str">
        <f t="shared" si="1"/>
        <v/>
      </c>
      <c r="M33" s="366" t="str">
        <f t="shared" si="2"/>
        <v/>
      </c>
      <c r="N33" s="216"/>
      <c r="O33" s="499" t="str">
        <f t="shared" si="3"/>
        <v/>
      </c>
      <c r="P33" s="217" t="str">
        <f t="shared" si="4"/>
        <v/>
      </c>
      <c r="Q33" s="808">
        <f t="shared" si="5"/>
        <v>20</v>
      </c>
      <c r="R33" s="809" t="str">
        <f t="shared" si="6"/>
        <v>--</v>
      </c>
      <c r="S33" s="420" t="str">
        <f t="shared" si="7"/>
        <v>--</v>
      </c>
      <c r="T33" s="421" t="str">
        <f t="shared" si="8"/>
        <v>--</v>
      </c>
      <c r="U33" s="294" t="str">
        <f t="shared" si="9"/>
        <v>--</v>
      </c>
      <c r="V33" s="295" t="str">
        <f t="shared" si="10"/>
        <v>--</v>
      </c>
      <c r="W33" s="422" t="str">
        <f t="shared" si="11"/>
        <v>--</v>
      </c>
      <c r="X33" s="806" t="str">
        <f t="shared" si="12"/>
        <v>--</v>
      </c>
      <c r="Y33" s="217" t="str">
        <f t="shared" si="13"/>
        <v/>
      </c>
      <c r="Z33" s="367" t="str">
        <f t="shared" si="14"/>
        <v/>
      </c>
      <c r="AA33" s="6"/>
    </row>
    <row r="34" spans="2:27" s="5" customFormat="1" ht="17.1" customHeight="1">
      <c r="B34" s="50"/>
      <c r="C34" s="270"/>
      <c r="D34" s="270"/>
      <c r="E34" s="149"/>
      <c r="F34" s="424"/>
      <c r="G34" s="362"/>
      <c r="H34" s="425"/>
      <c r="I34" s="287">
        <f t="shared" si="0"/>
        <v>0</v>
      </c>
      <c r="J34" s="364"/>
      <c r="K34" s="181"/>
      <c r="L34" s="365" t="str">
        <f t="shared" si="1"/>
        <v/>
      </c>
      <c r="M34" s="366" t="str">
        <f t="shared" si="2"/>
        <v/>
      </c>
      <c r="N34" s="216"/>
      <c r="O34" s="499" t="str">
        <f t="shared" si="3"/>
        <v/>
      </c>
      <c r="P34" s="217" t="str">
        <f t="shared" si="4"/>
        <v/>
      </c>
      <c r="Q34" s="808">
        <f t="shared" si="5"/>
        <v>20</v>
      </c>
      <c r="R34" s="809" t="str">
        <f t="shared" si="6"/>
        <v>--</v>
      </c>
      <c r="S34" s="420" t="str">
        <f t="shared" si="7"/>
        <v>--</v>
      </c>
      <c r="T34" s="421" t="str">
        <f t="shared" si="8"/>
        <v>--</v>
      </c>
      <c r="U34" s="294" t="str">
        <f t="shared" si="9"/>
        <v>--</v>
      </c>
      <c r="V34" s="295" t="str">
        <f t="shared" si="10"/>
        <v>--</v>
      </c>
      <c r="W34" s="422" t="str">
        <f t="shared" si="11"/>
        <v>--</v>
      </c>
      <c r="X34" s="806" t="str">
        <f t="shared" si="12"/>
        <v>--</v>
      </c>
      <c r="Y34" s="217" t="str">
        <f t="shared" si="13"/>
        <v/>
      </c>
      <c r="Z34" s="367" t="str">
        <f t="shared" si="14"/>
        <v/>
      </c>
      <c r="AA34" s="6"/>
    </row>
    <row r="35" spans="2:27" s="5" customFormat="1" ht="17.1" customHeight="1">
      <c r="B35" s="50"/>
      <c r="C35" s="270"/>
      <c r="D35" s="270"/>
      <c r="E35" s="270"/>
      <c r="F35" s="424"/>
      <c r="G35" s="362"/>
      <c r="H35" s="425"/>
      <c r="I35" s="287">
        <f t="shared" si="0"/>
        <v>0</v>
      </c>
      <c r="J35" s="364"/>
      <c r="K35" s="181"/>
      <c r="L35" s="365" t="str">
        <f t="shared" si="1"/>
        <v/>
      </c>
      <c r="M35" s="366" t="str">
        <f t="shared" si="2"/>
        <v/>
      </c>
      <c r="N35" s="216"/>
      <c r="O35" s="499" t="str">
        <f t="shared" si="3"/>
        <v/>
      </c>
      <c r="P35" s="217" t="str">
        <f t="shared" si="4"/>
        <v/>
      </c>
      <c r="Q35" s="808">
        <f t="shared" si="5"/>
        <v>20</v>
      </c>
      <c r="R35" s="809" t="str">
        <f t="shared" si="6"/>
        <v>--</v>
      </c>
      <c r="S35" s="420" t="str">
        <f t="shared" si="7"/>
        <v>--</v>
      </c>
      <c r="T35" s="421" t="str">
        <f t="shared" si="8"/>
        <v>--</v>
      </c>
      <c r="U35" s="294" t="str">
        <f t="shared" si="9"/>
        <v>--</v>
      </c>
      <c r="V35" s="295" t="str">
        <f t="shared" si="10"/>
        <v>--</v>
      </c>
      <c r="W35" s="422" t="str">
        <f t="shared" si="11"/>
        <v>--</v>
      </c>
      <c r="X35" s="806" t="str">
        <f t="shared" si="12"/>
        <v>--</v>
      </c>
      <c r="Y35" s="217" t="str">
        <f t="shared" si="13"/>
        <v/>
      </c>
      <c r="Z35" s="367" t="str">
        <f t="shared" si="14"/>
        <v/>
      </c>
      <c r="AA35" s="6"/>
    </row>
    <row r="36" spans="2:27" s="5" customFormat="1" ht="17.1" customHeight="1">
      <c r="B36" s="50"/>
      <c r="C36" s="270"/>
      <c r="D36" s="270"/>
      <c r="E36" s="149"/>
      <c r="F36" s="424"/>
      <c r="G36" s="362"/>
      <c r="H36" s="425"/>
      <c r="I36" s="287">
        <f t="shared" si="0"/>
        <v>0</v>
      </c>
      <c r="J36" s="364"/>
      <c r="K36" s="181"/>
      <c r="L36" s="365" t="str">
        <f t="shared" si="1"/>
        <v/>
      </c>
      <c r="M36" s="366" t="str">
        <f t="shared" si="2"/>
        <v/>
      </c>
      <c r="N36" s="216"/>
      <c r="O36" s="499" t="str">
        <f t="shared" si="3"/>
        <v/>
      </c>
      <c r="P36" s="217" t="str">
        <f t="shared" si="4"/>
        <v/>
      </c>
      <c r="Q36" s="808">
        <f t="shared" si="5"/>
        <v>20</v>
      </c>
      <c r="R36" s="809" t="str">
        <f t="shared" si="6"/>
        <v>--</v>
      </c>
      <c r="S36" s="420" t="str">
        <f t="shared" si="7"/>
        <v>--</v>
      </c>
      <c r="T36" s="421" t="str">
        <f t="shared" si="8"/>
        <v>--</v>
      </c>
      <c r="U36" s="294" t="str">
        <f t="shared" si="9"/>
        <v>--</v>
      </c>
      <c r="V36" s="295" t="str">
        <f t="shared" si="10"/>
        <v>--</v>
      </c>
      <c r="W36" s="422" t="str">
        <f t="shared" si="11"/>
        <v>--</v>
      </c>
      <c r="X36" s="806" t="str">
        <f t="shared" si="12"/>
        <v>--</v>
      </c>
      <c r="Y36" s="217" t="str">
        <f t="shared" si="13"/>
        <v/>
      </c>
      <c r="Z36" s="367" t="str">
        <f t="shared" si="14"/>
        <v/>
      </c>
      <c r="AA36" s="6"/>
    </row>
    <row r="37" spans="2:27" s="5" customFormat="1" ht="17.1" customHeight="1">
      <c r="B37" s="50"/>
      <c r="C37" s="270"/>
      <c r="D37" s="270"/>
      <c r="E37" s="270"/>
      <c r="F37" s="424"/>
      <c r="G37" s="362"/>
      <c r="H37" s="425"/>
      <c r="I37" s="287">
        <f t="shared" si="0"/>
        <v>0</v>
      </c>
      <c r="J37" s="364"/>
      <c r="K37" s="181"/>
      <c r="L37" s="365" t="str">
        <f t="shared" si="1"/>
        <v/>
      </c>
      <c r="M37" s="366" t="str">
        <f t="shared" si="2"/>
        <v/>
      </c>
      <c r="N37" s="216"/>
      <c r="O37" s="499" t="str">
        <f t="shared" si="3"/>
        <v/>
      </c>
      <c r="P37" s="217" t="str">
        <f t="shared" si="4"/>
        <v/>
      </c>
      <c r="Q37" s="808">
        <f t="shared" si="5"/>
        <v>20</v>
      </c>
      <c r="R37" s="809" t="str">
        <f t="shared" si="6"/>
        <v>--</v>
      </c>
      <c r="S37" s="420" t="str">
        <f t="shared" si="7"/>
        <v>--</v>
      </c>
      <c r="T37" s="421" t="str">
        <f t="shared" si="8"/>
        <v>--</v>
      </c>
      <c r="U37" s="294" t="str">
        <f t="shared" si="9"/>
        <v>--</v>
      </c>
      <c r="V37" s="295" t="str">
        <f t="shared" si="10"/>
        <v>--</v>
      </c>
      <c r="W37" s="422" t="str">
        <f t="shared" si="11"/>
        <v>--</v>
      </c>
      <c r="X37" s="806" t="str">
        <f t="shared" si="12"/>
        <v>--</v>
      </c>
      <c r="Y37" s="217" t="str">
        <f t="shared" si="13"/>
        <v/>
      </c>
      <c r="Z37" s="367" t="str">
        <f t="shared" si="14"/>
        <v/>
      </c>
      <c r="AA37" s="6"/>
    </row>
    <row r="38" spans="2:27" s="5" customFormat="1" ht="17.1" customHeight="1">
      <c r="B38" s="50"/>
      <c r="C38" s="270"/>
      <c r="D38" s="270"/>
      <c r="E38" s="149"/>
      <c r="F38" s="424"/>
      <c r="G38" s="362"/>
      <c r="H38" s="425"/>
      <c r="I38" s="287">
        <f t="shared" si="0"/>
        <v>0</v>
      </c>
      <c r="J38" s="364"/>
      <c r="K38" s="181"/>
      <c r="L38" s="365" t="str">
        <f t="shared" si="1"/>
        <v/>
      </c>
      <c r="M38" s="366" t="str">
        <f t="shared" si="2"/>
        <v/>
      </c>
      <c r="N38" s="216"/>
      <c r="O38" s="499" t="str">
        <f t="shared" si="3"/>
        <v/>
      </c>
      <c r="P38" s="217" t="str">
        <f t="shared" si="4"/>
        <v/>
      </c>
      <c r="Q38" s="808">
        <f t="shared" si="5"/>
        <v>20</v>
      </c>
      <c r="R38" s="809" t="str">
        <f t="shared" si="6"/>
        <v>--</v>
      </c>
      <c r="S38" s="420" t="str">
        <f t="shared" si="7"/>
        <v>--</v>
      </c>
      <c r="T38" s="421" t="str">
        <f t="shared" si="8"/>
        <v>--</v>
      </c>
      <c r="U38" s="294" t="str">
        <f t="shared" si="9"/>
        <v>--</v>
      </c>
      <c r="V38" s="295" t="str">
        <f t="shared" si="10"/>
        <v>--</v>
      </c>
      <c r="W38" s="422" t="str">
        <f t="shared" si="11"/>
        <v>--</v>
      </c>
      <c r="X38" s="806" t="str">
        <f t="shared" si="12"/>
        <v>--</v>
      </c>
      <c r="Y38" s="217" t="str">
        <f t="shared" si="13"/>
        <v/>
      </c>
      <c r="Z38" s="367" t="str">
        <f t="shared" si="14"/>
        <v/>
      </c>
      <c r="AA38" s="6"/>
    </row>
    <row r="39" spans="2:27" s="5" customFormat="1" ht="17.1" customHeight="1">
      <c r="B39" s="50"/>
      <c r="C39" s="270"/>
      <c r="D39" s="270"/>
      <c r="E39" s="270"/>
      <c r="F39" s="424"/>
      <c r="G39" s="362"/>
      <c r="H39" s="425"/>
      <c r="I39" s="287">
        <f t="shared" si="0"/>
        <v>0</v>
      </c>
      <c r="J39" s="364"/>
      <c r="K39" s="181"/>
      <c r="L39" s="365" t="str">
        <f t="shared" si="1"/>
        <v/>
      </c>
      <c r="M39" s="366" t="str">
        <f t="shared" si="2"/>
        <v/>
      </c>
      <c r="N39" s="216"/>
      <c r="O39" s="499" t="str">
        <f t="shared" si="3"/>
        <v/>
      </c>
      <c r="P39" s="217" t="str">
        <f t="shared" si="4"/>
        <v/>
      </c>
      <c r="Q39" s="808">
        <f t="shared" si="5"/>
        <v>20</v>
      </c>
      <c r="R39" s="809" t="str">
        <f t="shared" si="6"/>
        <v>--</v>
      </c>
      <c r="S39" s="420" t="str">
        <f t="shared" si="7"/>
        <v>--</v>
      </c>
      <c r="T39" s="421" t="str">
        <f t="shared" si="8"/>
        <v>--</v>
      </c>
      <c r="U39" s="294" t="str">
        <f t="shared" si="9"/>
        <v>--</v>
      </c>
      <c r="V39" s="295" t="str">
        <f t="shared" si="10"/>
        <v>--</v>
      </c>
      <c r="W39" s="422" t="str">
        <f t="shared" si="11"/>
        <v>--</v>
      </c>
      <c r="X39" s="806" t="str">
        <f t="shared" si="12"/>
        <v>--</v>
      </c>
      <c r="Y39" s="217" t="str">
        <f t="shared" si="13"/>
        <v/>
      </c>
      <c r="Z39" s="367" t="str">
        <f t="shared" si="14"/>
        <v/>
      </c>
      <c r="AA39" s="6"/>
    </row>
    <row r="40" spans="2:27" s="5" customFormat="1" ht="17.1" customHeight="1">
      <c r="B40" s="50"/>
      <c r="C40" s="270"/>
      <c r="D40" s="270"/>
      <c r="E40" s="149"/>
      <c r="F40" s="424"/>
      <c r="G40" s="362"/>
      <c r="H40" s="425"/>
      <c r="I40" s="287">
        <f t="shared" si="0"/>
        <v>0</v>
      </c>
      <c r="J40" s="364"/>
      <c r="K40" s="181"/>
      <c r="L40" s="365" t="str">
        <f t="shared" si="1"/>
        <v/>
      </c>
      <c r="M40" s="366" t="str">
        <f t="shared" si="2"/>
        <v/>
      </c>
      <c r="N40" s="216"/>
      <c r="O40" s="499" t="str">
        <f t="shared" si="3"/>
        <v/>
      </c>
      <c r="P40" s="217" t="str">
        <f t="shared" si="4"/>
        <v/>
      </c>
      <c r="Q40" s="808">
        <f t="shared" si="5"/>
        <v>20</v>
      </c>
      <c r="R40" s="809" t="str">
        <f t="shared" si="6"/>
        <v>--</v>
      </c>
      <c r="S40" s="420" t="str">
        <f t="shared" si="7"/>
        <v>--</v>
      </c>
      <c r="T40" s="421" t="str">
        <f t="shared" si="8"/>
        <v>--</v>
      </c>
      <c r="U40" s="294" t="str">
        <f t="shared" si="9"/>
        <v>--</v>
      </c>
      <c r="V40" s="295" t="str">
        <f t="shared" si="10"/>
        <v>--</v>
      </c>
      <c r="W40" s="422" t="str">
        <f t="shared" si="11"/>
        <v>--</v>
      </c>
      <c r="X40" s="806" t="str">
        <f t="shared" si="12"/>
        <v>--</v>
      </c>
      <c r="Y40" s="217" t="str">
        <f t="shared" si="13"/>
        <v/>
      </c>
      <c r="Z40" s="367" t="str">
        <f t="shared" si="14"/>
        <v/>
      </c>
      <c r="AA40" s="6"/>
    </row>
    <row r="41" spans="2:27" s="5" customFormat="1" ht="17.1" customHeight="1">
      <c r="B41" s="50"/>
      <c r="C41" s="270"/>
      <c r="D41" s="270"/>
      <c r="E41" s="270"/>
      <c r="F41" s="424"/>
      <c r="G41" s="362"/>
      <c r="H41" s="425"/>
      <c r="I41" s="287">
        <f t="shared" si="0"/>
        <v>0</v>
      </c>
      <c r="J41" s="364"/>
      <c r="K41" s="181"/>
      <c r="L41" s="365" t="str">
        <f t="shared" si="1"/>
        <v/>
      </c>
      <c r="M41" s="366" t="str">
        <f t="shared" si="2"/>
        <v/>
      </c>
      <c r="N41" s="216"/>
      <c r="O41" s="499" t="str">
        <f t="shared" si="3"/>
        <v/>
      </c>
      <c r="P41" s="217" t="str">
        <f t="shared" si="4"/>
        <v/>
      </c>
      <c r="Q41" s="808">
        <f t="shared" si="5"/>
        <v>20</v>
      </c>
      <c r="R41" s="809" t="str">
        <f t="shared" si="6"/>
        <v>--</v>
      </c>
      <c r="S41" s="420" t="str">
        <f t="shared" si="7"/>
        <v>--</v>
      </c>
      <c r="T41" s="421" t="str">
        <f t="shared" si="8"/>
        <v>--</v>
      </c>
      <c r="U41" s="294" t="str">
        <f t="shared" si="9"/>
        <v>--</v>
      </c>
      <c r="V41" s="295" t="str">
        <f t="shared" si="10"/>
        <v>--</v>
      </c>
      <c r="W41" s="422" t="str">
        <f t="shared" si="11"/>
        <v>--</v>
      </c>
      <c r="X41" s="806" t="str">
        <f t="shared" si="12"/>
        <v>--</v>
      </c>
      <c r="Y41" s="217" t="str">
        <f t="shared" si="13"/>
        <v/>
      </c>
      <c r="Z41" s="367" t="str">
        <f t="shared" si="14"/>
        <v/>
      </c>
      <c r="AA41" s="6"/>
    </row>
    <row r="42" spans="2:27" s="5" customFormat="1" ht="17.1" customHeight="1" thickBot="1">
      <c r="B42" s="50"/>
      <c r="C42" s="427"/>
      <c r="D42" s="427"/>
      <c r="E42" s="427"/>
      <c r="F42" s="427"/>
      <c r="G42" s="427"/>
      <c r="H42" s="427"/>
      <c r="I42" s="130"/>
      <c r="J42" s="368"/>
      <c r="K42" s="368"/>
      <c r="L42" s="369"/>
      <c r="M42" s="369"/>
      <c r="N42" s="368"/>
      <c r="O42" s="185"/>
      <c r="P42" s="148"/>
      <c r="Q42" s="428"/>
      <c r="R42" s="429"/>
      <c r="S42" s="430"/>
      <c r="T42" s="431"/>
      <c r="U42" s="312"/>
      <c r="V42" s="313"/>
      <c r="W42" s="432"/>
      <c r="X42" s="432"/>
      <c r="Y42" s="148"/>
      <c r="Z42" s="433"/>
      <c r="AA42" s="6"/>
    </row>
    <row r="43" spans="2:27" s="5" customFormat="1" ht="17.1" customHeight="1" thickBot="1" thickTop="1">
      <c r="B43" s="50"/>
      <c r="C43" s="126" t="s">
        <v>25</v>
      </c>
      <c r="D43" s="73" t="s">
        <v>369</v>
      </c>
      <c r="E43" s="126"/>
      <c r="F43" s="127"/>
      <c r="I43" s="4"/>
      <c r="J43" s="4"/>
      <c r="K43" s="4"/>
      <c r="L43" s="4"/>
      <c r="M43" s="4"/>
      <c r="N43" s="4"/>
      <c r="O43" s="4"/>
      <c r="P43" s="4"/>
      <c r="Q43" s="4"/>
      <c r="R43" s="434">
        <f aca="true" t="shared" si="15" ref="R43:X43">SUM(R20:R42)</f>
        <v>38013.0608</v>
      </c>
      <c r="S43" s="435">
        <f t="shared" si="15"/>
        <v>0</v>
      </c>
      <c r="T43" s="436">
        <f t="shared" si="15"/>
        <v>0</v>
      </c>
      <c r="U43" s="322">
        <f t="shared" si="15"/>
        <v>0</v>
      </c>
      <c r="V43" s="323">
        <f t="shared" si="15"/>
        <v>0</v>
      </c>
      <c r="W43" s="437">
        <f t="shared" si="15"/>
        <v>0</v>
      </c>
      <c r="X43" s="437">
        <f t="shared" si="15"/>
        <v>0</v>
      </c>
      <c r="Z43" s="100">
        <f>ROUND(SUM(Z20:Z42),2)</f>
        <v>38013.06</v>
      </c>
      <c r="AA43" s="438"/>
    </row>
    <row r="44" spans="2:27" s="5" customFormat="1" ht="17.1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6"/>
    </row>
    <row r="45" spans="6:29" ht="17.1" customHeight="1" thickTop="1">
      <c r="F45" s="170"/>
      <c r="G45" s="170"/>
      <c r="H45" s="170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</row>
    <row r="46" spans="6:29" ht="17.1" customHeight="1">
      <c r="F46" s="170"/>
      <c r="G46" s="170"/>
      <c r="H46" s="170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</row>
    <row r="47" spans="6:29" ht="17.1" customHeight="1">
      <c r="F47" s="170"/>
      <c r="G47" s="170"/>
      <c r="H47" s="170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</row>
    <row r="48" spans="6:29" ht="17.1" customHeight="1">
      <c r="F48" s="170"/>
      <c r="G48" s="170"/>
      <c r="H48" s="170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</row>
    <row r="49" spans="6:29" ht="17.1" customHeight="1">
      <c r="F49" s="170"/>
      <c r="G49" s="170"/>
      <c r="H49" s="170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</row>
    <row r="50" spans="6:29" ht="17.1" customHeight="1">
      <c r="F50" s="170"/>
      <c r="G50" s="170"/>
      <c r="H50" s="170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</row>
    <row r="51" spans="6:29" ht="17.1" customHeight="1"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</row>
    <row r="52" spans="6:29" ht="17.1" customHeight="1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</row>
    <row r="53" spans="6:29" ht="17.1" customHeight="1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</row>
    <row r="54" spans="6:29" ht="17.1" customHeight="1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</row>
    <row r="55" spans="6:29" ht="17.1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</row>
    <row r="56" spans="6:29" ht="17.1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</row>
    <row r="57" spans="6:29" ht="17.1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</row>
    <row r="58" spans="6:29" ht="17.1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</row>
    <row r="59" spans="6:29" ht="17.1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</row>
    <row r="60" spans="6:29" ht="17.1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</row>
    <row r="61" spans="6:29" ht="17.1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</row>
    <row r="62" spans="6:29" ht="17.1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</row>
    <row r="63" spans="6:29" ht="17.1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</row>
    <row r="64" spans="6:29" ht="17.1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</row>
    <row r="65" spans="6:29" ht="17.1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</row>
    <row r="66" spans="6:29" ht="17.1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</row>
    <row r="67" spans="6:29" ht="17.1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</row>
    <row r="68" spans="6:29" ht="17.1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</row>
    <row r="69" spans="6:29" ht="17.1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</row>
    <row r="70" spans="6:29" ht="17.1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</row>
    <row r="71" spans="6:29" ht="17.1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</row>
    <row r="72" spans="6:29" ht="17.1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</row>
    <row r="73" spans="6:29" ht="17.1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</row>
    <row r="74" spans="6:29" ht="17.1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</row>
    <row r="75" spans="6:29" ht="17.1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</row>
    <row r="76" spans="6:29" ht="17.1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</row>
    <row r="77" spans="6:29" ht="17.1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</row>
    <row r="78" spans="6:29" ht="17.1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</row>
    <row r="79" spans="6:29" ht="17.1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</row>
    <row r="80" spans="6:29" ht="17.1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</row>
    <row r="81" spans="6:29" ht="17.1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</row>
    <row r="82" spans="6:29" ht="17.1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</row>
    <row r="83" spans="6:29" ht="17.1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</row>
    <row r="84" spans="6:29" ht="17.1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</row>
    <row r="85" spans="6:29" ht="17.1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</row>
    <row r="86" spans="6:29" ht="17.1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</row>
    <row r="87" spans="6:29" ht="17.1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</row>
    <row r="88" spans="6:29" ht="17.1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</row>
    <row r="89" spans="6:29" ht="17.1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</row>
    <row r="90" spans="6:29" ht="17.1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</row>
    <row r="91" spans="6:29" ht="17.1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</row>
    <row r="92" spans="6:29" ht="17.1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</row>
    <row r="93" spans="6:29" ht="17.1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</row>
    <row r="94" spans="6:29" ht="17.1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</row>
    <row r="95" spans="6:29" ht="17.1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</row>
    <row r="96" spans="6:29" ht="17.1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</row>
    <row r="97" spans="6:29" ht="17.1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</row>
    <row r="98" spans="6:29" ht="17.1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</row>
    <row r="99" spans="6:29" ht="17.1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</row>
    <row r="100" spans="6:29" ht="17.1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</row>
    <row r="101" spans="6:29" ht="17.1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</row>
    <row r="102" spans="6:29" ht="17.1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</row>
    <row r="103" spans="6:29" ht="17.1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</row>
    <row r="104" spans="6:29" ht="17.1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</row>
    <row r="105" spans="6:29" ht="17.1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</row>
    <row r="106" spans="6:29" ht="17.1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</row>
    <row r="107" spans="6:29" ht="17.1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</row>
    <row r="108" spans="6:29" ht="17.1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</row>
    <row r="109" spans="6:29" ht="17.1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</row>
    <row r="110" spans="6:29" ht="17.1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</row>
    <row r="111" spans="6:29" ht="17.1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</row>
    <row r="112" spans="6:29" ht="17.1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</row>
    <row r="113" spans="6:29" ht="17.1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</row>
    <row r="114" spans="6:29" ht="17.1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</row>
    <row r="115" spans="6:29" ht="17.1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</row>
    <row r="116" spans="6:29" ht="17.1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</row>
    <row r="117" spans="6:29" ht="17.1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</row>
    <row r="118" spans="6:29" ht="17.1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</row>
    <row r="119" spans="6:29" ht="17.1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</row>
    <row r="120" spans="6:29" ht="17.1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</row>
    <row r="121" spans="6:29" ht="17.1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</row>
    <row r="122" spans="6:29" ht="17.1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</row>
    <row r="123" spans="6:29" ht="17.1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</row>
    <row r="124" spans="6:29" ht="17.1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</row>
    <row r="125" spans="6:29" ht="17.1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</row>
    <row r="126" spans="6:29" ht="17.1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</row>
    <row r="127" spans="6:29" ht="17.1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</row>
    <row r="128" spans="6:29" ht="17.1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</row>
    <row r="129" spans="6:29" ht="17.1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</row>
    <row r="130" spans="6:29" ht="17.1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</row>
    <row r="131" spans="6:29" ht="17.1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</row>
    <row r="132" spans="6:29" ht="17.1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</row>
    <row r="133" spans="6:29" ht="17.1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</row>
    <row r="134" spans="6:29" ht="17.1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</row>
    <row r="135" spans="6:29" ht="17.1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</row>
    <row r="136" spans="6:29" ht="17.1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</row>
    <row r="137" spans="6:29" ht="17.1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</row>
    <row r="138" spans="6:29" ht="17.1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</row>
    <row r="139" spans="6:29" ht="17.1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</row>
    <row r="140" spans="6:29" ht="17.1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</row>
    <row r="141" spans="6:29" ht="17.1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</row>
    <row r="142" spans="6:29" ht="17.1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</row>
    <row r="143" spans="6:29" ht="17.1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</row>
    <row r="144" spans="6:29" ht="17.1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</row>
    <row r="145" spans="6:29" ht="17.1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</row>
    <row r="146" spans="6:29" ht="17.1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</row>
    <row r="147" spans="6:29" ht="17.1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</row>
    <row r="148" spans="6:29" ht="17.1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</row>
    <row r="149" spans="6:29" ht="17.1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</row>
    <row r="150" spans="6:29" ht="17.1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</row>
    <row r="151" spans="6:29" ht="17.1" customHeight="1"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</row>
    <row r="152" spans="6:29" ht="17.1" customHeight="1">
      <c r="F152" s="168"/>
      <c r="G152" s="168"/>
      <c r="H152" s="168"/>
      <c r="AB152" s="168"/>
      <c r="AC152" s="168"/>
    </row>
    <row r="153" spans="6:8" ht="17.1" customHeight="1">
      <c r="F153" s="168"/>
      <c r="G153" s="168"/>
      <c r="H153" s="168"/>
    </row>
    <row r="154" spans="6:8" ht="17.1" customHeight="1">
      <c r="F154" s="168"/>
      <c r="G154" s="168"/>
      <c r="H154" s="168"/>
    </row>
    <row r="155" spans="6:8" ht="17.1" customHeight="1">
      <c r="F155" s="168"/>
      <c r="G155" s="168"/>
      <c r="H155" s="168"/>
    </row>
    <row r="156" spans="6:8" ht="17.1" customHeight="1">
      <c r="F156" s="168"/>
      <c r="G156" s="168"/>
      <c r="H156" s="168"/>
    </row>
    <row r="157" spans="6:8" ht="17.1" customHeight="1">
      <c r="F157" s="168"/>
      <c r="G157" s="168"/>
      <c r="H157" s="168"/>
    </row>
    <row r="158" ht="17.1" customHeight="1"/>
    <row r="159" ht="17.1" customHeight="1"/>
    <row r="160" ht="17.1" customHeight="1"/>
    <row r="161" ht="17.1" customHeight="1"/>
    <row r="162" ht="17.1" customHeight="1"/>
    <row r="163" ht="17.1" customHeight="1"/>
    <row r="164" ht="17.1" customHeight="1"/>
    <row r="165" ht="17.1" customHeight="1"/>
    <row r="166" ht="17.1" customHeight="1"/>
    <row r="167" ht="17.1" customHeight="1"/>
    <row r="168" ht="17.1" customHeight="1"/>
    <row r="169" ht="17.1" customHeight="1"/>
    <row r="170" ht="17.1" customHeight="1"/>
    <row r="171" ht="17.1" customHeight="1"/>
    <row r="172" ht="17.1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13697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66675</xdr:colOff>
                    <xdr:row>41</xdr:row>
                    <xdr:rowOff>190500</xdr:rowOff>
                  </from>
                  <to>
                    <xdr:col>2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>
    <pageSetUpPr fitToPage="1"/>
  </sheetPr>
  <dimension ref="A1:AF43"/>
  <sheetViews>
    <sheetView zoomScale="70" zoomScaleNormal="70" workbookViewId="0" topLeftCell="A1">
      <selection activeCell="E4" sqref="E4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5" width="13.574218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39"/>
    </row>
    <row r="2" spans="1:32" s="18" customFormat="1" ht="26.25">
      <c r="A2" s="91"/>
      <c r="B2" s="19" t="str">
        <f>+'TOT-0116'!B2</f>
        <v>ANEXO II al Memorándum D.T.E.E. N° 231 / 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67" t="s">
        <v>69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12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7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146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7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'TOT-0116'!B14</f>
        <v>Desde el 01 al 31 de enero de 2016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92"/>
      <c r="Q14" s="192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37"/>
    </row>
    <row r="15" spans="2:32" s="5" customFormat="1" ht="17.1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193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7.1" customHeight="1" thickBot="1" thickTop="1">
      <c r="B16" s="50"/>
      <c r="C16" s="4"/>
      <c r="D16" s="4"/>
      <c r="E16" s="4"/>
      <c r="F16" s="82" t="s">
        <v>90</v>
      </c>
      <c r="G16" s="744">
        <v>506.119</v>
      </c>
      <c r="H16" s="19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7.1" customHeight="1" thickBot="1" thickTop="1">
      <c r="B17" s="50"/>
      <c r="C17" s="4"/>
      <c r="D17" s="4"/>
      <c r="E17" s="4"/>
      <c r="F17" s="82" t="s">
        <v>91</v>
      </c>
      <c r="G17" s="744">
        <v>421.774</v>
      </c>
      <c r="H17" s="194"/>
      <c r="I17" s="4"/>
      <c r="J17" s="4"/>
      <c r="K17" s="4"/>
      <c r="L17" s="195"/>
      <c r="M17" s="196"/>
      <c r="N17" s="4"/>
      <c r="O17" s="4"/>
      <c r="P17" s="4"/>
      <c r="Q17" s="4"/>
      <c r="R17" s="4"/>
      <c r="S17" s="4"/>
      <c r="T17" s="4"/>
      <c r="U17" s="4"/>
      <c r="V17" s="4"/>
      <c r="W17" s="4"/>
      <c r="X17" s="115"/>
      <c r="Y17" s="115"/>
      <c r="Z17" s="115"/>
      <c r="AA17" s="115"/>
      <c r="AB17" s="115"/>
      <c r="AC17" s="115"/>
      <c r="AD17" s="115"/>
      <c r="AF17" s="17"/>
    </row>
    <row r="18" spans="2:32" s="5" customFormat="1" ht="17.1" customHeight="1" thickBot="1" thickTop="1">
      <c r="B18" s="50"/>
      <c r="C18" s="836">
        <v>3</v>
      </c>
      <c r="D18" s="836">
        <v>4</v>
      </c>
      <c r="E18" s="836">
        <v>5</v>
      </c>
      <c r="F18" s="836">
        <v>6</v>
      </c>
      <c r="G18" s="836">
        <v>7</v>
      </c>
      <c r="H18" s="836">
        <v>8</v>
      </c>
      <c r="I18" s="836">
        <v>9</v>
      </c>
      <c r="J18" s="836">
        <v>10</v>
      </c>
      <c r="K18" s="836">
        <v>11</v>
      </c>
      <c r="L18" s="836">
        <v>12</v>
      </c>
      <c r="M18" s="836">
        <v>13</v>
      </c>
      <c r="N18" s="836">
        <v>14</v>
      </c>
      <c r="O18" s="836">
        <v>15</v>
      </c>
      <c r="P18" s="836">
        <v>16</v>
      </c>
      <c r="Q18" s="836">
        <v>17</v>
      </c>
      <c r="R18" s="836">
        <v>18</v>
      </c>
      <c r="S18" s="836">
        <v>19</v>
      </c>
      <c r="T18" s="836">
        <v>20</v>
      </c>
      <c r="U18" s="836">
        <v>21</v>
      </c>
      <c r="V18" s="836">
        <v>22</v>
      </c>
      <c r="W18" s="836">
        <v>23</v>
      </c>
      <c r="X18" s="836">
        <v>24</v>
      </c>
      <c r="Y18" s="836">
        <v>25</v>
      </c>
      <c r="Z18" s="836">
        <v>26</v>
      </c>
      <c r="AA18" s="836">
        <v>27</v>
      </c>
      <c r="AB18" s="836">
        <v>28</v>
      </c>
      <c r="AC18" s="836">
        <v>29</v>
      </c>
      <c r="AD18" s="836">
        <v>30</v>
      </c>
      <c r="AE18" s="836">
        <v>31</v>
      </c>
      <c r="AF18" s="17"/>
    </row>
    <row r="19" spans="2:32" s="5" customFormat="1" ht="33.95" customHeight="1" thickBot="1" thickTop="1">
      <c r="B19" s="50"/>
      <c r="C19" s="84" t="s">
        <v>13</v>
      </c>
      <c r="D19" s="84" t="s">
        <v>242</v>
      </c>
      <c r="E19" s="84" t="s">
        <v>243</v>
      </c>
      <c r="F19" s="85" t="s">
        <v>0</v>
      </c>
      <c r="G19" s="678" t="s">
        <v>14</v>
      </c>
      <c r="H19" s="86" t="s">
        <v>15</v>
      </c>
      <c r="I19" s="199" t="s">
        <v>71</v>
      </c>
      <c r="J19" s="679" t="s">
        <v>37</v>
      </c>
      <c r="K19" s="680" t="s">
        <v>16</v>
      </c>
      <c r="L19" s="85" t="s">
        <v>17</v>
      </c>
      <c r="M19" s="172" t="s">
        <v>18</v>
      </c>
      <c r="N19" s="88" t="s">
        <v>36</v>
      </c>
      <c r="O19" s="86" t="s">
        <v>31</v>
      </c>
      <c r="P19" s="88" t="s">
        <v>19</v>
      </c>
      <c r="Q19" s="86" t="s">
        <v>58</v>
      </c>
      <c r="R19" s="172" t="s">
        <v>59</v>
      </c>
      <c r="S19" s="85" t="s">
        <v>32</v>
      </c>
      <c r="T19" s="135" t="s">
        <v>20</v>
      </c>
      <c r="U19" s="681" t="s">
        <v>21</v>
      </c>
      <c r="V19" s="201" t="s">
        <v>60</v>
      </c>
      <c r="W19" s="202"/>
      <c r="X19" s="203"/>
      <c r="Y19" s="682" t="s">
        <v>147</v>
      </c>
      <c r="Z19" s="683"/>
      <c r="AA19" s="684"/>
      <c r="AB19" s="204" t="s">
        <v>22</v>
      </c>
      <c r="AC19" s="205" t="s">
        <v>73</v>
      </c>
      <c r="AD19" s="131" t="s">
        <v>74</v>
      </c>
      <c r="AE19" s="131" t="s">
        <v>24</v>
      </c>
      <c r="AF19" s="206"/>
    </row>
    <row r="20" spans="2:32" s="5" customFormat="1" ht="17.1" customHeight="1" thickTop="1">
      <c r="B20" s="50"/>
      <c r="C20" s="174"/>
      <c r="D20" s="174"/>
      <c r="E20" s="174"/>
      <c r="F20" s="727"/>
      <c r="G20" s="727"/>
      <c r="H20" s="745"/>
      <c r="I20" s="726"/>
      <c r="J20" s="728"/>
      <c r="K20" s="729"/>
      <c r="L20" s="740"/>
      <c r="M20" s="740"/>
      <c r="N20" s="726"/>
      <c r="O20" s="726"/>
      <c r="P20" s="726"/>
      <c r="Q20" s="726"/>
      <c r="R20" s="726"/>
      <c r="S20" s="726"/>
      <c r="T20" s="730"/>
      <c r="U20" s="731"/>
      <c r="V20" s="732"/>
      <c r="W20" s="733"/>
      <c r="X20" s="734"/>
      <c r="Y20" s="735"/>
      <c r="Z20" s="736"/>
      <c r="AA20" s="737"/>
      <c r="AB20" s="738"/>
      <c r="AC20" s="739"/>
      <c r="AD20" s="726"/>
      <c r="AE20" s="685"/>
      <c r="AF20" s="17"/>
    </row>
    <row r="21" spans="2:32" s="5" customFormat="1" ht="17.1" customHeight="1">
      <c r="B21" s="50"/>
      <c r="C21" s="270"/>
      <c r="D21" s="270"/>
      <c r="E21" s="270"/>
      <c r="F21" s="176"/>
      <c r="G21" s="7"/>
      <c r="H21" s="746"/>
      <c r="I21" s="176"/>
      <c r="J21" s="686"/>
      <c r="K21" s="687"/>
      <c r="L21" s="207"/>
      <c r="M21" s="115"/>
      <c r="N21" s="176"/>
      <c r="O21" s="176"/>
      <c r="P21" s="177"/>
      <c r="Q21" s="176"/>
      <c r="R21" s="176"/>
      <c r="S21" s="176"/>
      <c r="T21" s="688"/>
      <c r="U21" s="689"/>
      <c r="V21" s="690"/>
      <c r="W21" s="691"/>
      <c r="X21" s="692"/>
      <c r="Y21" s="693"/>
      <c r="Z21" s="694"/>
      <c r="AA21" s="695"/>
      <c r="AB21" s="211"/>
      <c r="AC21" s="212"/>
      <c r="AD21" s="176"/>
      <c r="AE21" s="213"/>
      <c r="AF21" s="17"/>
    </row>
    <row r="22" spans="2:32" s="5" customFormat="1" ht="17.1" customHeight="1">
      <c r="B22" s="50"/>
      <c r="C22" s="149">
        <v>1</v>
      </c>
      <c r="D22" s="149">
        <v>296584</v>
      </c>
      <c r="E22" s="149">
        <v>4733</v>
      </c>
      <c r="F22" s="149" t="s">
        <v>302</v>
      </c>
      <c r="G22" s="179">
        <v>220</v>
      </c>
      <c r="H22" s="747">
        <v>77</v>
      </c>
      <c r="I22" s="179" t="s">
        <v>303</v>
      </c>
      <c r="J22" s="696">
        <f aca="true" t="shared" si="0" ref="J22:J39">IF(I22="A",200,IF(I22="B",60,20))</f>
        <v>20</v>
      </c>
      <c r="K22" s="697">
        <f aca="true" t="shared" si="1" ref="K22:K39">IF(G22=500,IF(H22&lt;100,100*$G$16/100,H22*$G$16/100),IF(H22&lt;100,100*$G$17/100,H22*$G$17/100))</f>
        <v>421.774</v>
      </c>
      <c r="L22" s="698">
        <v>42371.33541666667</v>
      </c>
      <c r="M22" s="699">
        <v>42371.739583333336</v>
      </c>
      <c r="N22" s="182">
        <f aca="true" t="shared" si="2" ref="N22:N39">IF(F22="","",(M22-L22)*24)</f>
        <v>9.700000000011642</v>
      </c>
      <c r="O22" s="183">
        <f aca="true" t="shared" si="3" ref="O22:O39">IF(F22="","",ROUND((M22-L22)*24*60,0))</f>
        <v>582</v>
      </c>
      <c r="P22" s="216" t="s">
        <v>304</v>
      </c>
      <c r="Q22" s="795" t="str">
        <f aca="true" t="shared" si="4" ref="Q22:Q39">IF(F22="","","--")</f>
        <v>--</v>
      </c>
      <c r="R22" s="217" t="str">
        <f aca="true" t="shared" si="5" ref="R22:R39">IF(F22="","","NO")</f>
        <v>NO</v>
      </c>
      <c r="S22" s="217" t="str">
        <f aca="true" t="shared" si="6" ref="S22:S39">IF(F22="","",IF(OR(P22="P",P22="RP"),"--","NO"))</f>
        <v>--</v>
      </c>
      <c r="T22" s="700">
        <f aca="true" t="shared" si="7" ref="T22:T39">IF(P22="P",K22*J22*ROUND(O22/60,2)*0.01,"--")</f>
        <v>818.2415599999999</v>
      </c>
      <c r="U22" s="701" t="str">
        <f aca="true" t="shared" si="8" ref="U22:U39">IF(P22="RP",K22*J22*ROUND(O22/60,2)*0.01*Q22/100,"--")</f>
        <v>--</v>
      </c>
      <c r="V22" s="218" t="str">
        <f aca="true" t="shared" si="9" ref="V22:V39">IF(AND(P22="F",S22="NO"),K22*J22*IF(R22="SI",1.2,1),"--")</f>
        <v>--</v>
      </c>
      <c r="W22" s="219" t="str">
        <f aca="true" t="shared" si="10" ref="W22:W39">IF(AND(P22="F",O22&gt;=10),K22*J22*IF(R22="SI",1.2,1)*IF(O22&lt;=300,ROUND(O22/60,2),5),"--")</f>
        <v>--</v>
      </c>
      <c r="X22" s="220" t="str">
        <f aca="true" t="shared" si="11" ref="X22:X39">IF(AND(P22="F",O22&gt;300),(ROUND(O22/60,2)-5)*K22*J22*0.1*IF(R22="SI",1.2,1),"--")</f>
        <v>--</v>
      </c>
      <c r="Y22" s="702" t="str">
        <f aca="true" t="shared" si="12" ref="Y22:Y39">IF(AND(P22="R",S22="NO"),K22*J22*Q22/100*IF(R22="SI",1.2,1),"--")</f>
        <v>--</v>
      </c>
      <c r="Z22" s="703" t="str">
        <f aca="true" t="shared" si="13" ref="Z22:Z39">IF(AND(P22="R",O22&gt;=10),K22*J22*Q22/100*IF(R22="SI",1.2,1)*IF(O22&lt;=300,ROUND(O22/60,2),5),"--")</f>
        <v>--</v>
      </c>
      <c r="AA22" s="704" t="str">
        <f aca="true" t="shared" si="14" ref="AA22:AA39">IF(AND(P22="R",O22&gt;300),(ROUND(O22/60,2)-5)*K22*J22*0.1*Q22/100*IF(R22="SI",1.2,1),"--")</f>
        <v>--</v>
      </c>
      <c r="AB22" s="221" t="str">
        <f aca="true" t="shared" si="15" ref="AB22:AB39">IF(P22="RF",ROUND(O22/60,2)*K22*J22*0.1*IF(R22="SI",1.2,1),"--")</f>
        <v>--</v>
      </c>
      <c r="AC22" s="222" t="str">
        <f aca="true" t="shared" si="16" ref="AC22:AC39">IF(P22="RR",ROUND(O22/60,2)*K22*J22*0.1*Q22/100*IF(R22="SI",1.2,1),"--")</f>
        <v>--</v>
      </c>
      <c r="AD22" s="796" t="s">
        <v>213</v>
      </c>
      <c r="AE22" s="16">
        <v>0</v>
      </c>
      <c r="AF22" s="705"/>
    </row>
    <row r="23" spans="2:32" s="5" customFormat="1" ht="17.1" customHeight="1">
      <c r="B23" s="50"/>
      <c r="C23" s="270">
        <v>2</v>
      </c>
      <c r="D23" s="270">
        <v>296586</v>
      </c>
      <c r="E23" s="270">
        <v>4733</v>
      </c>
      <c r="F23" s="149" t="s">
        <v>302</v>
      </c>
      <c r="G23" s="179">
        <v>220</v>
      </c>
      <c r="H23" s="747">
        <v>77</v>
      </c>
      <c r="I23" s="179" t="s">
        <v>303</v>
      </c>
      <c r="J23" s="696">
        <f t="shared" si="0"/>
        <v>20</v>
      </c>
      <c r="K23" s="697">
        <f t="shared" si="1"/>
        <v>421.774</v>
      </c>
      <c r="L23" s="698">
        <v>42372.313888888886</v>
      </c>
      <c r="M23" s="699">
        <v>42372.725694444445</v>
      </c>
      <c r="N23" s="182">
        <f t="shared" si="2"/>
        <v>9.883333333418705</v>
      </c>
      <c r="O23" s="183">
        <f t="shared" si="3"/>
        <v>593</v>
      </c>
      <c r="P23" s="216" t="s">
        <v>304</v>
      </c>
      <c r="Q23" s="795" t="str">
        <f t="shared" si="4"/>
        <v>--</v>
      </c>
      <c r="R23" s="217" t="str">
        <f t="shared" si="5"/>
        <v>NO</v>
      </c>
      <c r="S23" s="217" t="str">
        <f t="shared" si="6"/>
        <v>--</v>
      </c>
      <c r="T23" s="700">
        <f t="shared" si="7"/>
        <v>833.425424</v>
      </c>
      <c r="U23" s="701" t="str">
        <f t="shared" si="8"/>
        <v>--</v>
      </c>
      <c r="V23" s="218" t="str">
        <f t="shared" si="9"/>
        <v>--</v>
      </c>
      <c r="W23" s="219" t="str">
        <f t="shared" si="10"/>
        <v>--</v>
      </c>
      <c r="X23" s="220" t="str">
        <f t="shared" si="11"/>
        <v>--</v>
      </c>
      <c r="Y23" s="702" t="str">
        <f t="shared" si="12"/>
        <v>--</v>
      </c>
      <c r="Z23" s="703" t="str">
        <f t="shared" si="13"/>
        <v>--</v>
      </c>
      <c r="AA23" s="704" t="str">
        <f t="shared" si="14"/>
        <v>--</v>
      </c>
      <c r="AB23" s="221" t="str">
        <f t="shared" si="15"/>
        <v>--</v>
      </c>
      <c r="AC23" s="222" t="str">
        <f t="shared" si="16"/>
        <v>--</v>
      </c>
      <c r="AD23" s="796" t="s">
        <v>213</v>
      </c>
      <c r="AE23" s="16">
        <v>0</v>
      </c>
      <c r="AF23" s="705"/>
    </row>
    <row r="24" spans="2:32" s="5" customFormat="1" ht="17.1" customHeight="1">
      <c r="B24" s="50"/>
      <c r="C24" s="149">
        <v>3</v>
      </c>
      <c r="D24" s="149">
        <v>296965</v>
      </c>
      <c r="E24" s="149">
        <v>3802</v>
      </c>
      <c r="F24" s="706" t="s">
        <v>305</v>
      </c>
      <c r="G24" s="707">
        <v>500</v>
      </c>
      <c r="H24" s="748">
        <v>194</v>
      </c>
      <c r="I24" s="707" t="s">
        <v>306</v>
      </c>
      <c r="J24" s="696">
        <f t="shared" si="0"/>
        <v>200</v>
      </c>
      <c r="K24" s="697">
        <f t="shared" si="1"/>
        <v>981.8708600000001</v>
      </c>
      <c r="L24" s="708">
        <v>42376.26527777778</v>
      </c>
      <c r="M24" s="709">
        <v>42376.41875</v>
      </c>
      <c r="N24" s="182">
        <f t="shared" si="2"/>
        <v>3.6833333332906477</v>
      </c>
      <c r="O24" s="183">
        <f t="shared" si="3"/>
        <v>221</v>
      </c>
      <c r="P24" s="216" t="s">
        <v>304</v>
      </c>
      <c r="Q24" s="795" t="str">
        <f t="shared" si="4"/>
        <v>--</v>
      </c>
      <c r="R24" s="217" t="str">
        <f t="shared" si="5"/>
        <v>NO</v>
      </c>
      <c r="S24" s="217" t="str">
        <f t="shared" si="6"/>
        <v>--</v>
      </c>
      <c r="T24" s="700">
        <f t="shared" si="7"/>
        <v>7226.569529600001</v>
      </c>
      <c r="U24" s="701" t="str">
        <f t="shared" si="8"/>
        <v>--</v>
      </c>
      <c r="V24" s="218" t="str">
        <f t="shared" si="9"/>
        <v>--</v>
      </c>
      <c r="W24" s="219" t="str">
        <f t="shared" si="10"/>
        <v>--</v>
      </c>
      <c r="X24" s="220" t="str">
        <f t="shared" si="11"/>
        <v>--</v>
      </c>
      <c r="Y24" s="702" t="str">
        <f t="shared" si="12"/>
        <v>--</v>
      </c>
      <c r="Z24" s="703" t="str">
        <f t="shared" si="13"/>
        <v>--</v>
      </c>
      <c r="AA24" s="704" t="str">
        <f t="shared" si="14"/>
        <v>--</v>
      </c>
      <c r="AB24" s="221" t="str">
        <f t="shared" si="15"/>
        <v>--</v>
      </c>
      <c r="AC24" s="222" t="str">
        <f t="shared" si="16"/>
        <v>--</v>
      </c>
      <c r="AD24" s="796" t="s">
        <v>213</v>
      </c>
      <c r="AE24" s="16">
        <f>IF(F24="","",SUM(T24:AC24)*IF(AD24="SI",1,2))</f>
        <v>7226.569529600001</v>
      </c>
      <c r="AF24" s="705"/>
    </row>
    <row r="25" spans="2:32" s="5" customFormat="1" ht="17.1" customHeight="1">
      <c r="B25" s="50"/>
      <c r="C25" s="270">
        <v>4</v>
      </c>
      <c r="D25" s="270">
        <v>296966</v>
      </c>
      <c r="E25" s="270">
        <v>4734</v>
      </c>
      <c r="F25" s="706" t="s">
        <v>307</v>
      </c>
      <c r="G25" s="707">
        <v>220</v>
      </c>
      <c r="H25" s="748">
        <v>77</v>
      </c>
      <c r="I25" s="707" t="s">
        <v>303</v>
      </c>
      <c r="J25" s="696">
        <f t="shared" si="0"/>
        <v>20</v>
      </c>
      <c r="K25" s="697">
        <f t="shared" si="1"/>
        <v>421.774</v>
      </c>
      <c r="L25" s="708">
        <v>42376.325</v>
      </c>
      <c r="M25" s="709">
        <v>42376.72430555556</v>
      </c>
      <c r="N25" s="182">
        <f t="shared" si="2"/>
        <v>9.583333333488554</v>
      </c>
      <c r="O25" s="183">
        <f t="shared" si="3"/>
        <v>575</v>
      </c>
      <c r="P25" s="216" t="s">
        <v>304</v>
      </c>
      <c r="Q25" s="795" t="str">
        <f t="shared" si="4"/>
        <v>--</v>
      </c>
      <c r="R25" s="217" t="str">
        <f t="shared" si="5"/>
        <v>NO</v>
      </c>
      <c r="S25" s="217" t="str">
        <f t="shared" si="6"/>
        <v>--</v>
      </c>
      <c r="T25" s="700">
        <f t="shared" si="7"/>
        <v>808.118984</v>
      </c>
      <c r="U25" s="701" t="str">
        <f t="shared" si="8"/>
        <v>--</v>
      </c>
      <c r="V25" s="218" t="str">
        <f t="shared" si="9"/>
        <v>--</v>
      </c>
      <c r="W25" s="219" t="str">
        <f t="shared" si="10"/>
        <v>--</v>
      </c>
      <c r="X25" s="220" t="str">
        <f t="shared" si="11"/>
        <v>--</v>
      </c>
      <c r="Y25" s="702" t="str">
        <f t="shared" si="12"/>
        <v>--</v>
      </c>
      <c r="Z25" s="703" t="str">
        <f t="shared" si="13"/>
        <v>--</v>
      </c>
      <c r="AA25" s="704" t="str">
        <f t="shared" si="14"/>
        <v>--</v>
      </c>
      <c r="AB25" s="221" t="str">
        <f t="shared" si="15"/>
        <v>--</v>
      </c>
      <c r="AC25" s="222" t="str">
        <f t="shared" si="16"/>
        <v>--</v>
      </c>
      <c r="AD25" s="796" t="s">
        <v>213</v>
      </c>
      <c r="AE25" s="16">
        <v>0</v>
      </c>
      <c r="AF25" s="705"/>
    </row>
    <row r="26" spans="2:32" s="5" customFormat="1" ht="17.1" customHeight="1">
      <c r="B26" s="50"/>
      <c r="C26" s="149">
        <v>5</v>
      </c>
      <c r="D26" s="149">
        <v>296970</v>
      </c>
      <c r="E26" s="149">
        <v>4734</v>
      </c>
      <c r="F26" s="149" t="s">
        <v>307</v>
      </c>
      <c r="G26" s="179">
        <v>220</v>
      </c>
      <c r="H26" s="747">
        <v>77</v>
      </c>
      <c r="I26" s="179" t="s">
        <v>303</v>
      </c>
      <c r="J26" s="696">
        <f t="shared" si="0"/>
        <v>20</v>
      </c>
      <c r="K26" s="697">
        <f t="shared" si="1"/>
        <v>421.774</v>
      </c>
      <c r="L26" s="698">
        <v>42377.37708333333</v>
      </c>
      <c r="M26" s="699">
        <v>42377.76944444444</v>
      </c>
      <c r="N26" s="182">
        <f t="shared" si="2"/>
        <v>9.416666666627862</v>
      </c>
      <c r="O26" s="183">
        <f t="shared" si="3"/>
        <v>565</v>
      </c>
      <c r="P26" s="216" t="s">
        <v>304</v>
      </c>
      <c r="Q26" s="795" t="str">
        <f t="shared" si="4"/>
        <v>--</v>
      </c>
      <c r="R26" s="217" t="str">
        <f t="shared" si="5"/>
        <v>NO</v>
      </c>
      <c r="S26" s="217" t="str">
        <f t="shared" si="6"/>
        <v>--</v>
      </c>
      <c r="T26" s="700">
        <f t="shared" si="7"/>
        <v>794.6222159999999</v>
      </c>
      <c r="U26" s="701" t="str">
        <f t="shared" si="8"/>
        <v>--</v>
      </c>
      <c r="V26" s="218" t="str">
        <f t="shared" si="9"/>
        <v>--</v>
      </c>
      <c r="W26" s="219" t="str">
        <f t="shared" si="10"/>
        <v>--</v>
      </c>
      <c r="X26" s="220" t="str">
        <f t="shared" si="11"/>
        <v>--</v>
      </c>
      <c r="Y26" s="702" t="str">
        <f t="shared" si="12"/>
        <v>--</v>
      </c>
      <c r="Z26" s="703" t="str">
        <f t="shared" si="13"/>
        <v>--</v>
      </c>
      <c r="AA26" s="704" t="str">
        <f t="shared" si="14"/>
        <v>--</v>
      </c>
      <c r="AB26" s="221" t="str">
        <f t="shared" si="15"/>
        <v>--</v>
      </c>
      <c r="AC26" s="222" t="str">
        <f t="shared" si="16"/>
        <v>--</v>
      </c>
      <c r="AD26" s="796" t="s">
        <v>213</v>
      </c>
      <c r="AE26" s="16">
        <v>0</v>
      </c>
      <c r="AF26" s="705"/>
    </row>
    <row r="27" spans="2:32" s="5" customFormat="1" ht="17.1" customHeight="1">
      <c r="B27" s="50"/>
      <c r="C27" s="270">
        <v>6</v>
      </c>
      <c r="D27" s="270">
        <v>297357</v>
      </c>
      <c r="E27" s="270">
        <v>4734</v>
      </c>
      <c r="F27" s="149" t="s">
        <v>307</v>
      </c>
      <c r="G27" s="179">
        <v>220</v>
      </c>
      <c r="H27" s="747">
        <v>77</v>
      </c>
      <c r="I27" s="179" t="s">
        <v>303</v>
      </c>
      <c r="J27" s="696">
        <f t="shared" si="0"/>
        <v>20</v>
      </c>
      <c r="K27" s="697">
        <f t="shared" si="1"/>
        <v>421.774</v>
      </c>
      <c r="L27" s="698">
        <v>42380.74513888889</v>
      </c>
      <c r="M27" s="699">
        <v>42381.78888888889</v>
      </c>
      <c r="N27" s="182">
        <f t="shared" si="2"/>
        <v>25.050000000104774</v>
      </c>
      <c r="O27" s="183">
        <f t="shared" si="3"/>
        <v>1503</v>
      </c>
      <c r="P27" s="216" t="s">
        <v>308</v>
      </c>
      <c r="Q27" s="795" t="str">
        <f t="shared" si="4"/>
        <v>--</v>
      </c>
      <c r="R27" s="217" t="str">
        <f t="shared" si="5"/>
        <v>NO</v>
      </c>
      <c r="S27" s="217" t="str">
        <f t="shared" si="6"/>
        <v>NO</v>
      </c>
      <c r="T27" s="700" t="str">
        <f t="shared" si="7"/>
        <v>--</v>
      </c>
      <c r="U27" s="701" t="str">
        <f t="shared" si="8"/>
        <v>--</v>
      </c>
      <c r="V27" s="218">
        <f t="shared" si="9"/>
        <v>8435.48</v>
      </c>
      <c r="W27" s="219">
        <f t="shared" si="10"/>
        <v>42177.399999999994</v>
      </c>
      <c r="X27" s="220">
        <f t="shared" si="11"/>
        <v>16913.137400000003</v>
      </c>
      <c r="Y27" s="702" t="str">
        <f t="shared" si="12"/>
        <v>--</v>
      </c>
      <c r="Z27" s="703" t="str">
        <f t="shared" si="13"/>
        <v>--</v>
      </c>
      <c r="AA27" s="704" t="str">
        <f t="shared" si="14"/>
        <v>--</v>
      </c>
      <c r="AB27" s="221" t="str">
        <f t="shared" si="15"/>
        <v>--</v>
      </c>
      <c r="AC27" s="222" t="str">
        <f t="shared" si="16"/>
        <v>--</v>
      </c>
      <c r="AD27" s="796" t="s">
        <v>213</v>
      </c>
      <c r="AE27" s="16">
        <f aca="true" t="shared" si="17" ref="AE27:AE39">IF(F27="","",SUM(T27:AC27)*IF(AD27="SI",1,2))</f>
        <v>67526.0174</v>
      </c>
      <c r="AF27" s="705"/>
    </row>
    <row r="28" spans="2:32" s="5" customFormat="1" ht="17.1" customHeight="1">
      <c r="B28" s="50"/>
      <c r="C28" s="149">
        <v>7</v>
      </c>
      <c r="D28" s="149">
        <v>297365</v>
      </c>
      <c r="E28" s="149">
        <v>1345</v>
      </c>
      <c r="F28" s="141" t="s">
        <v>309</v>
      </c>
      <c r="G28" s="143">
        <v>500</v>
      </c>
      <c r="H28" s="749">
        <v>42</v>
      </c>
      <c r="I28" s="143" t="s">
        <v>303</v>
      </c>
      <c r="J28" s="696">
        <f t="shared" si="0"/>
        <v>20</v>
      </c>
      <c r="K28" s="697">
        <f t="shared" si="1"/>
        <v>506.119</v>
      </c>
      <c r="L28" s="180">
        <v>42381.61111111111</v>
      </c>
      <c r="M28" s="215">
        <v>42381.623611111114</v>
      </c>
      <c r="N28" s="182">
        <f t="shared" si="2"/>
        <v>0.3000000001047738</v>
      </c>
      <c r="O28" s="183">
        <f t="shared" si="3"/>
        <v>18</v>
      </c>
      <c r="P28" s="216" t="s">
        <v>308</v>
      </c>
      <c r="Q28" s="795" t="str">
        <f t="shared" si="4"/>
        <v>--</v>
      </c>
      <c r="R28" s="217" t="str">
        <f t="shared" si="5"/>
        <v>NO</v>
      </c>
      <c r="S28" s="217" t="str">
        <f t="shared" si="6"/>
        <v>NO</v>
      </c>
      <c r="T28" s="700" t="str">
        <f t="shared" si="7"/>
        <v>--</v>
      </c>
      <c r="U28" s="701" t="str">
        <f t="shared" si="8"/>
        <v>--</v>
      </c>
      <c r="V28" s="218">
        <f t="shared" si="9"/>
        <v>10122.380000000001</v>
      </c>
      <c r="W28" s="219">
        <f t="shared" si="10"/>
        <v>3036.7140000000004</v>
      </c>
      <c r="X28" s="220" t="str">
        <f t="shared" si="11"/>
        <v>--</v>
      </c>
      <c r="Y28" s="702" t="str">
        <f t="shared" si="12"/>
        <v>--</v>
      </c>
      <c r="Z28" s="703" t="str">
        <f t="shared" si="13"/>
        <v>--</v>
      </c>
      <c r="AA28" s="704" t="str">
        <f t="shared" si="14"/>
        <v>--</v>
      </c>
      <c r="AB28" s="221" t="str">
        <f t="shared" si="15"/>
        <v>--</v>
      </c>
      <c r="AC28" s="222" t="str">
        <f t="shared" si="16"/>
        <v>--</v>
      </c>
      <c r="AD28" s="796" t="s">
        <v>213</v>
      </c>
      <c r="AE28" s="16">
        <f t="shared" si="17"/>
        <v>13159.094000000001</v>
      </c>
      <c r="AF28" s="705"/>
    </row>
    <row r="29" spans="2:32" s="5" customFormat="1" ht="17.1" customHeight="1">
      <c r="B29" s="50"/>
      <c r="C29" s="270">
        <v>8</v>
      </c>
      <c r="D29" s="270">
        <v>297367</v>
      </c>
      <c r="E29" s="270">
        <v>1345</v>
      </c>
      <c r="F29" s="141" t="s">
        <v>309</v>
      </c>
      <c r="G29" s="143">
        <v>500</v>
      </c>
      <c r="H29" s="749">
        <v>42</v>
      </c>
      <c r="I29" s="143" t="s">
        <v>303</v>
      </c>
      <c r="J29" s="696">
        <f t="shared" si="0"/>
        <v>20</v>
      </c>
      <c r="K29" s="697">
        <f t="shared" si="1"/>
        <v>506.119</v>
      </c>
      <c r="L29" s="180">
        <v>42381.70277777778</v>
      </c>
      <c r="M29" s="215">
        <v>42381.77638888889</v>
      </c>
      <c r="N29" s="182">
        <f t="shared" si="2"/>
        <v>1.7666666666627862</v>
      </c>
      <c r="O29" s="183">
        <f t="shared" si="3"/>
        <v>106</v>
      </c>
      <c r="P29" s="216" t="s">
        <v>308</v>
      </c>
      <c r="Q29" s="795" t="str">
        <f t="shared" si="4"/>
        <v>--</v>
      </c>
      <c r="R29" s="217" t="str">
        <f t="shared" si="5"/>
        <v>NO</v>
      </c>
      <c r="S29" s="217" t="s">
        <v>213</v>
      </c>
      <c r="T29" s="700" t="str">
        <f t="shared" si="7"/>
        <v>--</v>
      </c>
      <c r="U29" s="701" t="str">
        <f t="shared" si="8"/>
        <v>--</v>
      </c>
      <c r="V29" s="218" t="str">
        <f t="shared" si="9"/>
        <v>--</v>
      </c>
      <c r="W29" s="219">
        <f t="shared" si="10"/>
        <v>17916.6126</v>
      </c>
      <c r="X29" s="220" t="str">
        <f t="shared" si="11"/>
        <v>--</v>
      </c>
      <c r="Y29" s="702" t="str">
        <f t="shared" si="12"/>
        <v>--</v>
      </c>
      <c r="Z29" s="703" t="str">
        <f t="shared" si="13"/>
        <v>--</v>
      </c>
      <c r="AA29" s="704" t="str">
        <f t="shared" si="14"/>
        <v>--</v>
      </c>
      <c r="AB29" s="221" t="str">
        <f t="shared" si="15"/>
        <v>--</v>
      </c>
      <c r="AC29" s="222" t="str">
        <f t="shared" si="16"/>
        <v>--</v>
      </c>
      <c r="AD29" s="796" t="s">
        <v>213</v>
      </c>
      <c r="AE29" s="16">
        <f t="shared" si="17"/>
        <v>17916.6126</v>
      </c>
      <c r="AF29" s="705"/>
    </row>
    <row r="30" spans="2:32" s="5" customFormat="1" ht="17.1" customHeight="1">
      <c r="B30" s="50"/>
      <c r="C30" s="149"/>
      <c r="D30" s="149"/>
      <c r="E30" s="149"/>
      <c r="F30" s="141"/>
      <c r="G30" s="143"/>
      <c r="H30" s="749"/>
      <c r="I30" s="143"/>
      <c r="J30" s="696"/>
      <c r="K30" s="697"/>
      <c r="L30" s="180"/>
      <c r="M30" s="215"/>
      <c r="N30" s="182"/>
      <c r="O30" s="183"/>
      <c r="P30" s="216"/>
      <c r="Q30" s="795"/>
      <c r="R30" s="217"/>
      <c r="S30" s="217"/>
      <c r="T30" s="700"/>
      <c r="U30" s="701"/>
      <c r="V30" s="218"/>
      <c r="W30" s="219"/>
      <c r="X30" s="220"/>
      <c r="Y30" s="702"/>
      <c r="Z30" s="703"/>
      <c r="AA30" s="704"/>
      <c r="AB30" s="221"/>
      <c r="AC30" s="222"/>
      <c r="AD30" s="796"/>
      <c r="AE30" s="16"/>
      <c r="AF30" s="705"/>
    </row>
    <row r="31" spans="2:32" s="5" customFormat="1" ht="17.1" customHeight="1">
      <c r="B31" s="50"/>
      <c r="C31" s="270"/>
      <c r="D31" s="270"/>
      <c r="E31" s="270"/>
      <c r="F31" s="141"/>
      <c r="G31" s="143"/>
      <c r="H31" s="749"/>
      <c r="I31" s="143"/>
      <c r="J31" s="696"/>
      <c r="K31" s="697"/>
      <c r="L31" s="180"/>
      <c r="M31" s="215"/>
      <c r="N31" s="182"/>
      <c r="O31" s="183"/>
      <c r="P31" s="216"/>
      <c r="Q31" s="795"/>
      <c r="R31" s="217"/>
      <c r="S31" s="217"/>
      <c r="T31" s="700"/>
      <c r="U31" s="701"/>
      <c r="V31" s="218"/>
      <c r="W31" s="219"/>
      <c r="X31" s="220"/>
      <c r="Y31" s="702"/>
      <c r="Z31" s="703"/>
      <c r="AA31" s="704"/>
      <c r="AB31" s="221"/>
      <c r="AC31" s="222"/>
      <c r="AD31" s="796"/>
      <c r="AE31" s="16"/>
      <c r="AF31" s="705"/>
    </row>
    <row r="32" spans="2:32" s="5" customFormat="1" ht="17.1" customHeight="1">
      <c r="B32" s="50"/>
      <c r="C32" s="149">
        <v>11</v>
      </c>
      <c r="D32" s="149">
        <v>297375</v>
      </c>
      <c r="E32" s="149">
        <v>4734</v>
      </c>
      <c r="F32" s="141" t="s">
        <v>307</v>
      </c>
      <c r="G32" s="143">
        <v>220</v>
      </c>
      <c r="H32" s="749">
        <v>77</v>
      </c>
      <c r="I32" s="143" t="s">
        <v>303</v>
      </c>
      <c r="J32" s="696">
        <f t="shared" si="0"/>
        <v>20</v>
      </c>
      <c r="K32" s="697">
        <f t="shared" si="1"/>
        <v>421.774</v>
      </c>
      <c r="L32" s="180">
        <v>42382.34444444445</v>
      </c>
      <c r="M32" s="215">
        <v>42382.76111111111</v>
      </c>
      <c r="N32" s="182">
        <f t="shared" si="2"/>
        <v>9.999999999941792</v>
      </c>
      <c r="O32" s="183">
        <f t="shared" si="3"/>
        <v>600</v>
      </c>
      <c r="P32" s="216" t="s">
        <v>304</v>
      </c>
      <c r="Q32" s="795" t="str">
        <f t="shared" si="4"/>
        <v>--</v>
      </c>
      <c r="R32" s="217" t="str">
        <f t="shared" si="5"/>
        <v>NO</v>
      </c>
      <c r="S32" s="217" t="str">
        <f t="shared" si="6"/>
        <v>--</v>
      </c>
      <c r="T32" s="700">
        <f t="shared" si="7"/>
        <v>843.5479999999999</v>
      </c>
      <c r="U32" s="701" t="str">
        <f t="shared" si="8"/>
        <v>--</v>
      </c>
      <c r="V32" s="218" t="str">
        <f t="shared" si="9"/>
        <v>--</v>
      </c>
      <c r="W32" s="219" t="str">
        <f t="shared" si="10"/>
        <v>--</v>
      </c>
      <c r="X32" s="220" t="str">
        <f t="shared" si="11"/>
        <v>--</v>
      </c>
      <c r="Y32" s="702" t="str">
        <f t="shared" si="12"/>
        <v>--</v>
      </c>
      <c r="Z32" s="703" t="str">
        <f t="shared" si="13"/>
        <v>--</v>
      </c>
      <c r="AA32" s="704" t="str">
        <f t="shared" si="14"/>
        <v>--</v>
      </c>
      <c r="AB32" s="221" t="str">
        <f t="shared" si="15"/>
        <v>--</v>
      </c>
      <c r="AC32" s="222" t="str">
        <f t="shared" si="16"/>
        <v>--</v>
      </c>
      <c r="AD32" s="796" t="s">
        <v>213</v>
      </c>
      <c r="AE32" s="16">
        <f t="shared" si="17"/>
        <v>843.5479999999999</v>
      </c>
      <c r="AF32" s="705"/>
    </row>
    <row r="33" spans="2:32" s="5" customFormat="1" ht="17.1" customHeight="1">
      <c r="B33" s="50"/>
      <c r="C33" s="270">
        <v>12</v>
      </c>
      <c r="D33" s="270">
        <v>297386</v>
      </c>
      <c r="E33" s="270">
        <v>43</v>
      </c>
      <c r="F33" s="141" t="s">
        <v>310</v>
      </c>
      <c r="G33" s="143">
        <v>500</v>
      </c>
      <c r="H33" s="749">
        <v>256</v>
      </c>
      <c r="I33" s="143" t="s">
        <v>303</v>
      </c>
      <c r="J33" s="696">
        <f t="shared" si="0"/>
        <v>20</v>
      </c>
      <c r="K33" s="697">
        <f t="shared" si="1"/>
        <v>1295.66464</v>
      </c>
      <c r="L33" s="180">
        <v>42384.229166666664</v>
      </c>
      <c r="M33" s="181">
        <v>42384.30763888889</v>
      </c>
      <c r="N33" s="182">
        <f t="shared" si="2"/>
        <v>1.883333333360497</v>
      </c>
      <c r="O33" s="183">
        <f t="shared" si="3"/>
        <v>113</v>
      </c>
      <c r="P33" s="216" t="s">
        <v>304</v>
      </c>
      <c r="Q33" s="795" t="str">
        <f t="shared" si="4"/>
        <v>--</v>
      </c>
      <c r="R33" s="217" t="str">
        <f t="shared" si="5"/>
        <v>NO</v>
      </c>
      <c r="S33" s="217" t="str">
        <f t="shared" si="6"/>
        <v>--</v>
      </c>
      <c r="T33" s="700">
        <f t="shared" si="7"/>
        <v>487.16990463999997</v>
      </c>
      <c r="U33" s="701" t="str">
        <f t="shared" si="8"/>
        <v>--</v>
      </c>
      <c r="V33" s="218" t="str">
        <f t="shared" si="9"/>
        <v>--</v>
      </c>
      <c r="W33" s="219" t="str">
        <f t="shared" si="10"/>
        <v>--</v>
      </c>
      <c r="X33" s="220" t="str">
        <f t="shared" si="11"/>
        <v>--</v>
      </c>
      <c r="Y33" s="702" t="str">
        <f t="shared" si="12"/>
        <v>--</v>
      </c>
      <c r="Z33" s="703" t="str">
        <f t="shared" si="13"/>
        <v>--</v>
      </c>
      <c r="AA33" s="704" t="str">
        <f t="shared" si="14"/>
        <v>--</v>
      </c>
      <c r="AB33" s="221" t="str">
        <f t="shared" si="15"/>
        <v>--</v>
      </c>
      <c r="AC33" s="222" t="str">
        <f t="shared" si="16"/>
        <v>--</v>
      </c>
      <c r="AD33" s="796" t="s">
        <v>213</v>
      </c>
      <c r="AE33" s="16">
        <f t="shared" si="17"/>
        <v>487.16990463999997</v>
      </c>
      <c r="AF33" s="705"/>
    </row>
    <row r="34" spans="2:32" s="5" customFormat="1" ht="17.1" customHeight="1">
      <c r="B34" s="50"/>
      <c r="C34" s="149">
        <v>13</v>
      </c>
      <c r="D34" s="149">
        <v>297387</v>
      </c>
      <c r="E34" s="149">
        <v>4733</v>
      </c>
      <c r="F34" s="141" t="s">
        <v>302</v>
      </c>
      <c r="G34" s="143">
        <v>220</v>
      </c>
      <c r="H34" s="749">
        <v>77</v>
      </c>
      <c r="I34" s="143" t="s">
        <v>303</v>
      </c>
      <c r="J34" s="696">
        <f t="shared" si="0"/>
        <v>20</v>
      </c>
      <c r="K34" s="697">
        <f t="shared" si="1"/>
        <v>421.774</v>
      </c>
      <c r="L34" s="180">
        <v>42384.29791666667</v>
      </c>
      <c r="M34" s="181">
        <v>42384.46111111111</v>
      </c>
      <c r="N34" s="182">
        <f t="shared" si="2"/>
        <v>3.9166666665114462</v>
      </c>
      <c r="O34" s="183">
        <f t="shared" si="3"/>
        <v>235</v>
      </c>
      <c r="P34" s="216" t="s">
        <v>304</v>
      </c>
      <c r="Q34" s="795" t="str">
        <f t="shared" si="4"/>
        <v>--</v>
      </c>
      <c r="R34" s="217" t="str">
        <f t="shared" si="5"/>
        <v>NO</v>
      </c>
      <c r="S34" s="217" t="str">
        <f t="shared" si="6"/>
        <v>--</v>
      </c>
      <c r="T34" s="700">
        <f t="shared" si="7"/>
        <v>330.670816</v>
      </c>
      <c r="U34" s="701" t="str">
        <f t="shared" si="8"/>
        <v>--</v>
      </c>
      <c r="V34" s="218" t="str">
        <f t="shared" si="9"/>
        <v>--</v>
      </c>
      <c r="W34" s="219" t="str">
        <f t="shared" si="10"/>
        <v>--</v>
      </c>
      <c r="X34" s="220" t="str">
        <f t="shared" si="11"/>
        <v>--</v>
      </c>
      <c r="Y34" s="702" t="str">
        <f t="shared" si="12"/>
        <v>--</v>
      </c>
      <c r="Z34" s="703" t="str">
        <f t="shared" si="13"/>
        <v>--</v>
      </c>
      <c r="AA34" s="704" t="str">
        <f t="shared" si="14"/>
        <v>--</v>
      </c>
      <c r="AB34" s="221" t="str">
        <f t="shared" si="15"/>
        <v>--</v>
      </c>
      <c r="AC34" s="222" t="str">
        <f t="shared" si="16"/>
        <v>--</v>
      </c>
      <c r="AD34" s="796" t="s">
        <v>213</v>
      </c>
      <c r="AE34" s="16">
        <v>0</v>
      </c>
      <c r="AF34" s="705"/>
    </row>
    <row r="35" spans="2:32" s="5" customFormat="1" ht="17.1" customHeight="1">
      <c r="B35" s="50"/>
      <c r="C35" s="270">
        <v>14</v>
      </c>
      <c r="D35" s="149">
        <v>297394</v>
      </c>
      <c r="E35" s="149">
        <v>5166</v>
      </c>
      <c r="F35" s="141" t="s">
        <v>466</v>
      </c>
      <c r="G35" s="143">
        <v>500</v>
      </c>
      <c r="H35" s="749">
        <v>90.2</v>
      </c>
      <c r="I35" s="143" t="s">
        <v>306</v>
      </c>
      <c r="J35" s="696">
        <f t="shared" si="0"/>
        <v>200</v>
      </c>
      <c r="K35" s="697">
        <f t="shared" si="1"/>
        <v>506.119</v>
      </c>
      <c r="L35" s="180">
        <v>42386.05763888889</v>
      </c>
      <c r="M35" s="181">
        <v>42386.25763888889</v>
      </c>
      <c r="N35" s="182">
        <f t="shared" si="2"/>
        <v>4.800000000104774</v>
      </c>
      <c r="O35" s="183">
        <f t="shared" si="3"/>
        <v>288</v>
      </c>
      <c r="P35" s="216" t="s">
        <v>304</v>
      </c>
      <c r="Q35" s="795" t="str">
        <f t="shared" si="4"/>
        <v>--</v>
      </c>
      <c r="R35" s="217" t="str">
        <f t="shared" si="5"/>
        <v>NO</v>
      </c>
      <c r="S35" s="217" t="str">
        <f t="shared" si="6"/>
        <v>--</v>
      </c>
      <c r="T35" s="700">
        <f t="shared" si="7"/>
        <v>4858.7424</v>
      </c>
      <c r="U35" s="701" t="str">
        <f t="shared" si="8"/>
        <v>--</v>
      </c>
      <c r="V35" s="218" t="str">
        <f t="shared" si="9"/>
        <v>--</v>
      </c>
      <c r="W35" s="219" t="str">
        <f t="shared" si="10"/>
        <v>--</v>
      </c>
      <c r="X35" s="220" t="str">
        <f t="shared" si="11"/>
        <v>--</v>
      </c>
      <c r="Y35" s="702" t="str">
        <f t="shared" si="12"/>
        <v>--</v>
      </c>
      <c r="Z35" s="703" t="str">
        <f t="shared" si="13"/>
        <v>--</v>
      </c>
      <c r="AA35" s="704" t="str">
        <f t="shared" si="14"/>
        <v>--</v>
      </c>
      <c r="AB35" s="221" t="str">
        <f t="shared" si="15"/>
        <v>--</v>
      </c>
      <c r="AC35" s="222" t="str">
        <f t="shared" si="16"/>
        <v>--</v>
      </c>
      <c r="AD35" s="796" t="s">
        <v>213</v>
      </c>
      <c r="AE35" s="16">
        <f t="shared" si="17"/>
        <v>4858.7424</v>
      </c>
      <c r="AF35" s="705"/>
    </row>
    <row r="36" spans="2:32" s="5" customFormat="1" ht="17.1" customHeight="1">
      <c r="B36" s="50"/>
      <c r="C36" s="149">
        <v>15</v>
      </c>
      <c r="D36" s="270">
        <v>297785</v>
      </c>
      <c r="E36" s="270">
        <v>4734</v>
      </c>
      <c r="F36" s="141" t="s">
        <v>467</v>
      </c>
      <c r="G36" s="143">
        <v>220</v>
      </c>
      <c r="H36" s="749">
        <v>77</v>
      </c>
      <c r="I36" s="143" t="s">
        <v>303</v>
      </c>
      <c r="J36" s="696">
        <f t="shared" si="0"/>
        <v>20</v>
      </c>
      <c r="K36" s="697">
        <f t="shared" si="1"/>
        <v>421.774</v>
      </c>
      <c r="L36" s="180">
        <v>42389.32083333333</v>
      </c>
      <c r="M36" s="181">
        <v>42389.52638888889</v>
      </c>
      <c r="N36" s="182">
        <f t="shared" si="2"/>
        <v>4.933333333348855</v>
      </c>
      <c r="O36" s="183">
        <f t="shared" si="3"/>
        <v>296</v>
      </c>
      <c r="P36" s="216" t="s">
        <v>304</v>
      </c>
      <c r="Q36" s="795" t="str">
        <f t="shared" si="4"/>
        <v>--</v>
      </c>
      <c r="R36" s="217" t="str">
        <f t="shared" si="5"/>
        <v>NO</v>
      </c>
      <c r="S36" s="217" t="str">
        <f t="shared" si="6"/>
        <v>--</v>
      </c>
      <c r="T36" s="700">
        <f t="shared" si="7"/>
        <v>415.86916399999996</v>
      </c>
      <c r="U36" s="701" t="str">
        <f t="shared" si="8"/>
        <v>--</v>
      </c>
      <c r="V36" s="218" t="str">
        <f t="shared" si="9"/>
        <v>--</v>
      </c>
      <c r="W36" s="219" t="str">
        <f t="shared" si="10"/>
        <v>--</v>
      </c>
      <c r="X36" s="220" t="str">
        <f t="shared" si="11"/>
        <v>--</v>
      </c>
      <c r="Y36" s="702" t="str">
        <f t="shared" si="12"/>
        <v>--</v>
      </c>
      <c r="Z36" s="703" t="str">
        <f t="shared" si="13"/>
        <v>--</v>
      </c>
      <c r="AA36" s="704" t="str">
        <f t="shared" si="14"/>
        <v>--</v>
      </c>
      <c r="AB36" s="221" t="str">
        <f t="shared" si="15"/>
        <v>--</v>
      </c>
      <c r="AC36" s="222" t="str">
        <f t="shared" si="16"/>
        <v>--</v>
      </c>
      <c r="AD36" s="796" t="s">
        <v>213</v>
      </c>
      <c r="AE36" s="16">
        <f t="shared" si="17"/>
        <v>415.86916399999996</v>
      </c>
      <c r="AF36" s="705"/>
    </row>
    <row r="37" spans="2:32" s="5" customFormat="1" ht="17.1" customHeight="1">
      <c r="B37" s="50"/>
      <c r="C37" s="270">
        <v>16</v>
      </c>
      <c r="D37" s="149">
        <v>297797</v>
      </c>
      <c r="E37" s="149">
        <v>4734</v>
      </c>
      <c r="F37" s="141" t="s">
        <v>467</v>
      </c>
      <c r="G37" s="143">
        <v>220</v>
      </c>
      <c r="H37" s="749">
        <v>77</v>
      </c>
      <c r="I37" s="143" t="s">
        <v>303</v>
      </c>
      <c r="J37" s="696">
        <f t="shared" si="0"/>
        <v>20</v>
      </c>
      <c r="K37" s="697">
        <f t="shared" si="1"/>
        <v>421.774</v>
      </c>
      <c r="L37" s="180">
        <v>42390.3</v>
      </c>
      <c r="M37" s="181">
        <v>42390.55</v>
      </c>
      <c r="N37" s="182">
        <f t="shared" si="2"/>
        <v>6</v>
      </c>
      <c r="O37" s="183">
        <f t="shared" si="3"/>
        <v>360</v>
      </c>
      <c r="P37" s="216" t="s">
        <v>304</v>
      </c>
      <c r="Q37" s="795" t="str">
        <f t="shared" si="4"/>
        <v>--</v>
      </c>
      <c r="R37" s="217" t="str">
        <f t="shared" si="5"/>
        <v>NO</v>
      </c>
      <c r="S37" s="217" t="str">
        <f t="shared" si="6"/>
        <v>--</v>
      </c>
      <c r="T37" s="700">
        <f t="shared" si="7"/>
        <v>506.1288</v>
      </c>
      <c r="U37" s="701" t="str">
        <f t="shared" si="8"/>
        <v>--</v>
      </c>
      <c r="V37" s="218" t="str">
        <f t="shared" si="9"/>
        <v>--</v>
      </c>
      <c r="W37" s="219" t="str">
        <f t="shared" si="10"/>
        <v>--</v>
      </c>
      <c r="X37" s="220" t="str">
        <f t="shared" si="11"/>
        <v>--</v>
      </c>
      <c r="Y37" s="702" t="str">
        <f t="shared" si="12"/>
        <v>--</v>
      </c>
      <c r="Z37" s="703" t="str">
        <f t="shared" si="13"/>
        <v>--</v>
      </c>
      <c r="AA37" s="704" t="str">
        <f t="shared" si="14"/>
        <v>--</v>
      </c>
      <c r="AB37" s="221" t="str">
        <f t="shared" si="15"/>
        <v>--</v>
      </c>
      <c r="AC37" s="222" t="str">
        <f t="shared" si="16"/>
        <v>--</v>
      </c>
      <c r="AD37" s="796" t="s">
        <v>213</v>
      </c>
      <c r="AE37" s="16">
        <f t="shared" si="17"/>
        <v>506.1288</v>
      </c>
      <c r="AF37" s="705"/>
    </row>
    <row r="38" spans="2:32" s="5" customFormat="1" ht="17.1" customHeight="1">
      <c r="B38" s="50"/>
      <c r="C38" s="149">
        <v>17</v>
      </c>
      <c r="D38" s="270">
        <v>297805</v>
      </c>
      <c r="E38" s="270">
        <v>4820</v>
      </c>
      <c r="F38" s="141" t="s">
        <v>468</v>
      </c>
      <c r="G38" s="143">
        <v>500</v>
      </c>
      <c r="H38" s="749">
        <v>64.99</v>
      </c>
      <c r="I38" s="143" t="s">
        <v>314</v>
      </c>
      <c r="J38" s="696">
        <f t="shared" si="0"/>
        <v>60</v>
      </c>
      <c r="K38" s="697">
        <f t="shared" si="1"/>
        <v>506.119</v>
      </c>
      <c r="L38" s="180">
        <v>42392.31597222222</v>
      </c>
      <c r="M38" s="181">
        <v>42392.325</v>
      </c>
      <c r="N38" s="182">
        <f t="shared" si="2"/>
        <v>0.2166666666744277</v>
      </c>
      <c r="O38" s="183">
        <f t="shared" si="3"/>
        <v>13</v>
      </c>
      <c r="P38" s="216" t="s">
        <v>304</v>
      </c>
      <c r="Q38" s="795" t="str">
        <f t="shared" si="4"/>
        <v>--</v>
      </c>
      <c r="R38" s="217" t="str">
        <f t="shared" si="5"/>
        <v>NO</v>
      </c>
      <c r="S38" s="217" t="str">
        <f t="shared" si="6"/>
        <v>--</v>
      </c>
      <c r="T38" s="700">
        <f t="shared" si="7"/>
        <v>66.80770800000002</v>
      </c>
      <c r="U38" s="701" t="str">
        <f t="shared" si="8"/>
        <v>--</v>
      </c>
      <c r="V38" s="218" t="str">
        <f t="shared" si="9"/>
        <v>--</v>
      </c>
      <c r="W38" s="219" t="str">
        <f t="shared" si="10"/>
        <v>--</v>
      </c>
      <c r="X38" s="220" t="str">
        <f t="shared" si="11"/>
        <v>--</v>
      </c>
      <c r="Y38" s="702" t="str">
        <f t="shared" si="12"/>
        <v>--</v>
      </c>
      <c r="Z38" s="703" t="str">
        <f t="shared" si="13"/>
        <v>--</v>
      </c>
      <c r="AA38" s="704" t="str">
        <f t="shared" si="14"/>
        <v>--</v>
      </c>
      <c r="AB38" s="221" t="str">
        <f t="shared" si="15"/>
        <v>--</v>
      </c>
      <c r="AC38" s="222" t="str">
        <f t="shared" si="16"/>
        <v>--</v>
      </c>
      <c r="AD38" s="796" t="s">
        <v>213</v>
      </c>
      <c r="AE38" s="16">
        <f t="shared" si="17"/>
        <v>66.80770800000002</v>
      </c>
      <c r="AF38" s="705"/>
    </row>
    <row r="39" spans="2:32" s="5" customFormat="1" ht="17.1" customHeight="1">
      <c r="B39" s="50"/>
      <c r="C39" s="270">
        <v>18</v>
      </c>
      <c r="D39" s="270">
        <v>297811</v>
      </c>
      <c r="E39" s="149">
        <v>4820</v>
      </c>
      <c r="F39" s="141" t="s">
        <v>468</v>
      </c>
      <c r="G39" s="143">
        <v>500</v>
      </c>
      <c r="H39" s="749">
        <v>64.99</v>
      </c>
      <c r="I39" s="143" t="s">
        <v>314</v>
      </c>
      <c r="J39" s="696">
        <f t="shared" si="0"/>
        <v>60</v>
      </c>
      <c r="K39" s="697">
        <f t="shared" si="1"/>
        <v>506.119</v>
      </c>
      <c r="L39" s="180">
        <v>42393.32152777778</v>
      </c>
      <c r="M39" s="181">
        <v>42393.325694444444</v>
      </c>
      <c r="N39" s="182">
        <f t="shared" si="2"/>
        <v>0.09999999997671694</v>
      </c>
      <c r="O39" s="183">
        <f t="shared" si="3"/>
        <v>6</v>
      </c>
      <c r="P39" s="216" t="s">
        <v>304</v>
      </c>
      <c r="Q39" s="795" t="str">
        <f t="shared" si="4"/>
        <v>--</v>
      </c>
      <c r="R39" s="217" t="str">
        <f t="shared" si="5"/>
        <v>NO</v>
      </c>
      <c r="S39" s="217" t="str">
        <f t="shared" si="6"/>
        <v>--</v>
      </c>
      <c r="T39" s="700">
        <f t="shared" si="7"/>
        <v>30.367140000000006</v>
      </c>
      <c r="U39" s="701" t="str">
        <f t="shared" si="8"/>
        <v>--</v>
      </c>
      <c r="V39" s="218" t="str">
        <f t="shared" si="9"/>
        <v>--</v>
      </c>
      <c r="W39" s="219" t="str">
        <f t="shared" si="10"/>
        <v>--</v>
      </c>
      <c r="X39" s="220" t="str">
        <f t="shared" si="11"/>
        <v>--</v>
      </c>
      <c r="Y39" s="702" t="str">
        <f t="shared" si="12"/>
        <v>--</v>
      </c>
      <c r="Z39" s="703" t="str">
        <f t="shared" si="13"/>
        <v>--</v>
      </c>
      <c r="AA39" s="704" t="str">
        <f t="shared" si="14"/>
        <v>--</v>
      </c>
      <c r="AB39" s="221" t="str">
        <f t="shared" si="15"/>
        <v>--</v>
      </c>
      <c r="AC39" s="222" t="str">
        <f t="shared" si="16"/>
        <v>--</v>
      </c>
      <c r="AD39" s="796" t="s">
        <v>213</v>
      </c>
      <c r="AE39" s="16">
        <f t="shared" si="17"/>
        <v>30.367140000000006</v>
      </c>
      <c r="AF39" s="705"/>
    </row>
    <row r="40" spans="2:32" s="5" customFormat="1" ht="17.1" customHeight="1" thickBot="1">
      <c r="B40" s="50"/>
      <c r="C40" s="794"/>
      <c r="D40" s="797"/>
      <c r="E40" s="149"/>
      <c r="F40" s="146"/>
      <c r="G40" s="224"/>
      <c r="H40" s="743"/>
      <c r="I40" s="225"/>
      <c r="J40" s="710"/>
      <c r="K40" s="711"/>
      <c r="L40" s="741"/>
      <c r="M40" s="741"/>
      <c r="N40" s="9"/>
      <c r="O40" s="9"/>
      <c r="P40" s="148"/>
      <c r="Q40" s="185"/>
      <c r="R40" s="148"/>
      <c r="S40" s="148"/>
      <c r="T40" s="712"/>
      <c r="U40" s="713"/>
      <c r="V40" s="226"/>
      <c r="W40" s="227"/>
      <c r="X40" s="228"/>
      <c r="Y40" s="714"/>
      <c r="Z40" s="715"/>
      <c r="AA40" s="716"/>
      <c r="AB40" s="229"/>
      <c r="AC40" s="230"/>
      <c r="AD40" s="717"/>
      <c r="AE40" s="231"/>
      <c r="AF40" s="705"/>
    </row>
    <row r="41" spans="2:32" s="5" customFormat="1" ht="17.1" customHeight="1" thickBot="1" thickTop="1">
      <c r="B41" s="50"/>
      <c r="C41" s="126" t="s">
        <v>25</v>
      </c>
      <c r="D41" s="2894" t="s">
        <v>371</v>
      </c>
      <c r="E41" s="126"/>
      <c r="F41" s="127"/>
      <c r="G41" s="232"/>
      <c r="H41" s="197"/>
      <c r="I41" s="233"/>
      <c r="J41" s="197"/>
      <c r="K41" s="186"/>
      <c r="L41" s="186"/>
      <c r="M41" s="186"/>
      <c r="N41" s="186"/>
      <c r="O41" s="186"/>
      <c r="P41" s="186"/>
      <c r="Q41" s="234"/>
      <c r="R41" s="186"/>
      <c r="S41" s="186"/>
      <c r="T41" s="718">
        <f aca="true" t="shared" si="18" ref="T41:AC41">SUM(T20:T40)</f>
        <v>18020.28164624</v>
      </c>
      <c r="U41" s="719">
        <f t="shared" si="18"/>
        <v>0</v>
      </c>
      <c r="V41" s="720">
        <f t="shared" si="18"/>
        <v>18557.86</v>
      </c>
      <c r="W41" s="720">
        <f t="shared" si="18"/>
        <v>63130.726599999995</v>
      </c>
      <c r="X41" s="720">
        <f t="shared" si="18"/>
        <v>16913.137400000003</v>
      </c>
      <c r="Y41" s="721">
        <f t="shared" si="18"/>
        <v>0</v>
      </c>
      <c r="Z41" s="721">
        <f t="shared" si="18"/>
        <v>0</v>
      </c>
      <c r="AA41" s="721">
        <f t="shared" si="18"/>
        <v>0</v>
      </c>
      <c r="AB41" s="235">
        <f t="shared" si="18"/>
        <v>0</v>
      </c>
      <c r="AC41" s="236">
        <f t="shared" si="18"/>
        <v>0</v>
      </c>
      <c r="AD41" s="237"/>
      <c r="AE41" s="238">
        <f>ROUND(SUM(AE20:AE40),2)</f>
        <v>113036.93</v>
      </c>
      <c r="AF41" s="705"/>
    </row>
    <row r="42" spans="2:32" s="5" customFormat="1" ht="17.1" customHeight="1" thickBot="1" thickTop="1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6"/>
    </row>
    <row r="43" spans="2:32" ht="17.1" customHeight="1" thickTop="1">
      <c r="B43" s="1"/>
      <c r="C43" s="1"/>
      <c r="D43" s="1"/>
      <c r="AF43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horizontalDpi="1200" verticalDpi="1200" orientation="landscape" paperSize="9" scale="64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86049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57150</xdr:colOff>
                    <xdr:row>39</xdr:row>
                    <xdr:rowOff>190500</xdr:rowOff>
                  </from>
                  <to>
                    <xdr:col>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5">
    <pageSetUpPr fitToPage="1"/>
  </sheetPr>
  <dimension ref="A1:AA157"/>
  <sheetViews>
    <sheetView zoomScale="70" zoomScaleNormal="70" workbookViewId="0" topLeftCell="A1">
      <selection activeCell="A48" sqref="A48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25.7109375" style="0" customWidth="1"/>
    <col min="8" max="8" width="8.7109375" style="0" customWidth="1"/>
    <col min="9" max="9" width="13.421875" style="0" hidden="1" customWidth="1"/>
    <col min="10" max="11" width="15.7109375" style="0" customWidth="1"/>
    <col min="12" max="15" width="9.7109375" style="0" customWidth="1"/>
    <col min="16" max="16" width="6.00390625" style="0" customWidth="1"/>
    <col min="17" max="17" width="3.7109375" style="0" hidden="1" customWidth="1"/>
    <col min="18" max="18" width="13.140625" style="0" hidden="1" customWidth="1"/>
    <col min="19" max="20" width="5.7109375" style="0" hidden="1" customWidth="1"/>
    <col min="21" max="22" width="12.28125" style="0" hidden="1" customWidth="1"/>
    <col min="23" max="23" width="9.7109375" style="0" customWidth="1"/>
    <col min="24" max="24" width="15.7109375" style="0" customWidth="1"/>
    <col min="25" max="25" width="4.140625" style="0" customWidth="1"/>
  </cols>
  <sheetData>
    <row r="1" s="18" customFormat="1" ht="26.25">
      <c r="Y1" s="139"/>
    </row>
    <row r="2" spans="1:25" s="18" customFormat="1" ht="26.25">
      <c r="A2" s="91"/>
      <c r="B2" s="381" t="str">
        <f>'TOT-0116'!B2</f>
        <v>ANEXO II al Memorándum D.T.E.E. N° 231 / 2017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25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2:25" s="29" customFormat="1" ht="20.25">
      <c r="B8" s="79"/>
      <c r="C8" s="30"/>
      <c r="D8" s="30"/>
      <c r="F8" s="167" t="s">
        <v>85</v>
      </c>
      <c r="G8" s="382"/>
      <c r="H8" s="164"/>
      <c r="I8" s="163"/>
      <c r="J8" s="163"/>
      <c r="K8" s="163"/>
      <c r="L8" s="163"/>
      <c r="M8" s="163"/>
      <c r="N8" s="163"/>
      <c r="O8" s="163"/>
      <c r="P8" s="164"/>
      <c r="Q8" s="164"/>
      <c r="R8" s="164"/>
      <c r="S8" s="164"/>
      <c r="T8" s="164"/>
      <c r="U8" s="164"/>
      <c r="V8" s="164"/>
      <c r="W8" s="164"/>
      <c r="X8" s="164"/>
      <c r="Y8" s="383"/>
    </row>
    <row r="9" spans="2:25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</row>
    <row r="10" spans="2:25" s="29" customFormat="1" ht="20.25">
      <c r="B10" s="79"/>
      <c r="C10" s="30"/>
      <c r="D10" s="30"/>
      <c r="F10" s="11" t="s">
        <v>86</v>
      </c>
      <c r="H10" s="384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80"/>
    </row>
    <row r="11" spans="2:25" s="5" customFormat="1" ht="17.1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6"/>
    </row>
    <row r="12" spans="2:25" s="29" customFormat="1" ht="20.25">
      <c r="B12" s="79"/>
      <c r="C12" s="30"/>
      <c r="D12" s="30"/>
      <c r="F12" s="11" t="s">
        <v>460</v>
      </c>
      <c r="H12" s="384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80"/>
    </row>
    <row r="13" spans="2:25" s="5" customFormat="1" ht="17.1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6"/>
    </row>
    <row r="14" spans="2:25" s="36" customFormat="1" ht="17.1" customHeight="1">
      <c r="B14" s="37" t="str">
        <f>'TOT-0116'!B14</f>
        <v>Desde el 01 al 31 de enero de 2016</v>
      </c>
      <c r="C14" s="40"/>
      <c r="D14" s="40"/>
      <c r="E14" s="385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5"/>
      <c r="S14" s="385"/>
      <c r="T14" s="385"/>
      <c r="U14" s="385"/>
      <c r="V14" s="385"/>
      <c r="W14" s="385"/>
      <c r="X14" s="385"/>
      <c r="Y14" s="387"/>
    </row>
    <row r="15" spans="2:25" s="5" customFormat="1" ht="17.1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6"/>
    </row>
    <row r="16" spans="2:25" s="5" customFormat="1" ht="17.1" customHeight="1" thickBot="1" thickTop="1">
      <c r="B16" s="50"/>
      <c r="C16" s="4"/>
      <c r="D16" s="4"/>
      <c r="E16" s="4"/>
      <c r="F16" s="116" t="s">
        <v>76</v>
      </c>
      <c r="G16" s="388"/>
      <c r="H16" s="752">
        <v>1.391</v>
      </c>
      <c r="I16" s="336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6"/>
    </row>
    <row r="17" spans="2:25" s="5" customFormat="1" ht="17.1" customHeight="1" thickBot="1" thickTop="1">
      <c r="B17" s="50"/>
      <c r="C17" s="4"/>
      <c r="D17" s="4"/>
      <c r="E17" s="4"/>
      <c r="F17" s="389" t="s">
        <v>26</v>
      </c>
      <c r="G17" s="390"/>
      <c r="H17" s="753">
        <v>20</v>
      </c>
      <c r="I17" s="336"/>
      <c r="J17"/>
      <c r="K17" s="195"/>
      <c r="L17" s="196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6"/>
    </row>
    <row r="18" spans="2:25" s="5" customFormat="1" ht="17.1" customHeight="1" thickBot="1" thickTop="1">
      <c r="B18" s="50"/>
      <c r="C18" s="836">
        <v>3</v>
      </c>
      <c r="D18" s="836">
        <v>4</v>
      </c>
      <c r="E18" s="836">
        <v>5</v>
      </c>
      <c r="F18" s="836">
        <v>6</v>
      </c>
      <c r="G18" s="836">
        <v>7</v>
      </c>
      <c r="H18" s="836">
        <v>8</v>
      </c>
      <c r="I18" s="836">
        <v>9</v>
      </c>
      <c r="J18" s="836">
        <v>10</v>
      </c>
      <c r="K18" s="836">
        <v>11</v>
      </c>
      <c r="L18" s="836">
        <v>12</v>
      </c>
      <c r="M18" s="836">
        <v>13</v>
      </c>
      <c r="N18" s="836">
        <v>14</v>
      </c>
      <c r="O18" s="836">
        <v>15</v>
      </c>
      <c r="P18" s="836">
        <v>16</v>
      </c>
      <c r="Q18" s="836">
        <v>17</v>
      </c>
      <c r="R18" s="836">
        <v>18</v>
      </c>
      <c r="S18" s="836">
        <v>19</v>
      </c>
      <c r="T18" s="836">
        <v>20</v>
      </c>
      <c r="U18" s="836">
        <v>21</v>
      </c>
      <c r="V18" s="836">
        <v>22</v>
      </c>
      <c r="W18" s="836">
        <v>23</v>
      </c>
      <c r="X18" s="836">
        <v>24</v>
      </c>
      <c r="Y18" s="6"/>
    </row>
    <row r="19" spans="2:25" s="5" customFormat="1" ht="33.95" customHeight="1" thickBot="1" thickTop="1">
      <c r="B19" s="50"/>
      <c r="C19" s="122" t="s">
        <v>13</v>
      </c>
      <c r="D19" s="84" t="s">
        <v>242</v>
      </c>
      <c r="E19" s="84" t="s">
        <v>243</v>
      </c>
      <c r="F19" s="86" t="s">
        <v>27</v>
      </c>
      <c r="G19" s="85" t="s">
        <v>28</v>
      </c>
      <c r="H19" s="392" t="s">
        <v>29</v>
      </c>
      <c r="I19" s="128" t="s">
        <v>16</v>
      </c>
      <c r="J19" s="85" t="s">
        <v>17</v>
      </c>
      <c r="K19" s="85" t="s">
        <v>18</v>
      </c>
      <c r="L19" s="86" t="s">
        <v>36</v>
      </c>
      <c r="M19" s="86" t="s">
        <v>31</v>
      </c>
      <c r="N19" s="88" t="s">
        <v>19</v>
      </c>
      <c r="O19" s="88" t="s">
        <v>58</v>
      </c>
      <c r="P19" s="85" t="s">
        <v>32</v>
      </c>
      <c r="Q19" s="128" t="s">
        <v>37</v>
      </c>
      <c r="R19" s="393" t="s">
        <v>70</v>
      </c>
      <c r="S19" s="394" t="s">
        <v>88</v>
      </c>
      <c r="T19" s="395"/>
      <c r="U19" s="396" t="s">
        <v>22</v>
      </c>
      <c r="V19" s="251" t="s">
        <v>21</v>
      </c>
      <c r="W19" s="131" t="s">
        <v>74</v>
      </c>
      <c r="X19" s="397" t="s">
        <v>24</v>
      </c>
      <c r="Y19" s="6"/>
    </row>
    <row r="20" spans="2:25" s="5" customFormat="1" ht="17.1" customHeight="1" thickTop="1">
      <c r="B20" s="50"/>
      <c r="C20" s="256"/>
      <c r="D20" s="256"/>
      <c r="E20" s="256"/>
      <c r="F20" s="399"/>
      <c r="G20" s="399"/>
      <c r="H20" s="399"/>
      <c r="I20" s="327"/>
      <c r="J20" s="400"/>
      <c r="K20" s="400"/>
      <c r="L20" s="398"/>
      <c r="M20" s="398"/>
      <c r="N20" s="399"/>
      <c r="O20" s="176"/>
      <c r="P20" s="398"/>
      <c r="Q20" s="401"/>
      <c r="R20" s="402"/>
      <c r="S20" s="403"/>
      <c r="T20" s="404"/>
      <c r="U20" s="405"/>
      <c r="V20" s="405"/>
      <c r="W20" s="406"/>
      <c r="X20" s="407"/>
      <c r="Y20" s="6"/>
    </row>
    <row r="21" spans="2:25" s="5" customFormat="1" ht="17.1" customHeight="1">
      <c r="B21" s="50"/>
      <c r="C21" s="270"/>
      <c r="D21" s="270"/>
      <c r="E21" s="270"/>
      <c r="F21" s="408"/>
      <c r="G21" s="409"/>
      <c r="H21" s="410"/>
      <c r="I21" s="411"/>
      <c r="J21" s="412"/>
      <c r="K21" s="413"/>
      <c r="L21" s="414"/>
      <c r="M21" s="415"/>
      <c r="N21" s="416"/>
      <c r="O21" s="177"/>
      <c r="P21" s="417"/>
      <c r="Q21" s="418"/>
      <c r="R21" s="419"/>
      <c r="S21" s="420"/>
      <c r="T21" s="421"/>
      <c r="U21" s="422"/>
      <c r="V21" s="422"/>
      <c r="W21" s="417"/>
      <c r="X21" s="423"/>
      <c r="Y21" s="6"/>
    </row>
    <row r="22" spans="2:25" s="5" customFormat="1" ht="17.1" customHeight="1">
      <c r="B22" s="50"/>
      <c r="C22" s="362">
        <v>105</v>
      </c>
      <c r="D22" s="362">
        <v>297798</v>
      </c>
      <c r="E22" s="362">
        <v>4415</v>
      </c>
      <c r="F22" s="362" t="s">
        <v>428</v>
      </c>
      <c r="G22" s="362" t="s">
        <v>429</v>
      </c>
      <c r="H22" s="425">
        <v>150</v>
      </c>
      <c r="I22" s="287">
        <f aca="true" t="shared" si="0" ref="I22:I40">H22*$H$16</f>
        <v>208.65</v>
      </c>
      <c r="J22" s="364">
        <v>42390.163194444445</v>
      </c>
      <c r="K22" s="181">
        <v>42396.73333333333</v>
      </c>
      <c r="L22" s="365">
        <f aca="true" t="shared" si="1" ref="L22:L40">IF(F22="","",(K22-J22)*24)</f>
        <v>157.68333333323244</v>
      </c>
      <c r="M22" s="366">
        <f aca="true" t="shared" si="2" ref="M22:M40">IF(F22="","",ROUND((K22-J22)*24*60,0))</f>
        <v>9461</v>
      </c>
      <c r="N22" s="216" t="s">
        <v>304</v>
      </c>
      <c r="O22" s="499" t="s">
        <v>345</v>
      </c>
      <c r="P22" s="217" t="str">
        <f aca="true" t="shared" si="3" ref="P22:P40">IF(F22="","",IF(OR(N22="P",N22="RP"),"--","NO"))</f>
        <v>--</v>
      </c>
      <c r="Q22" s="808">
        <f aca="true" t="shared" si="4" ref="Q22:Q40">IF(OR(N22="P",N22="RP"),$H$17/10,$H$17)</f>
        <v>2</v>
      </c>
      <c r="R22" s="809">
        <f aca="true" t="shared" si="5" ref="R22:R40">IF(N22="P",I22*Q22*ROUND(M22/60,2),"--")</f>
        <v>65799.864</v>
      </c>
      <c r="S22" s="420" t="str">
        <f aca="true" t="shared" si="6" ref="S22:S40">IF(AND(N22="F",P22="NO"),I22*Q22,"--")</f>
        <v>--</v>
      </c>
      <c r="T22" s="421" t="str">
        <f aca="true" t="shared" si="7" ref="T22:T40">IF(N22="F",I22*Q22*ROUND(M22/60,2),"--")</f>
        <v>--</v>
      </c>
      <c r="U22" s="422" t="str">
        <f aca="true" t="shared" si="8" ref="U22:U40">IF(N22="RF",I22*Q22*ROUND(M22/60,2),"--")</f>
        <v>--</v>
      </c>
      <c r="V22" s="806" t="s">
        <v>213</v>
      </c>
      <c r="W22" s="217" t="str">
        <f aca="true" t="shared" si="9" ref="W22:W40">IF(F22="","","SI")</f>
        <v>SI</v>
      </c>
      <c r="X22" s="367">
        <f aca="true" t="shared" si="10" ref="X22:X40">IF(F22="","",SUM(R22:V22)*IF(W22="SI",1,2)*IF(AND(O22&lt;&gt;"--",N22="RF"),O22/100,1))</f>
        <v>65799.864</v>
      </c>
      <c r="Y22" s="6"/>
    </row>
    <row r="23" spans="2:25" s="5" customFormat="1" ht="17.1" customHeight="1">
      <c r="B23" s="50"/>
      <c r="C23" s="362">
        <v>106</v>
      </c>
      <c r="D23" s="362">
        <v>298205</v>
      </c>
      <c r="E23" s="362">
        <v>4415</v>
      </c>
      <c r="F23" s="362" t="s">
        <v>428</v>
      </c>
      <c r="G23" s="362" t="s">
        <v>429</v>
      </c>
      <c r="H23" s="425">
        <v>150</v>
      </c>
      <c r="I23" s="287">
        <f t="shared" si="0"/>
        <v>208.65</v>
      </c>
      <c r="J23" s="364">
        <v>42397.39513888889</v>
      </c>
      <c r="K23" s="181">
        <v>42397.575694444444</v>
      </c>
      <c r="L23" s="365">
        <f t="shared" si="1"/>
        <v>4.333333333313931</v>
      </c>
      <c r="M23" s="366">
        <f t="shared" si="2"/>
        <v>260</v>
      </c>
      <c r="N23" s="216" t="s">
        <v>308</v>
      </c>
      <c r="O23" s="499" t="s">
        <v>345</v>
      </c>
      <c r="P23" s="217" t="s">
        <v>213</v>
      </c>
      <c r="Q23" s="808">
        <f t="shared" si="4"/>
        <v>20</v>
      </c>
      <c r="R23" s="809" t="str">
        <f t="shared" si="5"/>
        <v>--</v>
      </c>
      <c r="S23" s="420" t="str">
        <f t="shared" si="6"/>
        <v>--</v>
      </c>
      <c r="T23" s="421">
        <f t="shared" si="7"/>
        <v>18069.09</v>
      </c>
      <c r="U23" s="422" t="str">
        <f t="shared" si="8"/>
        <v>--</v>
      </c>
      <c r="V23" s="806" t="s">
        <v>213</v>
      </c>
      <c r="W23" s="217" t="str">
        <f t="shared" si="9"/>
        <v>SI</v>
      </c>
      <c r="X23" s="367">
        <f t="shared" si="10"/>
        <v>18069.09</v>
      </c>
      <c r="Y23" s="6"/>
    </row>
    <row r="24" spans="2:25" s="5" customFormat="1" ht="17.1" customHeight="1">
      <c r="B24" s="50"/>
      <c r="C24" s="362"/>
      <c r="D24" s="362"/>
      <c r="E24" s="362"/>
      <c r="F24" s="362"/>
      <c r="G24" s="362"/>
      <c r="H24" s="425"/>
      <c r="I24" s="287">
        <f t="shared" si="0"/>
        <v>0</v>
      </c>
      <c r="J24" s="364"/>
      <c r="K24" s="181"/>
      <c r="L24" s="365" t="str">
        <f t="shared" si="1"/>
        <v/>
      </c>
      <c r="M24" s="366" t="str">
        <f t="shared" si="2"/>
        <v/>
      </c>
      <c r="N24" s="216"/>
      <c r="O24" s="499" t="str">
        <f aca="true" t="shared" si="11" ref="O24:O40">IF(F24="","","--")</f>
        <v/>
      </c>
      <c r="P24" s="217" t="str">
        <f t="shared" si="3"/>
        <v/>
      </c>
      <c r="Q24" s="808">
        <f t="shared" si="4"/>
        <v>20</v>
      </c>
      <c r="R24" s="809" t="str">
        <f t="shared" si="5"/>
        <v>--</v>
      </c>
      <c r="S24" s="420" t="str">
        <f t="shared" si="6"/>
        <v>--</v>
      </c>
      <c r="T24" s="421" t="str">
        <f t="shared" si="7"/>
        <v>--</v>
      </c>
      <c r="U24" s="422" t="str">
        <f t="shared" si="8"/>
        <v>--</v>
      </c>
      <c r="V24" s="806" t="str">
        <f aca="true" t="shared" si="12" ref="V24:V40">IF(N24="RP",I24*Q24*O24/100*ROUND(M24/60,2),"--")</f>
        <v>--</v>
      </c>
      <c r="W24" s="217" t="str">
        <f t="shared" si="9"/>
        <v/>
      </c>
      <c r="X24" s="367" t="str">
        <f t="shared" si="10"/>
        <v/>
      </c>
      <c r="Y24" s="6"/>
    </row>
    <row r="25" spans="2:25" s="5" customFormat="1" ht="17.1" customHeight="1">
      <c r="B25" s="50"/>
      <c r="C25" s="362"/>
      <c r="D25" s="362"/>
      <c r="E25" s="362"/>
      <c r="F25" s="362"/>
      <c r="G25" s="362"/>
      <c r="H25" s="425"/>
      <c r="I25" s="287">
        <f t="shared" si="0"/>
        <v>0</v>
      </c>
      <c r="J25" s="364"/>
      <c r="K25" s="181"/>
      <c r="L25" s="365" t="str">
        <f t="shared" si="1"/>
        <v/>
      </c>
      <c r="M25" s="366" t="str">
        <f t="shared" si="2"/>
        <v/>
      </c>
      <c r="N25" s="216"/>
      <c r="O25" s="499" t="str">
        <f t="shared" si="11"/>
        <v/>
      </c>
      <c r="P25" s="217" t="str">
        <f t="shared" si="3"/>
        <v/>
      </c>
      <c r="Q25" s="808">
        <f t="shared" si="4"/>
        <v>20</v>
      </c>
      <c r="R25" s="809" t="str">
        <f t="shared" si="5"/>
        <v>--</v>
      </c>
      <c r="S25" s="420" t="str">
        <f t="shared" si="6"/>
        <v>--</v>
      </c>
      <c r="T25" s="421" t="str">
        <f t="shared" si="7"/>
        <v>--</v>
      </c>
      <c r="U25" s="422" t="str">
        <f t="shared" si="8"/>
        <v>--</v>
      </c>
      <c r="V25" s="806" t="str">
        <f t="shared" si="12"/>
        <v>--</v>
      </c>
      <c r="W25" s="217" t="str">
        <f t="shared" si="9"/>
        <v/>
      </c>
      <c r="X25" s="367" t="str">
        <f t="shared" si="10"/>
        <v/>
      </c>
      <c r="Y25" s="426"/>
    </row>
    <row r="26" spans="2:25" s="5" customFormat="1" ht="17.1" customHeight="1">
      <c r="B26" s="50"/>
      <c r="C26" s="362"/>
      <c r="D26" s="362"/>
      <c r="E26" s="362"/>
      <c r="F26" s="362"/>
      <c r="G26" s="362"/>
      <c r="H26" s="425"/>
      <c r="I26" s="287">
        <f t="shared" si="0"/>
        <v>0</v>
      </c>
      <c r="J26" s="364"/>
      <c r="K26" s="181"/>
      <c r="L26" s="365" t="str">
        <f t="shared" si="1"/>
        <v/>
      </c>
      <c r="M26" s="366" t="str">
        <f t="shared" si="2"/>
        <v/>
      </c>
      <c r="N26" s="216"/>
      <c r="O26" s="499" t="str">
        <f t="shared" si="11"/>
        <v/>
      </c>
      <c r="P26" s="217" t="str">
        <f t="shared" si="3"/>
        <v/>
      </c>
      <c r="Q26" s="808">
        <f t="shared" si="4"/>
        <v>20</v>
      </c>
      <c r="R26" s="809" t="str">
        <f t="shared" si="5"/>
        <v>--</v>
      </c>
      <c r="S26" s="420" t="str">
        <f t="shared" si="6"/>
        <v>--</v>
      </c>
      <c r="T26" s="421" t="str">
        <f t="shared" si="7"/>
        <v>--</v>
      </c>
      <c r="U26" s="422" t="str">
        <f t="shared" si="8"/>
        <v>--</v>
      </c>
      <c r="V26" s="806" t="str">
        <f t="shared" si="12"/>
        <v>--</v>
      </c>
      <c r="W26" s="217" t="str">
        <f t="shared" si="9"/>
        <v/>
      </c>
      <c r="X26" s="367" t="str">
        <f t="shared" si="10"/>
        <v/>
      </c>
      <c r="Y26" s="426"/>
    </row>
    <row r="27" spans="2:25" s="5" customFormat="1" ht="17.1" customHeight="1">
      <c r="B27" s="50"/>
      <c r="C27" s="362"/>
      <c r="D27" s="362"/>
      <c r="E27" s="362"/>
      <c r="F27" s="362"/>
      <c r="G27" s="362"/>
      <c r="H27" s="425"/>
      <c r="I27" s="287">
        <f t="shared" si="0"/>
        <v>0</v>
      </c>
      <c r="J27" s="364"/>
      <c r="K27" s="181"/>
      <c r="L27" s="365" t="str">
        <f t="shared" si="1"/>
        <v/>
      </c>
      <c r="M27" s="366" t="str">
        <f t="shared" si="2"/>
        <v/>
      </c>
      <c r="N27" s="216"/>
      <c r="O27" s="499" t="str">
        <f t="shared" si="11"/>
        <v/>
      </c>
      <c r="P27" s="217" t="str">
        <f t="shared" si="3"/>
        <v/>
      </c>
      <c r="Q27" s="808">
        <f t="shared" si="4"/>
        <v>20</v>
      </c>
      <c r="R27" s="809" t="str">
        <f t="shared" si="5"/>
        <v>--</v>
      </c>
      <c r="S27" s="420" t="str">
        <f t="shared" si="6"/>
        <v>--</v>
      </c>
      <c r="T27" s="421" t="str">
        <f t="shared" si="7"/>
        <v>--</v>
      </c>
      <c r="U27" s="422" t="str">
        <f t="shared" si="8"/>
        <v>--</v>
      </c>
      <c r="V27" s="806" t="str">
        <f t="shared" si="12"/>
        <v>--</v>
      </c>
      <c r="W27" s="217" t="str">
        <f t="shared" si="9"/>
        <v/>
      </c>
      <c r="X27" s="367" t="str">
        <f t="shared" si="10"/>
        <v/>
      </c>
      <c r="Y27" s="426"/>
    </row>
    <row r="28" spans="2:25" s="5" customFormat="1" ht="17.1" customHeight="1">
      <c r="B28" s="50"/>
      <c r="C28" s="362"/>
      <c r="D28" s="362"/>
      <c r="E28" s="362"/>
      <c r="F28" s="362"/>
      <c r="G28" s="362"/>
      <c r="H28" s="425"/>
      <c r="I28" s="287">
        <f t="shared" si="0"/>
        <v>0</v>
      </c>
      <c r="J28" s="364"/>
      <c r="K28" s="181"/>
      <c r="L28" s="365" t="str">
        <f t="shared" si="1"/>
        <v/>
      </c>
      <c r="M28" s="366" t="str">
        <f t="shared" si="2"/>
        <v/>
      </c>
      <c r="N28" s="216"/>
      <c r="O28" s="499" t="str">
        <f t="shared" si="11"/>
        <v/>
      </c>
      <c r="P28" s="217" t="str">
        <f t="shared" si="3"/>
        <v/>
      </c>
      <c r="Q28" s="808">
        <f t="shared" si="4"/>
        <v>20</v>
      </c>
      <c r="R28" s="809" t="str">
        <f t="shared" si="5"/>
        <v>--</v>
      </c>
      <c r="S28" s="420" t="str">
        <f t="shared" si="6"/>
        <v>--</v>
      </c>
      <c r="T28" s="421" t="str">
        <f t="shared" si="7"/>
        <v>--</v>
      </c>
      <c r="U28" s="422" t="str">
        <f t="shared" si="8"/>
        <v>--</v>
      </c>
      <c r="V28" s="806" t="str">
        <f t="shared" si="12"/>
        <v>--</v>
      </c>
      <c r="W28" s="217" t="str">
        <f t="shared" si="9"/>
        <v/>
      </c>
      <c r="X28" s="367" t="str">
        <f t="shared" si="10"/>
        <v/>
      </c>
      <c r="Y28" s="426"/>
    </row>
    <row r="29" spans="2:25" s="5" customFormat="1" ht="17.1" customHeight="1">
      <c r="B29" s="50"/>
      <c r="C29" s="362"/>
      <c r="D29" s="362"/>
      <c r="E29" s="362"/>
      <c r="F29" s="362"/>
      <c r="G29" s="362"/>
      <c r="H29" s="425"/>
      <c r="I29" s="287">
        <f t="shared" si="0"/>
        <v>0</v>
      </c>
      <c r="J29" s="364"/>
      <c r="K29" s="181"/>
      <c r="L29" s="365" t="str">
        <f t="shared" si="1"/>
        <v/>
      </c>
      <c r="M29" s="366" t="str">
        <f t="shared" si="2"/>
        <v/>
      </c>
      <c r="N29" s="216"/>
      <c r="O29" s="499" t="str">
        <f t="shared" si="11"/>
        <v/>
      </c>
      <c r="P29" s="217" t="str">
        <f t="shared" si="3"/>
        <v/>
      </c>
      <c r="Q29" s="808">
        <f t="shared" si="4"/>
        <v>20</v>
      </c>
      <c r="R29" s="809" t="str">
        <f t="shared" si="5"/>
        <v>--</v>
      </c>
      <c r="S29" s="420" t="str">
        <f t="shared" si="6"/>
        <v>--</v>
      </c>
      <c r="T29" s="421" t="str">
        <f t="shared" si="7"/>
        <v>--</v>
      </c>
      <c r="U29" s="422" t="str">
        <f t="shared" si="8"/>
        <v>--</v>
      </c>
      <c r="V29" s="806" t="str">
        <f t="shared" si="12"/>
        <v>--</v>
      </c>
      <c r="W29" s="217" t="str">
        <f t="shared" si="9"/>
        <v/>
      </c>
      <c r="X29" s="367" t="str">
        <f t="shared" si="10"/>
        <v/>
      </c>
      <c r="Y29" s="426"/>
    </row>
    <row r="30" spans="2:25" s="5" customFormat="1" ht="17.1" customHeight="1">
      <c r="B30" s="50"/>
      <c r="C30" s="362"/>
      <c r="D30" s="362"/>
      <c r="E30" s="362"/>
      <c r="F30" s="362"/>
      <c r="G30" s="362"/>
      <c r="H30" s="425"/>
      <c r="I30" s="287">
        <f t="shared" si="0"/>
        <v>0</v>
      </c>
      <c r="J30" s="364"/>
      <c r="K30" s="181"/>
      <c r="L30" s="365" t="str">
        <f t="shared" si="1"/>
        <v/>
      </c>
      <c r="M30" s="366" t="str">
        <f t="shared" si="2"/>
        <v/>
      </c>
      <c r="N30" s="216"/>
      <c r="O30" s="499" t="str">
        <f t="shared" si="11"/>
        <v/>
      </c>
      <c r="P30" s="217" t="str">
        <f t="shared" si="3"/>
        <v/>
      </c>
      <c r="Q30" s="808">
        <f t="shared" si="4"/>
        <v>20</v>
      </c>
      <c r="R30" s="809" t="str">
        <f t="shared" si="5"/>
        <v>--</v>
      </c>
      <c r="S30" s="420" t="str">
        <f t="shared" si="6"/>
        <v>--</v>
      </c>
      <c r="T30" s="421" t="str">
        <f t="shared" si="7"/>
        <v>--</v>
      </c>
      <c r="U30" s="422" t="str">
        <f t="shared" si="8"/>
        <v>--</v>
      </c>
      <c r="V30" s="806" t="str">
        <f t="shared" si="12"/>
        <v>--</v>
      </c>
      <c r="W30" s="217" t="str">
        <f t="shared" si="9"/>
        <v/>
      </c>
      <c r="X30" s="367" t="str">
        <f t="shared" si="10"/>
        <v/>
      </c>
      <c r="Y30" s="426"/>
    </row>
    <row r="31" spans="2:25" s="5" customFormat="1" ht="17.1" customHeight="1">
      <c r="B31" s="50"/>
      <c r="C31" s="362"/>
      <c r="D31" s="362"/>
      <c r="E31" s="362"/>
      <c r="F31" s="362"/>
      <c r="G31" s="362"/>
      <c r="H31" s="425"/>
      <c r="I31" s="287">
        <f t="shared" si="0"/>
        <v>0</v>
      </c>
      <c r="J31" s="364"/>
      <c r="K31" s="181"/>
      <c r="L31" s="365" t="str">
        <f t="shared" si="1"/>
        <v/>
      </c>
      <c r="M31" s="366" t="str">
        <f t="shared" si="2"/>
        <v/>
      </c>
      <c r="N31" s="216"/>
      <c r="O31" s="499" t="str">
        <f t="shared" si="11"/>
        <v/>
      </c>
      <c r="P31" s="217" t="str">
        <f t="shared" si="3"/>
        <v/>
      </c>
      <c r="Q31" s="808">
        <f t="shared" si="4"/>
        <v>20</v>
      </c>
      <c r="R31" s="809" t="str">
        <f t="shared" si="5"/>
        <v>--</v>
      </c>
      <c r="S31" s="420" t="str">
        <f t="shared" si="6"/>
        <v>--</v>
      </c>
      <c r="T31" s="421" t="str">
        <f t="shared" si="7"/>
        <v>--</v>
      </c>
      <c r="U31" s="422" t="str">
        <f t="shared" si="8"/>
        <v>--</v>
      </c>
      <c r="V31" s="806" t="str">
        <f t="shared" si="12"/>
        <v>--</v>
      </c>
      <c r="W31" s="217" t="str">
        <f t="shared" si="9"/>
        <v/>
      </c>
      <c r="X31" s="367" t="str">
        <f t="shared" si="10"/>
        <v/>
      </c>
      <c r="Y31" s="6"/>
    </row>
    <row r="32" spans="2:25" s="5" customFormat="1" ht="17.1" customHeight="1">
      <c r="B32" s="50"/>
      <c r="C32" s="362"/>
      <c r="D32" s="362"/>
      <c r="E32" s="362"/>
      <c r="F32" s="362"/>
      <c r="G32" s="362"/>
      <c r="H32" s="425"/>
      <c r="I32" s="287">
        <f t="shared" si="0"/>
        <v>0</v>
      </c>
      <c r="J32" s="364"/>
      <c r="K32" s="181"/>
      <c r="L32" s="365" t="str">
        <f t="shared" si="1"/>
        <v/>
      </c>
      <c r="M32" s="366" t="str">
        <f t="shared" si="2"/>
        <v/>
      </c>
      <c r="N32" s="216"/>
      <c r="O32" s="499" t="str">
        <f t="shared" si="11"/>
        <v/>
      </c>
      <c r="P32" s="217" t="str">
        <f t="shared" si="3"/>
        <v/>
      </c>
      <c r="Q32" s="808">
        <f t="shared" si="4"/>
        <v>20</v>
      </c>
      <c r="R32" s="809" t="str">
        <f t="shared" si="5"/>
        <v>--</v>
      </c>
      <c r="S32" s="420" t="str">
        <f t="shared" si="6"/>
        <v>--</v>
      </c>
      <c r="T32" s="421" t="str">
        <f t="shared" si="7"/>
        <v>--</v>
      </c>
      <c r="U32" s="422" t="str">
        <f t="shared" si="8"/>
        <v>--</v>
      </c>
      <c r="V32" s="806" t="str">
        <f t="shared" si="12"/>
        <v>--</v>
      </c>
      <c r="W32" s="217" t="str">
        <f t="shared" si="9"/>
        <v/>
      </c>
      <c r="X32" s="367" t="str">
        <f t="shared" si="10"/>
        <v/>
      </c>
      <c r="Y32" s="6"/>
    </row>
    <row r="33" spans="2:25" s="5" customFormat="1" ht="17.1" customHeight="1">
      <c r="B33" s="50"/>
      <c r="C33" s="362"/>
      <c r="D33" s="362"/>
      <c r="E33" s="362"/>
      <c r="F33" s="362"/>
      <c r="G33" s="362"/>
      <c r="H33" s="425"/>
      <c r="I33" s="287">
        <f t="shared" si="0"/>
        <v>0</v>
      </c>
      <c r="J33" s="364"/>
      <c r="K33" s="181"/>
      <c r="L33" s="365" t="str">
        <f t="shared" si="1"/>
        <v/>
      </c>
      <c r="M33" s="366" t="str">
        <f t="shared" si="2"/>
        <v/>
      </c>
      <c r="N33" s="216"/>
      <c r="O33" s="499" t="str">
        <f t="shared" si="11"/>
        <v/>
      </c>
      <c r="P33" s="217" t="str">
        <f t="shared" si="3"/>
        <v/>
      </c>
      <c r="Q33" s="808">
        <f t="shared" si="4"/>
        <v>20</v>
      </c>
      <c r="R33" s="809" t="str">
        <f t="shared" si="5"/>
        <v>--</v>
      </c>
      <c r="S33" s="420" t="str">
        <f t="shared" si="6"/>
        <v>--</v>
      </c>
      <c r="T33" s="421" t="str">
        <f t="shared" si="7"/>
        <v>--</v>
      </c>
      <c r="U33" s="422" t="str">
        <f t="shared" si="8"/>
        <v>--</v>
      </c>
      <c r="V33" s="806" t="str">
        <f t="shared" si="12"/>
        <v>--</v>
      </c>
      <c r="W33" s="217" t="str">
        <f t="shared" si="9"/>
        <v/>
      </c>
      <c r="X33" s="367" t="str">
        <f t="shared" si="10"/>
        <v/>
      </c>
      <c r="Y33" s="6"/>
    </row>
    <row r="34" spans="2:25" s="5" customFormat="1" ht="17.1" customHeight="1">
      <c r="B34" s="50"/>
      <c r="C34" s="362"/>
      <c r="D34" s="362"/>
      <c r="E34" s="362"/>
      <c r="F34" s="362"/>
      <c r="G34" s="362"/>
      <c r="H34" s="425"/>
      <c r="I34" s="287">
        <f t="shared" si="0"/>
        <v>0</v>
      </c>
      <c r="J34" s="364"/>
      <c r="K34" s="181"/>
      <c r="L34" s="365" t="str">
        <f t="shared" si="1"/>
        <v/>
      </c>
      <c r="M34" s="366" t="str">
        <f t="shared" si="2"/>
        <v/>
      </c>
      <c r="N34" s="216"/>
      <c r="O34" s="499" t="str">
        <f t="shared" si="11"/>
        <v/>
      </c>
      <c r="P34" s="217" t="str">
        <f t="shared" si="3"/>
        <v/>
      </c>
      <c r="Q34" s="808">
        <f t="shared" si="4"/>
        <v>20</v>
      </c>
      <c r="R34" s="809" t="str">
        <f t="shared" si="5"/>
        <v>--</v>
      </c>
      <c r="S34" s="420" t="str">
        <f t="shared" si="6"/>
        <v>--</v>
      </c>
      <c r="T34" s="421" t="str">
        <f t="shared" si="7"/>
        <v>--</v>
      </c>
      <c r="U34" s="422" t="str">
        <f t="shared" si="8"/>
        <v>--</v>
      </c>
      <c r="V34" s="806" t="str">
        <f t="shared" si="12"/>
        <v>--</v>
      </c>
      <c r="W34" s="217" t="str">
        <f t="shared" si="9"/>
        <v/>
      </c>
      <c r="X34" s="367" t="str">
        <f t="shared" si="10"/>
        <v/>
      </c>
      <c r="Y34" s="6"/>
    </row>
    <row r="35" spans="2:25" s="5" customFormat="1" ht="17.1" customHeight="1">
      <c r="B35" s="50"/>
      <c r="C35" s="362"/>
      <c r="D35" s="362"/>
      <c r="E35" s="362"/>
      <c r="F35" s="362"/>
      <c r="G35" s="362"/>
      <c r="H35" s="425"/>
      <c r="I35" s="287">
        <f t="shared" si="0"/>
        <v>0</v>
      </c>
      <c r="J35" s="364"/>
      <c r="K35" s="181"/>
      <c r="L35" s="365" t="str">
        <f t="shared" si="1"/>
        <v/>
      </c>
      <c r="M35" s="366" t="str">
        <f t="shared" si="2"/>
        <v/>
      </c>
      <c r="N35" s="216"/>
      <c r="O35" s="499" t="str">
        <f t="shared" si="11"/>
        <v/>
      </c>
      <c r="P35" s="217" t="str">
        <f t="shared" si="3"/>
        <v/>
      </c>
      <c r="Q35" s="808">
        <f t="shared" si="4"/>
        <v>20</v>
      </c>
      <c r="R35" s="809" t="str">
        <f t="shared" si="5"/>
        <v>--</v>
      </c>
      <c r="S35" s="420" t="str">
        <f t="shared" si="6"/>
        <v>--</v>
      </c>
      <c r="T35" s="421" t="str">
        <f t="shared" si="7"/>
        <v>--</v>
      </c>
      <c r="U35" s="422" t="str">
        <f t="shared" si="8"/>
        <v>--</v>
      </c>
      <c r="V35" s="806" t="str">
        <f t="shared" si="12"/>
        <v>--</v>
      </c>
      <c r="W35" s="217" t="str">
        <f t="shared" si="9"/>
        <v/>
      </c>
      <c r="X35" s="367" t="str">
        <f t="shared" si="10"/>
        <v/>
      </c>
      <c r="Y35" s="6"/>
    </row>
    <row r="36" spans="2:25" s="5" customFormat="1" ht="17.1" customHeight="1">
      <c r="B36" s="50"/>
      <c r="C36" s="362"/>
      <c r="D36" s="362"/>
      <c r="E36" s="362"/>
      <c r="F36" s="362"/>
      <c r="G36" s="362"/>
      <c r="H36" s="425"/>
      <c r="I36" s="287">
        <f t="shared" si="0"/>
        <v>0</v>
      </c>
      <c r="J36" s="364"/>
      <c r="K36" s="181"/>
      <c r="L36" s="365" t="str">
        <f t="shared" si="1"/>
        <v/>
      </c>
      <c r="M36" s="366" t="str">
        <f t="shared" si="2"/>
        <v/>
      </c>
      <c r="N36" s="216"/>
      <c r="O36" s="499" t="str">
        <f t="shared" si="11"/>
        <v/>
      </c>
      <c r="P36" s="217" t="str">
        <f t="shared" si="3"/>
        <v/>
      </c>
      <c r="Q36" s="808">
        <f t="shared" si="4"/>
        <v>20</v>
      </c>
      <c r="R36" s="809" t="str">
        <f t="shared" si="5"/>
        <v>--</v>
      </c>
      <c r="S36" s="420" t="str">
        <f t="shared" si="6"/>
        <v>--</v>
      </c>
      <c r="T36" s="421" t="str">
        <f t="shared" si="7"/>
        <v>--</v>
      </c>
      <c r="U36" s="422" t="str">
        <f t="shared" si="8"/>
        <v>--</v>
      </c>
      <c r="V36" s="806" t="str">
        <f t="shared" si="12"/>
        <v>--</v>
      </c>
      <c r="W36" s="217" t="str">
        <f t="shared" si="9"/>
        <v/>
      </c>
      <c r="X36" s="367" t="str">
        <f t="shared" si="10"/>
        <v/>
      </c>
      <c r="Y36" s="6"/>
    </row>
    <row r="37" spans="2:25" s="5" customFormat="1" ht="17.1" customHeight="1">
      <c r="B37" s="50"/>
      <c r="C37" s="362"/>
      <c r="D37" s="362"/>
      <c r="E37" s="362"/>
      <c r="F37" s="362"/>
      <c r="G37" s="362"/>
      <c r="H37" s="425"/>
      <c r="I37" s="287">
        <f t="shared" si="0"/>
        <v>0</v>
      </c>
      <c r="J37" s="364"/>
      <c r="K37" s="181"/>
      <c r="L37" s="365" t="str">
        <f t="shared" si="1"/>
        <v/>
      </c>
      <c r="M37" s="366" t="str">
        <f t="shared" si="2"/>
        <v/>
      </c>
      <c r="N37" s="216"/>
      <c r="O37" s="499" t="str">
        <f t="shared" si="11"/>
        <v/>
      </c>
      <c r="P37" s="217" t="str">
        <f t="shared" si="3"/>
        <v/>
      </c>
      <c r="Q37" s="808">
        <f t="shared" si="4"/>
        <v>20</v>
      </c>
      <c r="R37" s="809" t="str">
        <f t="shared" si="5"/>
        <v>--</v>
      </c>
      <c r="S37" s="420" t="str">
        <f t="shared" si="6"/>
        <v>--</v>
      </c>
      <c r="T37" s="421" t="str">
        <f t="shared" si="7"/>
        <v>--</v>
      </c>
      <c r="U37" s="422" t="str">
        <f t="shared" si="8"/>
        <v>--</v>
      </c>
      <c r="V37" s="806" t="str">
        <f t="shared" si="12"/>
        <v>--</v>
      </c>
      <c r="W37" s="217" t="str">
        <f t="shared" si="9"/>
        <v/>
      </c>
      <c r="X37" s="367" t="str">
        <f t="shared" si="10"/>
        <v/>
      </c>
      <c r="Y37" s="6"/>
    </row>
    <row r="38" spans="2:25" s="5" customFormat="1" ht="17.1" customHeight="1">
      <c r="B38" s="50"/>
      <c r="C38" s="362"/>
      <c r="D38" s="362"/>
      <c r="E38" s="362"/>
      <c r="F38" s="362"/>
      <c r="G38" s="362"/>
      <c r="H38" s="425"/>
      <c r="I38" s="287">
        <f t="shared" si="0"/>
        <v>0</v>
      </c>
      <c r="J38" s="364"/>
      <c r="K38" s="181"/>
      <c r="L38" s="365" t="str">
        <f t="shared" si="1"/>
        <v/>
      </c>
      <c r="M38" s="366" t="str">
        <f t="shared" si="2"/>
        <v/>
      </c>
      <c r="N38" s="216"/>
      <c r="O38" s="499" t="str">
        <f t="shared" si="11"/>
        <v/>
      </c>
      <c r="P38" s="217" t="str">
        <f t="shared" si="3"/>
        <v/>
      </c>
      <c r="Q38" s="808">
        <f t="shared" si="4"/>
        <v>20</v>
      </c>
      <c r="R38" s="809" t="str">
        <f t="shared" si="5"/>
        <v>--</v>
      </c>
      <c r="S38" s="420" t="str">
        <f t="shared" si="6"/>
        <v>--</v>
      </c>
      <c r="T38" s="421" t="str">
        <f t="shared" si="7"/>
        <v>--</v>
      </c>
      <c r="U38" s="422" t="str">
        <f t="shared" si="8"/>
        <v>--</v>
      </c>
      <c r="V38" s="806" t="str">
        <f t="shared" si="12"/>
        <v>--</v>
      </c>
      <c r="W38" s="217" t="str">
        <f t="shared" si="9"/>
        <v/>
      </c>
      <c r="X38" s="367" t="str">
        <f t="shared" si="10"/>
        <v/>
      </c>
      <c r="Y38" s="6"/>
    </row>
    <row r="39" spans="2:25" s="5" customFormat="1" ht="17.1" customHeight="1">
      <c r="B39" s="50"/>
      <c r="C39" s="362"/>
      <c r="D39" s="362"/>
      <c r="E39" s="362"/>
      <c r="F39" s="362"/>
      <c r="G39" s="362"/>
      <c r="H39" s="425"/>
      <c r="I39" s="287">
        <f t="shared" si="0"/>
        <v>0</v>
      </c>
      <c r="J39" s="364"/>
      <c r="K39" s="181"/>
      <c r="L39" s="365" t="str">
        <f t="shared" si="1"/>
        <v/>
      </c>
      <c r="M39" s="366" t="str">
        <f t="shared" si="2"/>
        <v/>
      </c>
      <c r="N39" s="216"/>
      <c r="O39" s="499" t="str">
        <f t="shared" si="11"/>
        <v/>
      </c>
      <c r="P39" s="217" t="str">
        <f t="shared" si="3"/>
        <v/>
      </c>
      <c r="Q39" s="808">
        <f t="shared" si="4"/>
        <v>20</v>
      </c>
      <c r="R39" s="809" t="str">
        <f t="shared" si="5"/>
        <v>--</v>
      </c>
      <c r="S39" s="420" t="str">
        <f t="shared" si="6"/>
        <v>--</v>
      </c>
      <c r="T39" s="421" t="str">
        <f t="shared" si="7"/>
        <v>--</v>
      </c>
      <c r="U39" s="422" t="str">
        <f t="shared" si="8"/>
        <v>--</v>
      </c>
      <c r="V39" s="806" t="str">
        <f t="shared" si="12"/>
        <v>--</v>
      </c>
      <c r="W39" s="217" t="str">
        <f t="shared" si="9"/>
        <v/>
      </c>
      <c r="X39" s="367" t="str">
        <f t="shared" si="10"/>
        <v/>
      </c>
      <c r="Y39" s="6"/>
    </row>
    <row r="40" spans="2:25" s="5" customFormat="1" ht="17.1" customHeight="1">
      <c r="B40" s="50"/>
      <c r="C40" s="362"/>
      <c r="D40" s="362"/>
      <c r="E40" s="362"/>
      <c r="F40" s="362"/>
      <c r="G40" s="362"/>
      <c r="H40" s="425"/>
      <c r="I40" s="287">
        <f t="shared" si="0"/>
        <v>0</v>
      </c>
      <c r="J40" s="364"/>
      <c r="K40" s="181"/>
      <c r="L40" s="365" t="str">
        <f t="shared" si="1"/>
        <v/>
      </c>
      <c r="M40" s="366" t="str">
        <f t="shared" si="2"/>
        <v/>
      </c>
      <c r="N40" s="216"/>
      <c r="O40" s="499" t="str">
        <f t="shared" si="11"/>
        <v/>
      </c>
      <c r="P40" s="217" t="str">
        <f t="shared" si="3"/>
        <v/>
      </c>
      <c r="Q40" s="808">
        <f t="shared" si="4"/>
        <v>20</v>
      </c>
      <c r="R40" s="809" t="str">
        <f t="shared" si="5"/>
        <v>--</v>
      </c>
      <c r="S40" s="420" t="str">
        <f t="shared" si="6"/>
        <v>--</v>
      </c>
      <c r="T40" s="421" t="str">
        <f t="shared" si="7"/>
        <v>--</v>
      </c>
      <c r="U40" s="422" t="str">
        <f t="shared" si="8"/>
        <v>--</v>
      </c>
      <c r="V40" s="806" t="str">
        <f t="shared" si="12"/>
        <v>--</v>
      </c>
      <c r="W40" s="217" t="str">
        <f t="shared" si="9"/>
        <v/>
      </c>
      <c r="X40" s="367" t="str">
        <f t="shared" si="10"/>
        <v/>
      </c>
      <c r="Y40" s="6"/>
    </row>
    <row r="41" spans="2:25" s="5" customFormat="1" ht="17.1" customHeight="1">
      <c r="B41" s="50"/>
      <c r="C41" s="2987"/>
      <c r="D41" s="2987"/>
      <c r="E41" s="2987"/>
      <c r="F41" s="2987"/>
      <c r="G41" s="2987"/>
      <c r="H41" s="2987"/>
      <c r="I41" s="2988"/>
      <c r="J41" s="2989"/>
      <c r="K41" s="2989"/>
      <c r="L41" s="414"/>
      <c r="M41" s="415"/>
      <c r="N41" s="2990"/>
      <c r="O41" s="2991"/>
      <c r="P41" s="417"/>
      <c r="Q41" s="2992"/>
      <c r="R41" s="2993"/>
      <c r="S41" s="2994"/>
      <c r="T41" s="2994"/>
      <c r="U41" s="422"/>
      <c r="V41" s="2995"/>
      <c r="W41" s="417"/>
      <c r="X41" s="2996"/>
      <c r="Y41" s="6"/>
    </row>
    <row r="42" spans="2:25" s="5" customFormat="1" ht="17.1" customHeight="1" thickBot="1">
      <c r="B42" s="50"/>
      <c r="C42" s="142"/>
      <c r="D42" s="142"/>
      <c r="E42" s="142"/>
      <c r="F42" s="142"/>
      <c r="G42" s="142"/>
      <c r="H42" s="427"/>
      <c r="I42" s="130"/>
      <c r="J42" s="368"/>
      <c r="K42" s="368"/>
      <c r="L42" s="369"/>
      <c r="M42" s="369"/>
      <c r="N42" s="368"/>
      <c r="O42" s="185"/>
      <c r="P42" s="148"/>
      <c r="Q42" s="428"/>
      <c r="R42" s="429"/>
      <c r="S42" s="2985"/>
      <c r="T42" s="2986"/>
      <c r="U42" s="432"/>
      <c r="V42" s="432"/>
      <c r="W42" s="148"/>
      <c r="X42" s="433"/>
      <c r="Y42" s="6"/>
    </row>
    <row r="43" spans="2:25" s="5" customFormat="1" ht="17.1" customHeight="1" thickBot="1" thickTop="1">
      <c r="B43" s="50"/>
      <c r="C43" s="126" t="s">
        <v>25</v>
      </c>
      <c r="D43" s="73" t="s">
        <v>371</v>
      </c>
      <c r="E43" s="126"/>
      <c r="F43" s="127"/>
      <c r="I43" s="4"/>
      <c r="J43" s="4"/>
      <c r="K43" s="4"/>
      <c r="L43" s="4"/>
      <c r="M43" s="4"/>
      <c r="N43" s="4"/>
      <c r="O43" s="4"/>
      <c r="P43" s="4"/>
      <c r="Q43" s="4"/>
      <c r="R43" s="434">
        <f>SUM(R20:R42)</f>
        <v>65799.864</v>
      </c>
      <c r="S43" s="435">
        <f>SUM(S20:S42)</f>
        <v>0</v>
      </c>
      <c r="T43" s="436">
        <f>SUM(T20:T42)</f>
        <v>18069.09</v>
      </c>
      <c r="U43" s="437">
        <f>SUM(U20:U42)</f>
        <v>0</v>
      </c>
      <c r="V43" s="437">
        <f>SUM(V20:V42)</f>
        <v>0</v>
      </c>
      <c r="X43" s="100">
        <f>ROUND(SUM(X20:X42),2)</f>
        <v>83868.95</v>
      </c>
      <c r="Y43" s="438"/>
    </row>
    <row r="44" spans="2:25" s="5" customFormat="1" ht="17.1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</row>
    <row r="45" spans="6:27" ht="17.1" customHeight="1" thickTop="1">
      <c r="F45" s="170"/>
      <c r="G45" s="170"/>
      <c r="H45" s="170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</row>
    <row r="46" spans="6:27" ht="17.1" customHeight="1">
      <c r="F46" s="170"/>
      <c r="G46" s="170"/>
      <c r="H46" s="170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</row>
    <row r="47" spans="6:27" ht="17.1" customHeight="1">
      <c r="F47" s="170"/>
      <c r="G47" s="170"/>
      <c r="H47" s="170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</row>
    <row r="48" spans="6:27" ht="17.1" customHeight="1">
      <c r="F48" s="170"/>
      <c r="G48" s="170"/>
      <c r="H48" s="170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</row>
    <row r="49" spans="6:27" ht="17.1" customHeight="1">
      <c r="F49" s="170"/>
      <c r="G49" s="170"/>
      <c r="H49" s="170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</row>
    <row r="50" spans="6:27" ht="17.1" customHeight="1">
      <c r="F50" s="170"/>
      <c r="G50" s="170"/>
      <c r="H50" s="170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</row>
    <row r="51" spans="6:27" ht="17.1" customHeight="1"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</row>
    <row r="52" spans="6:27" ht="17.1" customHeight="1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</row>
    <row r="53" spans="6:27" ht="17.1" customHeight="1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</row>
    <row r="54" spans="6:27" ht="17.1" customHeight="1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</row>
    <row r="55" spans="6:27" ht="17.1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</row>
    <row r="56" spans="6:27" ht="17.1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</row>
    <row r="57" spans="6:27" ht="17.1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</row>
    <row r="58" spans="6:27" ht="17.1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</row>
    <row r="59" spans="6:27" ht="17.1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</row>
    <row r="60" spans="6:27" ht="17.1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</row>
    <row r="61" spans="6:27" ht="17.1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</row>
    <row r="62" spans="6:27" ht="17.1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</row>
    <row r="63" spans="6:27" ht="17.1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</row>
    <row r="64" spans="6:27" ht="17.1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</row>
    <row r="65" spans="6:27" ht="17.1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</row>
    <row r="66" spans="6:27" ht="17.1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</row>
    <row r="67" spans="6:27" ht="17.1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</row>
    <row r="68" spans="6:27" ht="17.1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</row>
    <row r="69" spans="6:27" ht="17.1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</row>
    <row r="70" spans="6:27" ht="17.1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</row>
    <row r="71" spans="6:27" ht="17.1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</row>
    <row r="72" spans="6:27" ht="17.1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</row>
    <row r="73" spans="6:27" ht="17.1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</row>
    <row r="74" spans="6:27" ht="17.1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</row>
    <row r="75" spans="6:27" ht="17.1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</row>
    <row r="76" spans="6:27" ht="17.1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</row>
    <row r="77" spans="6:27" ht="17.1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</row>
    <row r="78" spans="6:27" ht="17.1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</row>
    <row r="79" spans="6:27" ht="17.1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</row>
    <row r="80" spans="6:27" ht="17.1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</row>
    <row r="81" spans="6:27" ht="17.1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</row>
    <row r="82" spans="6:27" ht="17.1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</row>
    <row r="83" spans="6:27" ht="17.1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</row>
    <row r="84" spans="6:27" ht="17.1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</row>
    <row r="85" spans="6:27" ht="17.1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</row>
    <row r="86" spans="6:27" ht="17.1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</row>
    <row r="87" spans="6:27" ht="17.1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</row>
    <row r="88" spans="6:27" ht="17.1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</row>
    <row r="89" spans="6:27" ht="17.1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</row>
    <row r="90" spans="6:27" ht="17.1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</row>
    <row r="91" spans="6:27" ht="17.1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</row>
    <row r="92" spans="6:27" ht="17.1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</row>
    <row r="93" spans="6:27" ht="17.1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</row>
    <row r="94" spans="6:27" ht="17.1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</row>
    <row r="95" spans="6:27" ht="17.1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</row>
    <row r="96" spans="6:27" ht="17.1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</row>
    <row r="97" spans="6:27" ht="17.1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</row>
    <row r="98" spans="6:27" ht="17.1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</row>
    <row r="99" spans="6:27" ht="17.1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</row>
    <row r="100" spans="6:27" ht="17.1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</row>
    <row r="101" spans="6:27" ht="17.1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</row>
    <row r="102" spans="6:27" ht="17.1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</row>
    <row r="103" spans="6:27" ht="17.1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</row>
    <row r="104" spans="6:27" ht="17.1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</row>
    <row r="105" spans="6:27" ht="17.1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</row>
    <row r="106" spans="6:27" ht="17.1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</row>
    <row r="107" spans="6:27" ht="17.1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</row>
    <row r="108" spans="6:27" ht="17.1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</row>
    <row r="109" spans="6:27" ht="17.1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</row>
    <row r="110" spans="6:27" ht="17.1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</row>
    <row r="111" spans="6:27" ht="17.1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</row>
    <row r="112" spans="6:27" ht="17.1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</row>
    <row r="113" spans="6:27" ht="17.1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</row>
    <row r="114" spans="6:27" ht="17.1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</row>
    <row r="115" spans="6:27" ht="17.1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</row>
    <row r="116" spans="6:27" ht="17.1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</row>
    <row r="117" spans="6:27" ht="17.1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</row>
    <row r="118" spans="6:27" ht="17.1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</row>
    <row r="119" spans="6:27" ht="17.1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</row>
    <row r="120" spans="6:27" ht="17.1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</row>
    <row r="121" spans="6:27" ht="17.1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</row>
    <row r="122" spans="6:27" ht="17.1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</row>
    <row r="123" spans="6:27" ht="17.1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</row>
    <row r="124" spans="6:27" ht="17.1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</row>
    <row r="125" spans="6:27" ht="17.1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</row>
    <row r="126" spans="6:27" ht="17.1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</row>
    <row r="127" spans="6:27" ht="17.1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</row>
    <row r="128" spans="6:27" ht="17.1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</row>
    <row r="129" spans="6:27" ht="17.1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</row>
    <row r="130" spans="6:27" ht="17.1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</row>
    <row r="131" spans="6:27" ht="17.1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</row>
    <row r="132" spans="6:27" ht="17.1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</row>
    <row r="133" spans="6:27" ht="17.1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</row>
    <row r="134" spans="6:27" ht="17.1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</row>
    <row r="135" spans="6:27" ht="17.1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</row>
    <row r="136" spans="6:27" ht="17.1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</row>
    <row r="137" spans="6:27" ht="17.1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</row>
    <row r="138" spans="6:27" ht="17.1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</row>
    <row r="139" spans="6:27" ht="17.1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</row>
    <row r="140" spans="6:27" ht="17.1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</row>
    <row r="141" spans="6:27" ht="17.1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</row>
    <row r="142" spans="6:27" ht="17.1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</row>
    <row r="143" spans="6:27" ht="17.1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</row>
    <row r="144" spans="6:27" ht="17.1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</row>
    <row r="145" spans="6:27" ht="17.1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</row>
    <row r="146" spans="6:27" ht="17.1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</row>
    <row r="147" spans="6:27" ht="17.1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</row>
    <row r="148" spans="6:27" ht="17.1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</row>
    <row r="149" spans="6:27" ht="17.1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</row>
    <row r="150" spans="6:27" ht="17.1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</row>
    <row r="151" spans="6:27" ht="17.1" customHeight="1"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</row>
    <row r="152" spans="6:27" ht="17.1" customHeight="1">
      <c r="F152" s="168"/>
      <c r="G152" s="168"/>
      <c r="H152" s="168"/>
      <c r="Z152" s="168"/>
      <c r="AA152" s="168"/>
    </row>
    <row r="153" spans="6:8" ht="17.1" customHeight="1">
      <c r="F153" s="168"/>
      <c r="G153" s="168"/>
      <c r="H153" s="168"/>
    </row>
    <row r="154" spans="6:8" ht="17.1" customHeight="1">
      <c r="F154" s="168"/>
      <c r="G154" s="168"/>
      <c r="H154" s="168"/>
    </row>
    <row r="155" spans="6:8" ht="17.1" customHeight="1">
      <c r="F155" s="168"/>
      <c r="G155" s="168"/>
      <c r="H155" s="168"/>
    </row>
    <row r="156" spans="6:8" ht="17.1" customHeight="1">
      <c r="F156" s="168"/>
      <c r="G156" s="168"/>
      <c r="H156" s="168"/>
    </row>
    <row r="157" spans="6:8" ht="17.1" customHeight="1">
      <c r="F157" s="168"/>
      <c r="G157" s="168"/>
      <c r="H157" s="168"/>
    </row>
    <row r="158" ht="17.1" customHeight="1"/>
    <row r="159" ht="17.1" customHeight="1"/>
    <row r="160" ht="17.1" customHeight="1"/>
    <row r="161" ht="17.1" customHeight="1"/>
    <row r="162" ht="17.1" customHeight="1"/>
    <row r="163" ht="17.1" customHeight="1"/>
    <row r="164" ht="17.1" customHeight="1"/>
    <row r="165" ht="17.1" customHeight="1"/>
    <row r="166" ht="17.1" customHeight="1"/>
    <row r="167" ht="17.1" customHeight="1"/>
    <row r="168" ht="17.1" customHeight="1"/>
    <row r="169" ht="17.1" customHeight="1"/>
    <row r="170" ht="17.1" customHeight="1"/>
    <row r="171" ht="17.1" customHeight="1"/>
    <row r="172" ht="17.1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15745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76200</xdr:colOff>
                    <xdr:row>41</xdr:row>
                    <xdr:rowOff>200025</xdr:rowOff>
                  </from>
                  <to>
                    <xdr:col>2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3">
    <pageSetUpPr fitToPage="1"/>
  </sheetPr>
  <dimension ref="A1:AG64"/>
  <sheetViews>
    <sheetView zoomScale="50" zoomScaleNormal="50" workbookViewId="0" topLeftCell="A1">
      <selection activeCell="A48" sqref="A48"/>
    </sheetView>
  </sheetViews>
  <sheetFormatPr defaultColWidth="11.421875" defaultRowHeight="12.75"/>
  <cols>
    <col min="1" max="1" width="29.57421875" style="0" customWidth="1"/>
    <col min="2" max="2" width="19.1406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421875" style="0" customWidth="1"/>
    <col min="8" max="8" width="8.7109375" style="0" hidden="1" customWidth="1"/>
    <col min="9" max="9" width="11.00390625" style="0" hidden="1" customWidth="1"/>
    <col min="10" max="10" width="18.7109375" style="0" customWidth="1"/>
    <col min="11" max="11" width="21.2812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9" width="12.140625" style="0" hidden="1" customWidth="1"/>
    <col min="20" max="27" width="8.421875" style="0" hidden="1" customWidth="1"/>
    <col min="28" max="28" width="9.7109375" style="0" customWidth="1"/>
    <col min="29" max="29" width="21.00390625" style="0" customWidth="1"/>
    <col min="30" max="30" width="19.14062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39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45" customFormat="1" ht="30.75">
      <c r="A3" s="442"/>
      <c r="B3" s="443" t="str">
        <f>'TOT-0116'!B2</f>
        <v>ANEXO II al Memorándum D.T.E.E. N° 231 / 2017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AB3" s="444"/>
      <c r="AC3" s="444"/>
      <c r="AD3" s="444"/>
    </row>
    <row r="4" spans="1:2" s="25" customFormat="1" ht="11.25">
      <c r="A4" s="670" t="s">
        <v>2</v>
      </c>
      <c r="B4" s="671"/>
    </row>
    <row r="5" spans="1:2" s="25" customFormat="1" ht="12" thickBot="1">
      <c r="A5" s="670" t="s">
        <v>3</v>
      </c>
      <c r="B5" s="670"/>
    </row>
    <row r="6" spans="1:30" ht="17.1" customHeight="1" thickTop="1">
      <c r="A6" s="5"/>
      <c r="B6" s="69"/>
      <c r="C6" s="70"/>
      <c r="D6" s="70"/>
      <c r="E6" s="189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169"/>
      <c r="X6" s="169"/>
      <c r="Y6" s="169"/>
      <c r="Z6" s="169"/>
      <c r="AA6" s="169"/>
      <c r="AB6" s="169"/>
      <c r="AC6" s="169"/>
      <c r="AD6" s="94"/>
    </row>
    <row r="7" spans="1:30" ht="20.25">
      <c r="A7" s="5"/>
      <c r="B7" s="50"/>
      <c r="C7" s="4"/>
      <c r="D7" s="167" t="s">
        <v>92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7.1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67" t="s">
        <v>93</v>
      </c>
      <c r="E9" s="43"/>
      <c r="F9" s="43"/>
      <c r="G9" s="43"/>
      <c r="H9" s="43"/>
      <c r="N9" s="43"/>
      <c r="O9" s="43"/>
      <c r="P9" s="190"/>
      <c r="Q9" s="190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191"/>
    </row>
    <row r="10" spans="1:30" ht="17.1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67" t="s">
        <v>472</v>
      </c>
      <c r="E11" s="43"/>
      <c r="F11" s="43"/>
      <c r="G11" s="43"/>
      <c r="H11" s="43"/>
      <c r="N11" s="43"/>
      <c r="O11" s="43"/>
      <c r="P11" s="190"/>
      <c r="Q11" s="190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191"/>
    </row>
    <row r="12" spans="1:30" ht="17.1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 ca="1">DATO!F14</f>
        <v>Desde el 01 al 31 de enero de 2016</v>
      </c>
      <c r="C13" s="38"/>
      <c r="D13" s="40"/>
      <c r="E13" s="40"/>
      <c r="F13" s="40"/>
      <c r="G13" s="40"/>
      <c r="H13" s="40"/>
      <c r="I13" s="41"/>
      <c r="J13" s="16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5"/>
      <c r="V13" s="125"/>
      <c r="W13"/>
      <c r="X13" s="446"/>
      <c r="Y13" s="446"/>
      <c r="Z13" s="446"/>
      <c r="AA13" s="446"/>
      <c r="AB13" s="125"/>
      <c r="AC13" s="165"/>
      <c r="AD13" s="42"/>
    </row>
    <row r="14" spans="1:30" ht="17.1" customHeight="1">
      <c r="A14" s="5"/>
      <c r="B14" s="50"/>
      <c r="C14" s="4"/>
      <c r="D14" s="4"/>
      <c r="E14" s="66"/>
      <c r="F14" s="66"/>
      <c r="G14" s="4"/>
      <c r="H14" s="4"/>
      <c r="I14" s="4"/>
      <c r="J14" s="447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7.1" customHeight="1">
      <c r="A15" s="5"/>
      <c r="B15" s="50"/>
      <c r="C15" s="4"/>
      <c r="D15" s="4"/>
      <c r="E15" s="66"/>
      <c r="F15" s="66"/>
      <c r="G15" s="4"/>
      <c r="H15" s="4"/>
      <c r="I15" s="138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7.1" customHeight="1">
      <c r="A16" s="5"/>
      <c r="B16" s="50"/>
      <c r="C16" s="4"/>
      <c r="D16" s="4"/>
      <c r="E16" s="66"/>
      <c r="F16" s="66"/>
      <c r="G16" s="4"/>
      <c r="H16" s="4"/>
      <c r="I16" s="138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7.1" customHeight="1">
      <c r="A17" s="5"/>
      <c r="B17" s="50"/>
      <c r="C17" s="156" t="s">
        <v>94</v>
      </c>
      <c r="D17" s="54" t="s">
        <v>95</v>
      </c>
      <c r="E17" s="66"/>
      <c r="F17" s="66"/>
      <c r="G17" s="4"/>
      <c r="H17" s="4"/>
      <c r="I17" s="4"/>
      <c r="J17" s="447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7.1" customHeight="1">
      <c r="B18" s="448"/>
      <c r="C18" s="33"/>
      <c r="D18" s="449"/>
      <c r="E18" s="450"/>
      <c r="F18" s="451"/>
      <c r="G18" s="33"/>
      <c r="H18" s="33"/>
      <c r="I18" s="33"/>
      <c r="J18" s="452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453"/>
    </row>
    <row r="19" spans="2:30" s="32" customFormat="1" ht="17.1" customHeight="1">
      <c r="B19" s="448"/>
      <c r="C19" s="33"/>
      <c r="D19" s="454" t="s">
        <v>96</v>
      </c>
      <c r="F19" s="455">
        <v>506.119</v>
      </c>
      <c r="G19" s="454" t="s">
        <v>97</v>
      </c>
      <c r="H19" s="33"/>
      <c r="I19" s="33"/>
      <c r="J19" s="456"/>
      <c r="K19" s="457" t="s">
        <v>40</v>
      </c>
      <c r="L19" s="458">
        <v>0.04</v>
      </c>
      <c r="R19" s="33"/>
      <c r="S19" s="33"/>
      <c r="T19" s="33"/>
      <c r="U19" s="33"/>
      <c r="V19" s="33"/>
      <c r="W19"/>
      <c r="AD19" s="453"/>
    </row>
    <row r="20" spans="2:30" s="32" customFormat="1" ht="17.1" customHeight="1">
      <c r="B20" s="448"/>
      <c r="C20" s="33"/>
      <c r="D20" s="454" t="s">
        <v>112</v>
      </c>
      <c r="F20" s="455">
        <v>1.391</v>
      </c>
      <c r="G20" s="454" t="s">
        <v>113</v>
      </c>
      <c r="H20" s="33"/>
      <c r="I20" s="33"/>
      <c r="J20" s="33"/>
      <c r="K20" s="449" t="s">
        <v>38</v>
      </c>
      <c r="L20" s="33">
        <f ca="1">MID(B13,16,2)*24</f>
        <v>744</v>
      </c>
      <c r="M20" s="33" t="s">
        <v>39</v>
      </c>
      <c r="N20" s="33"/>
      <c r="O20" s="33"/>
      <c r="P20" s="672"/>
      <c r="Q20" s="33"/>
      <c r="R20" s="33"/>
      <c r="S20" s="33"/>
      <c r="T20" s="33"/>
      <c r="U20" s="33"/>
      <c r="V20" s="33"/>
      <c r="W20"/>
      <c r="AD20" s="453"/>
    </row>
    <row r="21" spans="2:30" s="32" customFormat="1" ht="17.1" customHeight="1">
      <c r="B21" s="448"/>
      <c r="C21" s="33"/>
      <c r="D21" s="454"/>
      <c r="F21" s="455"/>
      <c r="G21" s="454"/>
      <c r="H21" s="33"/>
      <c r="I21" s="33"/>
      <c r="J21" s="33"/>
      <c r="K21" s="195"/>
      <c r="L21" s="196"/>
      <c r="M21" s="33"/>
      <c r="N21" s="33"/>
      <c r="O21" s="33"/>
      <c r="P21" s="672"/>
      <c r="Q21" s="33"/>
      <c r="R21" s="33"/>
      <c r="S21" s="33"/>
      <c r="T21" s="33"/>
      <c r="U21" s="33"/>
      <c r="V21" s="33"/>
      <c r="W21"/>
      <c r="AD21" s="453"/>
    </row>
    <row r="22" spans="2:30" s="32" customFormat="1" ht="17.1" customHeight="1">
      <c r="B22" s="448"/>
      <c r="C22" s="33"/>
      <c r="D22" s="454"/>
      <c r="F22" s="455"/>
      <c r="G22" s="454"/>
      <c r="H22" s="33"/>
      <c r="I22" s="33"/>
      <c r="J22" s="33"/>
      <c r="K22" s="195"/>
      <c r="L22" s="196"/>
      <c r="M22" s="33"/>
      <c r="N22" s="33"/>
      <c r="O22" s="33"/>
      <c r="P22" s="672"/>
      <c r="Q22" s="33"/>
      <c r="R22" s="33"/>
      <c r="S22" s="33"/>
      <c r="T22" s="33"/>
      <c r="U22" s="33"/>
      <c r="V22" s="33"/>
      <c r="W22"/>
      <c r="AD22" s="453"/>
    </row>
    <row r="23" spans="2:30" s="32" customFormat="1" ht="8.25" customHeight="1">
      <c r="B23" s="448"/>
      <c r="C23" s="33"/>
      <c r="D23" s="33"/>
      <c r="E23" s="46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/>
      <c r="AD23" s="453"/>
    </row>
    <row r="24" spans="1:30" ht="17.1" customHeight="1">
      <c r="A24" s="5"/>
      <c r="B24" s="50"/>
      <c r="C24" s="156" t="s">
        <v>98</v>
      </c>
      <c r="D24" s="3" t="s">
        <v>136</v>
      </c>
      <c r="I24" s="4"/>
      <c r="J24" s="32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7"/>
    </row>
    <row r="25" spans="1:30" ht="10.5" customHeight="1" thickBot="1">
      <c r="A25" s="5"/>
      <c r="B25" s="50"/>
      <c r="C25" s="66"/>
      <c r="D25" s="3"/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2:30" s="32" customFormat="1" ht="17.1" customHeight="1" thickBot="1" thickTop="1">
      <c r="B26" s="448"/>
      <c r="C26" s="451"/>
      <c r="D26"/>
      <c r="E26"/>
      <c r="F26"/>
      <c r="G26"/>
      <c r="H26"/>
      <c r="I26"/>
      <c r="J26" s="461" t="s">
        <v>45</v>
      </c>
      <c r="K26" s="462">
        <f ca="1">L19*AC55</f>
        <v>75356.11109760002</v>
      </c>
      <c r="L26"/>
      <c r="S26"/>
      <c r="T26"/>
      <c r="U26"/>
      <c r="W26"/>
      <c r="AD26" s="453"/>
    </row>
    <row r="27" spans="2:30" s="32" customFormat="1" ht="11.25" customHeight="1" thickTop="1">
      <c r="B27" s="448"/>
      <c r="C27" s="451"/>
      <c r="D27" s="33"/>
      <c r="E27" s="460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/>
      <c r="W27"/>
      <c r="AD27" s="453"/>
    </row>
    <row r="28" spans="1:30" ht="17.1" customHeight="1">
      <c r="A28" s="5"/>
      <c r="B28" s="50"/>
      <c r="C28" s="156" t="s">
        <v>99</v>
      </c>
      <c r="D28" s="3" t="s">
        <v>137</v>
      </c>
      <c r="E28" s="19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7"/>
    </row>
    <row r="29" spans="1:30" ht="21.75" customHeight="1" thickBot="1">
      <c r="A29" s="5"/>
      <c r="B29" s="50"/>
      <c r="C29" s="4"/>
      <c r="D29" s="4"/>
      <c r="E29" s="19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2:31" s="5" customFormat="1" ht="33.95" customHeight="1" thickBot="1" thickTop="1">
      <c r="B30" s="50"/>
      <c r="C30" s="84" t="s">
        <v>13</v>
      </c>
      <c r="D30" s="198" t="s">
        <v>0</v>
      </c>
      <c r="E30" s="171" t="s">
        <v>14</v>
      </c>
      <c r="F30" s="87" t="s">
        <v>15</v>
      </c>
      <c r="G30" s="199" t="s">
        <v>71</v>
      </c>
      <c r="H30" s="200" t="s">
        <v>37</v>
      </c>
      <c r="I30" s="134" t="s">
        <v>16</v>
      </c>
      <c r="J30" s="85" t="s">
        <v>17</v>
      </c>
      <c r="K30" s="172" t="s">
        <v>18</v>
      </c>
      <c r="L30" s="88" t="s">
        <v>36</v>
      </c>
      <c r="M30" s="86" t="s">
        <v>31</v>
      </c>
      <c r="N30" s="88" t="s">
        <v>100</v>
      </c>
      <c r="O30" s="88" t="s">
        <v>58</v>
      </c>
      <c r="P30" s="172" t="s">
        <v>59</v>
      </c>
      <c r="Q30" s="85" t="s">
        <v>32</v>
      </c>
      <c r="R30" s="136" t="s">
        <v>20</v>
      </c>
      <c r="S30" s="463" t="s">
        <v>21</v>
      </c>
      <c r="T30" s="464" t="s">
        <v>72</v>
      </c>
      <c r="U30" s="465"/>
      <c r="V30" s="466"/>
      <c r="W30" s="467" t="s">
        <v>101</v>
      </c>
      <c r="X30" s="468"/>
      <c r="Y30" s="469"/>
      <c r="Z30" s="470" t="s">
        <v>22</v>
      </c>
      <c r="AA30" s="471" t="s">
        <v>23</v>
      </c>
      <c r="AB30" s="89" t="s">
        <v>74</v>
      </c>
      <c r="AC30" s="121" t="s">
        <v>24</v>
      </c>
      <c r="AD30" s="206"/>
      <c r="AE30"/>
    </row>
    <row r="31" spans="1:30" ht="17.1" customHeight="1" thickTop="1">
      <c r="A31" s="5"/>
      <c r="B31" s="50"/>
      <c r="C31" s="7"/>
      <c r="D31" s="472"/>
      <c r="E31" s="473"/>
      <c r="F31" s="474"/>
      <c r="G31" s="475"/>
      <c r="H31" s="476"/>
      <c r="I31" s="477"/>
      <c r="J31" s="478"/>
      <c r="K31" s="479"/>
      <c r="L31" s="7"/>
      <c r="M31" s="7"/>
      <c r="N31" s="178"/>
      <c r="O31" s="178"/>
      <c r="P31" s="7"/>
      <c r="Q31" s="175"/>
      <c r="R31" s="480"/>
      <c r="S31" s="481"/>
      <c r="T31" s="482"/>
      <c r="U31" s="483"/>
      <c r="V31" s="484"/>
      <c r="W31" s="485"/>
      <c r="X31" s="486"/>
      <c r="Y31" s="487"/>
      <c r="Z31" s="488"/>
      <c r="AA31" s="489"/>
      <c r="AB31" s="490"/>
      <c r="AC31" s="491"/>
      <c r="AD31" s="17"/>
    </row>
    <row r="32" spans="1:30" ht="17.1" customHeight="1">
      <c r="A32" s="5"/>
      <c r="B32" s="50"/>
      <c r="C32" s="750" t="s">
        <v>200</v>
      </c>
      <c r="D32" s="706" t="s">
        <v>411</v>
      </c>
      <c r="E32" s="707">
        <v>500</v>
      </c>
      <c r="F32" s="748">
        <v>354</v>
      </c>
      <c r="G32" s="707" t="s">
        <v>306</v>
      </c>
      <c r="H32" s="494">
        <f>IF(G32="A",200,IF(G32="B",60,20))</f>
        <v>200</v>
      </c>
      <c r="I32" s="495">
        <f>IF(F32&gt;100,F32,100)*$F$19/100</f>
        <v>1791.66126</v>
      </c>
      <c r="J32" s="698">
        <v>42384.07361111111</v>
      </c>
      <c r="K32" s="699">
        <v>42384.10833333333</v>
      </c>
      <c r="L32" s="497">
        <f>IF(D32="","",(K32-J32)*24)</f>
        <v>0.8333333332557231</v>
      </c>
      <c r="M32" s="366">
        <f>IF(D32="","",ROUND((K32-J32)*24*60,0))</f>
        <v>50</v>
      </c>
      <c r="N32" s="498" t="s">
        <v>308</v>
      </c>
      <c r="O32" s="499" t="str">
        <f>IF(D32="","","--")</f>
        <v>--</v>
      </c>
      <c r="P32" s="217" t="str">
        <f>IF(D32="","","NO")</f>
        <v>NO</v>
      </c>
      <c r="Q32" s="217" t="str">
        <f>IF(D32="","",IF(OR(N32="P",N32="RP"),"--","NO"))</f>
        <v>NO</v>
      </c>
      <c r="R32" s="500" t="str">
        <f>IF(N32="P",+I32*H32*ROUND(M32/60,2)/100,"--")</f>
        <v>--</v>
      </c>
      <c r="S32" s="501" t="str">
        <f>IF(N32="RP",I32*H32*ROUND(M32/60,2)*0.01*O32/100,"--")</f>
        <v>--</v>
      </c>
      <c r="T32" s="502">
        <f>IF(AND(N32="F",Q32="NO"),IF(P32="SI",1.2,1)*I32*H32,"--")</f>
        <v>358332.25200000004</v>
      </c>
      <c r="U32" s="503">
        <f>IF(AND(M32&gt;10,N32="F"),IF(M32&lt;=300,ROUND(M32/60,2),5)*I32*H32*IF(P32="SI",1.2,1),"--")</f>
        <v>297415.76915999997</v>
      </c>
      <c r="V32" s="504" t="str">
        <f>IF(AND(N32="F",M32&gt;300),IF(P32="SI",1.2,1)*(ROUND(M32/60,2)-5)*I32*H32*0.1,"--")</f>
        <v>--</v>
      </c>
      <c r="W32" s="505" t="str">
        <f>IF(AND(N32="R",Q32="NO"),IF(P32="SI",1.2,1)*I32*H32*O32/100,"--")</f>
        <v>--</v>
      </c>
      <c r="X32" s="506" t="str">
        <f>IF(AND(M32&gt;10,N32="R"),IF(M32&lt;=300,ROUND(M32/60,2),5)*I32*H32*O32/100*IF(P32="SI",1.2,1),"--")</f>
        <v>--</v>
      </c>
      <c r="Y32" s="507" t="str">
        <f>IF(AND(N32="R",M32&gt;300),IF(P32="SI",1.2,1)*(ROUND(M32/60,2)-5)*I32*H32*O32/100*0.1,"--")</f>
        <v>--</v>
      </c>
      <c r="Z32" s="508" t="str">
        <f>IF(N32="RF",IF(P32="SI",1.2,1)*ROUND(M32/60,2)*I32*H32*0.1,"--")</f>
        <v>--</v>
      </c>
      <c r="AA32" s="509" t="str">
        <f>IF(N32="RR",IF(P32="SI",1.2,1)*ROUND(M32/60,2)*I32*H32*O32/100*0.1,"--")</f>
        <v>--</v>
      </c>
      <c r="AB32" s="510" t="str">
        <f>IF(D32="","","SI")</f>
        <v>SI</v>
      </c>
      <c r="AC32" s="16">
        <f>IF(D32="","",SUM(R32:AA32)*IF(AB32="SI",1,2))</f>
        <v>655748.02116</v>
      </c>
      <c r="AD32" s="17"/>
    </row>
    <row r="33" spans="1:30" ht="17.1" customHeight="1">
      <c r="A33" s="5"/>
      <c r="B33" s="50"/>
      <c r="C33" s="750" t="s">
        <v>201</v>
      </c>
      <c r="D33" s="706" t="s">
        <v>411</v>
      </c>
      <c r="E33" s="707">
        <v>500</v>
      </c>
      <c r="F33" s="748">
        <v>354</v>
      </c>
      <c r="G33" s="707" t="s">
        <v>306</v>
      </c>
      <c r="H33" s="494">
        <f>IF(G33="A",200,IF(G33="B",60,20))</f>
        <v>200</v>
      </c>
      <c r="I33" s="495">
        <f>IF(F33&gt;100,F33,100)*$F$19/100</f>
        <v>1791.66126</v>
      </c>
      <c r="J33" s="698">
        <v>42392.32361111111</v>
      </c>
      <c r="K33" s="699">
        <v>42392.71875</v>
      </c>
      <c r="L33" s="497">
        <f>IF(D33="","",(K33-J33)*24)</f>
        <v>9.483333333337214</v>
      </c>
      <c r="M33" s="366">
        <f>IF(D33="","",ROUND((K33-J33)*24*60,0))</f>
        <v>569</v>
      </c>
      <c r="N33" s="498" t="s">
        <v>304</v>
      </c>
      <c r="O33" s="499" t="str">
        <f>IF(D33="","","--")</f>
        <v>--</v>
      </c>
      <c r="P33" s="217" t="str">
        <f>IF(D33="","","NO")</f>
        <v>NO</v>
      </c>
      <c r="Q33" s="217" t="str">
        <f>IF(D33="","",IF(OR(N33="P",N33="RP"),"--","NO"))</f>
        <v>--</v>
      </c>
      <c r="R33" s="500">
        <f>IF(N33="P",+I33*H33*ROUND(M33/60,2)/100,"--")</f>
        <v>33969.89748960001</v>
      </c>
      <c r="S33" s="501" t="str">
        <f>IF(N33="RP",I33*H33*ROUND(M33/60,2)*0.01*O33/100,"--")</f>
        <v>--</v>
      </c>
      <c r="T33" s="502" t="str">
        <f>IF(AND(N33="F",Q33="NO"),IF(P33="SI",1.2,1)*I33*H33,"--")</f>
        <v>--</v>
      </c>
      <c r="U33" s="503" t="str">
        <f>IF(AND(M33&gt;10,N33="F"),IF(M33&lt;=300,ROUND(M33/60,2),5)*I33*H33*IF(P33="SI",1.2,1),"--")</f>
        <v>--</v>
      </c>
      <c r="V33" s="504" t="str">
        <f>IF(AND(N33="F",M33&gt;300),IF(P33="SI",1.2,1)*(ROUND(M33/60,2)-5)*I33*H33*0.1,"--")</f>
        <v>--</v>
      </c>
      <c r="W33" s="505" t="str">
        <f>IF(AND(N33="R",Q33="NO"),IF(P33="SI",1.2,1)*I33*H33*O33/100,"--")</f>
        <v>--</v>
      </c>
      <c r="X33" s="506" t="str">
        <f>IF(AND(M33&gt;10,N33="R"),IF(M33&lt;=300,ROUND(M33/60,2),5)*I33*H33*O33/100*IF(P33="SI",1.2,1),"--")</f>
        <v>--</v>
      </c>
      <c r="Y33" s="507" t="str">
        <f>IF(AND(N33="R",M33&gt;300),IF(P33="SI",1.2,1)*(ROUND(M33/60,2)-5)*I33*H33*O33/100*0.1,"--")</f>
        <v>--</v>
      </c>
      <c r="Z33" s="508" t="str">
        <f>IF(N33="RF",IF(P33="SI",1.2,1)*ROUND(M33/60,2)*I33*H33*0.1,"--")</f>
        <v>--</v>
      </c>
      <c r="AA33" s="509" t="str">
        <f>IF(N33="RR",IF(P33="SI",1.2,1)*ROUND(M33/60,2)*I33*H33*O33/100*0.1,"--")</f>
        <v>--</v>
      </c>
      <c r="AB33" s="510" t="str">
        <f>IF(D33="","","SI")</f>
        <v>SI</v>
      </c>
      <c r="AC33" s="16">
        <f>IF(D33="","",SUM(R33:AA33)*IF(AB33="SI",1,2))</f>
        <v>33969.89748960001</v>
      </c>
      <c r="AD33" s="17"/>
    </row>
    <row r="34" spans="1:30" ht="17.1" customHeight="1" thickBot="1">
      <c r="A34" s="32"/>
      <c r="B34" s="50"/>
      <c r="C34" s="588"/>
      <c r="D34" s="511"/>
      <c r="E34" s="512"/>
      <c r="F34" s="513"/>
      <c r="G34" s="514"/>
      <c r="H34" s="515"/>
      <c r="I34" s="516"/>
      <c r="J34" s="517"/>
      <c r="K34" s="517"/>
      <c r="L34" s="9"/>
      <c r="M34" s="9"/>
      <c r="N34" s="9"/>
      <c r="O34" s="518"/>
      <c r="P34" s="9"/>
      <c r="Q34" s="9"/>
      <c r="R34" s="519"/>
      <c r="S34" s="520"/>
      <c r="T34" s="521"/>
      <c r="U34" s="522"/>
      <c r="V34" s="523"/>
      <c r="W34" s="524"/>
      <c r="X34" s="525"/>
      <c r="Y34" s="526"/>
      <c r="Z34" s="527"/>
      <c r="AA34" s="528"/>
      <c r="AB34" s="529"/>
      <c r="AC34" s="530"/>
      <c r="AD34" s="223"/>
    </row>
    <row r="35" spans="1:30" ht="17.1" customHeight="1" thickBot="1" thickTop="1">
      <c r="A35" s="32"/>
      <c r="B35" s="50"/>
      <c r="C35" s="451"/>
      <c r="D35" s="451"/>
      <c r="E35" s="531"/>
      <c r="F35" s="460"/>
      <c r="G35" s="532"/>
      <c r="H35" s="532"/>
      <c r="I35" s="533"/>
      <c r="J35" s="533"/>
      <c r="K35" s="533"/>
      <c r="L35" s="533"/>
      <c r="M35" s="533"/>
      <c r="N35" s="533"/>
      <c r="O35" s="534"/>
      <c r="P35" s="533"/>
      <c r="Q35" s="533"/>
      <c r="R35" s="535">
        <f aca="true" t="shared" si="0" ref="R35:AA35">SUM(R31:R34)</f>
        <v>33969.89748960001</v>
      </c>
      <c r="S35" s="536">
        <f t="shared" si="0"/>
        <v>0</v>
      </c>
      <c r="T35" s="537">
        <f t="shared" si="0"/>
        <v>358332.25200000004</v>
      </c>
      <c r="U35" s="537">
        <f t="shared" si="0"/>
        <v>297415.76915999997</v>
      </c>
      <c r="V35" s="537">
        <f t="shared" si="0"/>
        <v>0</v>
      </c>
      <c r="W35" s="538">
        <f t="shared" si="0"/>
        <v>0</v>
      </c>
      <c r="X35" s="538">
        <f t="shared" si="0"/>
        <v>0</v>
      </c>
      <c r="Y35" s="538">
        <f t="shared" si="0"/>
        <v>0</v>
      </c>
      <c r="Z35" s="539">
        <f t="shared" si="0"/>
        <v>0</v>
      </c>
      <c r="AA35" s="540">
        <f t="shared" si="0"/>
        <v>0</v>
      </c>
      <c r="AB35" s="541"/>
      <c r="AC35" s="542">
        <f>SUM(AC31:AC34)</f>
        <v>689717.9186496</v>
      </c>
      <c r="AD35" s="223"/>
    </row>
    <row r="36" spans="1:30" ht="13.5" customHeight="1" thickBot="1" thickTop="1">
      <c r="A36" s="32"/>
      <c r="B36" s="50"/>
      <c r="C36" s="451"/>
      <c r="D36" s="451"/>
      <c r="E36" s="531"/>
      <c r="F36" s="460"/>
      <c r="G36" s="532"/>
      <c r="H36" s="532"/>
      <c r="I36" s="533"/>
      <c r="J36" s="533"/>
      <c r="K36" s="533"/>
      <c r="L36" s="533"/>
      <c r="M36" s="533"/>
      <c r="N36" s="533"/>
      <c r="O36" s="534"/>
      <c r="P36" s="533"/>
      <c r="Q36" s="533"/>
      <c r="R36" s="543"/>
      <c r="S36" s="544"/>
      <c r="T36" s="545"/>
      <c r="U36" s="545"/>
      <c r="V36" s="545"/>
      <c r="W36" s="543"/>
      <c r="X36" s="543"/>
      <c r="Y36" s="543"/>
      <c r="Z36" s="543"/>
      <c r="AA36" s="543"/>
      <c r="AB36" s="546"/>
      <c r="AC36" s="547"/>
      <c r="AD36" s="223"/>
    </row>
    <row r="37" spans="1:33" s="5" customFormat="1" ht="33.95" customHeight="1" thickBot="1" thickTop="1">
      <c r="A37" s="90"/>
      <c r="B37" s="95"/>
      <c r="C37" s="122" t="s">
        <v>13</v>
      </c>
      <c r="D37" s="119" t="s">
        <v>27</v>
      </c>
      <c r="E37" s="118" t="s">
        <v>28</v>
      </c>
      <c r="F37" s="120" t="s">
        <v>29</v>
      </c>
      <c r="G37" s="121" t="s">
        <v>14</v>
      </c>
      <c r="H37" s="128" t="s">
        <v>16</v>
      </c>
      <c r="I37" s="548"/>
      <c r="J37" s="118" t="s">
        <v>17</v>
      </c>
      <c r="K37" s="118" t="s">
        <v>18</v>
      </c>
      <c r="L37" s="119" t="s">
        <v>30</v>
      </c>
      <c r="M37" s="119" t="s">
        <v>31</v>
      </c>
      <c r="N37" s="88" t="s">
        <v>102</v>
      </c>
      <c r="O37" s="118" t="s">
        <v>32</v>
      </c>
      <c r="P37" s="549" t="s">
        <v>33</v>
      </c>
      <c r="Q37" s="550"/>
      <c r="R37" s="128" t="s">
        <v>34</v>
      </c>
      <c r="S37" s="551" t="s">
        <v>20</v>
      </c>
      <c r="T37" s="552" t="s">
        <v>103</v>
      </c>
      <c r="U37" s="553"/>
      <c r="V37" s="554" t="s">
        <v>22</v>
      </c>
      <c r="W37" s="555"/>
      <c r="X37" s="556"/>
      <c r="Y37" s="556"/>
      <c r="Z37" s="556"/>
      <c r="AA37" s="557"/>
      <c r="AB37" s="131" t="s">
        <v>74</v>
      </c>
      <c r="AC37" s="121" t="s">
        <v>24</v>
      </c>
      <c r="AD37" s="17"/>
      <c r="AF37"/>
      <c r="AG37"/>
    </row>
    <row r="38" spans="1:30" ht="17.1" customHeight="1" thickTop="1">
      <c r="A38" s="5"/>
      <c r="B38" s="50"/>
      <c r="C38" s="7"/>
      <c r="D38" s="10"/>
      <c r="E38" s="10"/>
      <c r="F38" s="10"/>
      <c r="G38" s="558"/>
      <c r="H38" s="559"/>
      <c r="I38" s="560"/>
      <c r="J38" s="10"/>
      <c r="K38" s="10"/>
      <c r="L38" s="10"/>
      <c r="M38" s="10"/>
      <c r="N38" s="10"/>
      <c r="O38" s="561"/>
      <c r="P38" s="562"/>
      <c r="Q38" s="563"/>
      <c r="R38" s="132"/>
      <c r="S38" s="564"/>
      <c r="T38" s="565"/>
      <c r="U38" s="566"/>
      <c r="V38" s="567"/>
      <c r="W38" s="568"/>
      <c r="X38" s="569"/>
      <c r="Y38" s="569"/>
      <c r="Z38" s="569"/>
      <c r="AA38" s="570"/>
      <c r="AB38" s="561"/>
      <c r="AC38" s="571"/>
      <c r="AD38" s="17"/>
    </row>
    <row r="39" spans="1:30" ht="17.1" customHeight="1">
      <c r="A39" s="5"/>
      <c r="B39" s="50"/>
      <c r="C39" s="750" t="s">
        <v>200</v>
      </c>
      <c r="D39" s="270"/>
      <c r="E39" s="270"/>
      <c r="F39" s="270"/>
      <c r="G39" s="271"/>
      <c r="H39" s="576">
        <f>F39*$F$20</f>
        <v>0</v>
      </c>
      <c r="I39" s="577"/>
      <c r="J39" s="578"/>
      <c r="K39" s="578"/>
      <c r="L39" s="288" t="str">
        <f>IF(D39="","",(K39-J39)*24)</f>
        <v/>
      </c>
      <c r="M39" s="14" t="str">
        <f>IF(D39="","",(K39-J39)*24*60)</f>
        <v/>
      </c>
      <c r="N39" s="13"/>
      <c r="O39" s="8" t="str">
        <f>IF(D39="","",IF(OR(N39="P",N39="RP"),"--","NO"))</f>
        <v/>
      </c>
      <c r="P39" s="579" t="str">
        <f>IF(D39="","","NO")</f>
        <v/>
      </c>
      <c r="Q39" s="580"/>
      <c r="R39" s="581">
        <f>200*IF(P39="SI",1,0.1)*IF(N39="P",0.1,1)</f>
        <v>20</v>
      </c>
      <c r="S39" s="582" t="str">
        <f>IF(N39="P",H39*R39*ROUND(M39/60,2),"--")</f>
        <v>--</v>
      </c>
      <c r="T39" s="583" t="str">
        <f>IF(AND(N39="F",O39="NO"),H39*R39,"--")</f>
        <v>--</v>
      </c>
      <c r="U39" s="584" t="str">
        <f>IF(N39="F",H39*R39*ROUND(M39/60,2),"--")</f>
        <v>--</v>
      </c>
      <c r="V39" s="360" t="str">
        <f>IF(N39="RF",H39*R39*ROUND(M39/60,2),"--")</f>
        <v>--</v>
      </c>
      <c r="W39" s="585"/>
      <c r="X39" s="586"/>
      <c r="Y39" s="586"/>
      <c r="Z39" s="586"/>
      <c r="AA39" s="587"/>
      <c r="AB39" s="298" t="str">
        <f>IF(D39="","","SI")</f>
        <v/>
      </c>
      <c r="AC39" s="299" t="str">
        <f>IF(D39="","",SUM(S39:V39)*IF(AB39="SI",1,2))</f>
        <v/>
      </c>
      <c r="AD39" s="17"/>
    </row>
    <row r="40" spans="1:30" ht="17.1" customHeight="1">
      <c r="A40" s="5"/>
      <c r="B40" s="50"/>
      <c r="C40" s="750" t="s">
        <v>201</v>
      </c>
      <c r="D40" s="572"/>
      <c r="E40" s="573"/>
      <c r="F40" s="574"/>
      <c r="G40" s="575"/>
      <c r="H40" s="576">
        <f>F40*$F$20</f>
        <v>0</v>
      </c>
      <c r="I40" s="577"/>
      <c r="J40" s="578"/>
      <c r="K40" s="578"/>
      <c r="L40" s="288" t="str">
        <f>IF(D40="","",(K40-J40)*24)</f>
        <v/>
      </c>
      <c r="M40" s="14" t="str">
        <f>IF(D40="","",(K40-J40)*24*60)</f>
        <v/>
      </c>
      <c r="N40" s="13"/>
      <c r="O40" s="8" t="str">
        <f>IF(D40="","",IF(OR(N40="P",N40="RP"),"--","NO"))</f>
        <v/>
      </c>
      <c r="P40" s="579" t="str">
        <f>IF(D40="","","NO")</f>
        <v/>
      </c>
      <c r="Q40" s="580"/>
      <c r="R40" s="581">
        <f>200*IF(P40="SI",1,0.1)*IF(N40="P",0.1,1)</f>
        <v>20</v>
      </c>
      <c r="S40" s="582" t="str">
        <f>IF(N40="P",H40*R40*ROUND(M40/60,2),"--")</f>
        <v>--</v>
      </c>
      <c r="T40" s="583" t="str">
        <f>IF(AND(N40="F",O40="NO"),H40*R40,"--")</f>
        <v>--</v>
      </c>
      <c r="U40" s="584" t="str">
        <f>IF(N40="F",H40*R40*ROUND(M40/60,2),"--")</f>
        <v>--</v>
      </c>
      <c r="V40" s="360" t="str">
        <f>IF(N40="RF",H40*R40*ROUND(M40/60,2),"--")</f>
        <v>--</v>
      </c>
      <c r="W40" s="585"/>
      <c r="X40" s="586"/>
      <c r="Y40" s="586"/>
      <c r="Z40" s="586"/>
      <c r="AA40" s="587"/>
      <c r="AB40" s="298" t="str">
        <f>IF(D40="","","SI")</f>
        <v/>
      </c>
      <c r="AC40" s="299" t="str">
        <f>IF(D40="","",SUM(S40:V40)*IF(AB40="SI",1,2))</f>
        <v/>
      </c>
      <c r="AD40" s="17"/>
    </row>
    <row r="41" spans="1:30" ht="17.1" customHeight="1" thickBot="1">
      <c r="A41" s="32"/>
      <c r="B41" s="50"/>
      <c r="C41" s="588"/>
      <c r="D41" s="589"/>
      <c r="E41" s="590"/>
      <c r="F41" s="591"/>
      <c r="G41" s="592"/>
      <c r="H41" s="593"/>
      <c r="I41" s="594"/>
      <c r="J41" s="595"/>
      <c r="K41" s="596"/>
      <c r="L41" s="597"/>
      <c r="M41" s="598"/>
      <c r="N41" s="599"/>
      <c r="O41" s="9"/>
      <c r="P41" s="600"/>
      <c r="Q41" s="601"/>
      <c r="R41" s="602"/>
      <c r="S41" s="603"/>
      <c r="T41" s="604"/>
      <c r="U41" s="605"/>
      <c r="V41" s="606"/>
      <c r="W41" s="607"/>
      <c r="X41" s="608"/>
      <c r="Y41" s="608"/>
      <c r="Z41" s="608"/>
      <c r="AA41" s="609"/>
      <c r="AB41" s="610"/>
      <c r="AC41" s="611"/>
      <c r="AD41" s="223"/>
    </row>
    <row r="42" spans="1:30" ht="17.1" customHeight="1" thickBot="1" thickTop="1">
      <c r="A42" s="32"/>
      <c r="B42" s="50"/>
      <c r="C42" s="98"/>
      <c r="D42" s="197"/>
      <c r="E42" s="197"/>
      <c r="F42" s="391"/>
      <c r="G42" s="612"/>
      <c r="H42" s="2896"/>
      <c r="I42" s="2897"/>
      <c r="J42" s="2902"/>
      <c r="K42" s="2903"/>
      <c r="L42" s="615"/>
      <c r="M42" s="616"/>
      <c r="N42" s="613"/>
      <c r="O42" s="186"/>
      <c r="P42" s="621"/>
      <c r="Q42" s="621"/>
      <c r="R42" s="2898"/>
      <c r="S42" s="2899"/>
      <c r="T42" s="2900"/>
      <c r="U42" s="2900"/>
      <c r="V42" s="2901"/>
      <c r="W42" s="812"/>
      <c r="X42" s="812"/>
      <c r="Y42" s="812"/>
      <c r="Z42" s="812"/>
      <c r="AA42" s="812"/>
      <c r="AB42" s="187"/>
      <c r="AC42" s="542">
        <f>SUM(AC38:AC41)</f>
        <v>0</v>
      </c>
      <c r="AD42" s="223"/>
    </row>
    <row r="43" spans="1:30" ht="17.1" customHeight="1" thickBot="1" thickTop="1">
      <c r="A43" s="32"/>
      <c r="B43" s="50"/>
      <c r="C43" s="98"/>
      <c r="D43" s="197"/>
      <c r="E43" s="197"/>
      <c r="F43" s="391"/>
      <c r="G43" s="612"/>
      <c r="H43" s="613"/>
      <c r="I43" s="614"/>
      <c r="J43" s="461" t="s">
        <v>42</v>
      </c>
      <c r="K43" s="462">
        <f>AC35+AC42</f>
        <v>689717.9186496</v>
      </c>
      <c r="L43" s="616"/>
      <c r="M43" s="613"/>
      <c r="N43" s="620"/>
      <c r="O43" s="621"/>
      <c r="P43" s="617"/>
      <c r="Q43" s="618"/>
      <c r="R43" s="619"/>
      <c r="S43" s="619"/>
      <c r="T43" s="619"/>
      <c r="U43" s="187"/>
      <c r="V43" s="187"/>
      <c r="W43" s="187"/>
      <c r="X43" s="187"/>
      <c r="Y43" s="187"/>
      <c r="Z43" s="187"/>
      <c r="AA43" s="187"/>
      <c r="AB43" s="187"/>
      <c r="AC43" s="622"/>
      <c r="AD43" s="223"/>
    </row>
    <row r="44" spans="1:30" ht="13.5" customHeight="1" thickTop="1">
      <c r="A44" s="32"/>
      <c r="B44" s="448"/>
      <c r="C44" s="451"/>
      <c r="D44" s="623"/>
      <c r="E44" s="624"/>
      <c r="F44" s="625"/>
      <c r="G44" s="626"/>
      <c r="H44" s="626"/>
      <c r="I44" s="624"/>
      <c r="J44" s="439"/>
      <c r="K44" s="439"/>
      <c r="L44" s="624"/>
      <c r="M44" s="624"/>
      <c r="N44" s="624"/>
      <c r="O44" s="627"/>
      <c r="P44" s="624"/>
      <c r="Q44" s="624"/>
      <c r="R44" s="628"/>
      <c r="S44" s="629"/>
      <c r="T44" s="629"/>
      <c r="U44" s="630"/>
      <c r="AC44" s="630"/>
      <c r="AD44" s="631"/>
    </row>
    <row r="45" spans="1:30" ht="17.1" customHeight="1">
      <c r="A45" s="32"/>
      <c r="B45" s="448"/>
      <c r="C45" s="632" t="s">
        <v>104</v>
      </c>
      <c r="D45" s="633" t="s">
        <v>138</v>
      </c>
      <c r="E45" s="624"/>
      <c r="F45" s="625"/>
      <c r="G45" s="626"/>
      <c r="H45" s="626"/>
      <c r="I45" s="624"/>
      <c r="J45" s="439"/>
      <c r="K45" s="439"/>
      <c r="L45" s="624"/>
      <c r="M45" s="624"/>
      <c r="N45" s="624"/>
      <c r="O45" s="627"/>
      <c r="P45" s="624"/>
      <c r="Q45" s="624"/>
      <c r="R45" s="628"/>
      <c r="S45" s="629"/>
      <c r="T45" s="629"/>
      <c r="U45" s="630"/>
      <c r="AC45" s="630"/>
      <c r="AD45" s="631"/>
    </row>
    <row r="46" spans="1:30" ht="17.1" customHeight="1">
      <c r="A46" s="32"/>
      <c r="B46" s="448"/>
      <c r="C46" s="632"/>
      <c r="D46" s="623"/>
      <c r="E46" s="624"/>
      <c r="F46" s="625"/>
      <c r="G46" s="626"/>
      <c r="H46" s="626"/>
      <c r="I46" s="624"/>
      <c r="J46" s="439"/>
      <c r="K46" s="439"/>
      <c r="L46" s="624"/>
      <c r="M46" s="624"/>
      <c r="N46" s="624"/>
      <c r="O46" s="627"/>
      <c r="P46" s="624"/>
      <c r="Q46" s="624"/>
      <c r="R46" s="624"/>
      <c r="S46" s="628"/>
      <c r="T46" s="629"/>
      <c r="AD46" s="631"/>
    </row>
    <row r="47" spans="2:30" s="32" customFormat="1" ht="17.1" customHeight="1">
      <c r="B47" s="448"/>
      <c r="C47" s="451"/>
      <c r="D47" s="634" t="s">
        <v>0</v>
      </c>
      <c r="E47" s="533" t="s">
        <v>105</v>
      </c>
      <c r="F47" s="533" t="s">
        <v>43</v>
      </c>
      <c r="G47" s="635" t="s">
        <v>139</v>
      </c>
      <c r="H47" s="534"/>
      <c r="I47" s="533"/>
      <c r="J47"/>
      <c r="K47"/>
      <c r="L47" s="636" t="s">
        <v>140</v>
      </c>
      <c r="M47"/>
      <c r="N47"/>
      <c r="O47"/>
      <c r="P47"/>
      <c r="Q47" s="639"/>
      <c r="R47" s="639"/>
      <c r="S47" s="33"/>
      <c r="T47"/>
      <c r="U47"/>
      <c r="V47"/>
      <c r="W47"/>
      <c r="X47" s="33"/>
      <c r="Y47" s="33"/>
      <c r="Z47" s="33"/>
      <c r="AA47" s="33"/>
      <c r="AB47" s="33"/>
      <c r="AD47" s="631"/>
    </row>
    <row r="48" spans="2:30" s="32" customFormat="1" ht="17.1" customHeight="1">
      <c r="B48" s="448"/>
      <c r="C48" s="451"/>
      <c r="D48" s="533" t="s">
        <v>454</v>
      </c>
      <c r="E48" s="640">
        <v>354</v>
      </c>
      <c r="F48" s="640">
        <v>500</v>
      </c>
      <c r="G48" s="641">
        <f ca="1">E48*$F$19*$L$20/100</f>
        <v>1332995.9774400003</v>
      </c>
      <c r="H48" s="641"/>
      <c r="I48" s="641"/>
      <c r="J48" s="165"/>
      <c r="K48"/>
      <c r="L48" s="642">
        <v>85200</v>
      </c>
      <c r="M48" s="165"/>
      <c r="N48" s="643" t="str">
        <f ca="1">"(DTE "&amp;DATO!$G$14&amp;DATO!$H$14&amp;")"</f>
        <v>(DTE 0116)</v>
      </c>
      <c r="O48"/>
      <c r="P48"/>
      <c r="Q48" s="639"/>
      <c r="R48" s="639"/>
      <c r="S48" s="33"/>
      <c r="T48"/>
      <c r="U48"/>
      <c r="V48"/>
      <c r="W48"/>
      <c r="X48" s="33"/>
      <c r="Y48" s="33"/>
      <c r="Z48" s="33"/>
      <c r="AA48" s="33"/>
      <c r="AB48" s="644"/>
      <c r="AC48" s="459">
        <f ca="1">L48+G48</f>
        <v>1418195.9774400003</v>
      </c>
      <c r="AD48" s="631"/>
    </row>
    <row r="49" spans="2:30" s="32" customFormat="1" ht="17.1" customHeight="1">
      <c r="B49" s="448"/>
      <c r="C49" s="451"/>
      <c r="D49" s="645"/>
      <c r="E49" s="640"/>
      <c r="F49" s="640"/>
      <c r="G49" s="641"/>
      <c r="H49" s="645"/>
      <c r="I49" s="646"/>
      <c r="J49" s="165"/>
      <c r="K49"/>
      <c r="L49" s="641"/>
      <c r="M49" s="165"/>
      <c r="N49" s="643"/>
      <c r="O49" s="647"/>
      <c r="P49"/>
      <c r="Q49" s="639"/>
      <c r="R49" s="639"/>
      <c r="S49" s="33"/>
      <c r="T49"/>
      <c r="U49"/>
      <c r="V49"/>
      <c r="W49"/>
      <c r="X49" s="33"/>
      <c r="Y49" s="33"/>
      <c r="Z49" s="33"/>
      <c r="AA49" s="33"/>
      <c r="AB49" s="33"/>
      <c r="AC49" s="459"/>
      <c r="AD49" s="631"/>
    </row>
    <row r="50" spans="2:30" s="32" customFormat="1" ht="17.1" customHeight="1">
      <c r="B50" s="448"/>
      <c r="C50" s="451"/>
      <c r="E50" s="456"/>
      <c r="F50" s="533"/>
      <c r="G50" s="534"/>
      <c r="H50"/>
      <c r="I50" s="533"/>
      <c r="J50" s="533"/>
      <c r="K50"/>
      <c r="L50" s="459"/>
      <c r="M50" s="638"/>
      <c r="N50" s="638"/>
      <c r="O50" s="639"/>
      <c r="P50" s="639"/>
      <c r="Q50" s="639"/>
      <c r="R50" s="639"/>
      <c r="S50" s="33"/>
      <c r="T50"/>
      <c r="U50"/>
      <c r="V50"/>
      <c r="W50"/>
      <c r="X50" s="33"/>
      <c r="Y50" s="33"/>
      <c r="Z50" s="33"/>
      <c r="AA50" s="33"/>
      <c r="AB50" s="33"/>
      <c r="AC50" s="459"/>
      <c r="AD50" s="631"/>
    </row>
    <row r="51" spans="1:30" ht="17.1" customHeight="1">
      <c r="A51" s="32"/>
      <c r="B51" s="448"/>
      <c r="C51" s="451"/>
      <c r="D51" s="634" t="s">
        <v>119</v>
      </c>
      <c r="E51" s="533" t="s">
        <v>120</v>
      </c>
      <c r="F51" s="533" t="s">
        <v>43</v>
      </c>
      <c r="G51" s="635" t="s">
        <v>143</v>
      </c>
      <c r="I51" s="637"/>
      <c r="J51" s="533"/>
      <c r="L51" s="636" t="s">
        <v>141</v>
      </c>
      <c r="M51" s="637"/>
      <c r="N51" s="638"/>
      <c r="O51" s="639"/>
      <c r="P51" s="639"/>
      <c r="Q51" s="639"/>
      <c r="R51" s="639"/>
      <c r="S51" s="639"/>
      <c r="AC51" s="459"/>
      <c r="AD51" s="631"/>
    </row>
    <row r="52" spans="1:30" ht="17.1" customHeight="1">
      <c r="A52" s="32"/>
      <c r="B52" s="448"/>
      <c r="C52" s="451"/>
      <c r="D52" s="533" t="s">
        <v>231</v>
      </c>
      <c r="E52" s="640">
        <v>450</v>
      </c>
      <c r="F52" s="640" t="s">
        <v>230</v>
      </c>
      <c r="G52" s="641">
        <f ca="1">E52*F20*L20</f>
        <v>465706.80000000005</v>
      </c>
      <c r="H52" s="165"/>
      <c r="I52" s="165"/>
      <c r="J52" s="642"/>
      <c r="L52" s="641">
        <v>0</v>
      </c>
      <c r="M52" s="165"/>
      <c r="N52" s="643" t="str">
        <f ca="1">"(DTE "&amp;DATO!$G$14&amp;DATO!$H$14&amp;")"</f>
        <v>(DTE 0116)</v>
      </c>
      <c r="O52" s="673"/>
      <c r="P52" s="673"/>
      <c r="Q52" s="673"/>
      <c r="R52" s="673"/>
      <c r="S52" s="673"/>
      <c r="AC52" s="674">
        <f ca="1">G52</f>
        <v>465706.80000000005</v>
      </c>
      <c r="AD52" s="631"/>
    </row>
    <row r="53" spans="1:30" ht="17.1" customHeight="1">
      <c r="A53" s="32"/>
      <c r="B53" s="448"/>
      <c r="C53" s="451"/>
      <c r="D53" s="533"/>
      <c r="E53" s="640"/>
      <c r="F53" s="640"/>
      <c r="G53" s="641"/>
      <c r="H53" s="165"/>
      <c r="I53" s="165"/>
      <c r="J53" s="642"/>
      <c r="L53" s="642"/>
      <c r="M53" s="165"/>
      <c r="N53" s="643"/>
      <c r="O53" s="673"/>
      <c r="P53" s="673"/>
      <c r="Q53" s="673"/>
      <c r="R53" s="673"/>
      <c r="S53" s="673"/>
      <c r="AC53" s="675"/>
      <c r="AD53" s="631"/>
    </row>
    <row r="54" spans="1:30" ht="10.5" customHeight="1" thickBot="1">
      <c r="A54" s="32"/>
      <c r="B54" s="448"/>
      <c r="C54" s="451"/>
      <c r="D54" s="533"/>
      <c r="E54" s="640"/>
      <c r="F54" s="640"/>
      <c r="G54" s="641"/>
      <c r="H54" s="165"/>
      <c r="I54" s="165"/>
      <c r="J54" s="642"/>
      <c r="L54" s="642"/>
      <c r="M54" s="165"/>
      <c r="N54" s="643"/>
      <c r="O54" s="673"/>
      <c r="P54" s="673"/>
      <c r="Q54" s="673"/>
      <c r="R54" s="673"/>
      <c r="S54" s="673"/>
      <c r="AC54" s="674"/>
      <c r="AD54" s="631"/>
    </row>
    <row r="55" spans="1:30" ht="24" customHeight="1" thickBot="1" thickTop="1">
      <c r="A55" s="32"/>
      <c r="B55" s="448"/>
      <c r="C55" s="451"/>
      <c r="D55" s="439"/>
      <c r="E55" s="456"/>
      <c r="F55" s="533"/>
      <c r="G55" s="533"/>
      <c r="H55" s="534"/>
      <c r="J55" s="533"/>
      <c r="L55" s="648"/>
      <c r="M55" s="638"/>
      <c r="N55" s="638"/>
      <c r="O55" s="639"/>
      <c r="P55" s="639"/>
      <c r="Q55" s="639"/>
      <c r="R55" s="639"/>
      <c r="S55" s="639"/>
      <c r="AB55" s="663" t="s">
        <v>455</v>
      </c>
      <c r="AC55" s="664">
        <f ca="1">SUM(AC48:AC53)</f>
        <v>1883902.7774400003</v>
      </c>
      <c r="AD55" s="631"/>
    </row>
    <row r="56" spans="1:30" ht="13.5" customHeight="1" thickTop="1">
      <c r="A56" s="32"/>
      <c r="B56" s="448"/>
      <c r="C56" s="451"/>
      <c r="D56" s="439"/>
      <c r="E56" s="456"/>
      <c r="F56" s="533"/>
      <c r="G56" s="533"/>
      <c r="H56" s="534"/>
      <c r="J56" s="533"/>
      <c r="L56" s="648"/>
      <c r="M56" s="638"/>
      <c r="N56" s="638"/>
      <c r="O56" s="639"/>
      <c r="P56" s="639"/>
      <c r="Q56" s="639"/>
      <c r="R56" s="639"/>
      <c r="S56" s="639"/>
      <c r="AB56" s="3437"/>
      <c r="AC56" s="3438"/>
      <c r="AD56" s="631"/>
    </row>
    <row r="57" spans="2:30" ht="17.1" customHeight="1">
      <c r="B57" s="448"/>
      <c r="C57" s="632" t="s">
        <v>108</v>
      </c>
      <c r="D57" s="649" t="s">
        <v>109</v>
      </c>
      <c r="E57" s="533"/>
      <c r="F57" s="650"/>
      <c r="G57" s="532"/>
      <c r="H57" s="439"/>
      <c r="I57" s="439"/>
      <c r="J57" s="439"/>
      <c r="K57" s="533"/>
      <c r="L57" s="533"/>
      <c r="M57" s="439"/>
      <c r="N57" s="533"/>
      <c r="O57" s="439"/>
      <c r="P57" s="439"/>
      <c r="Q57" s="439"/>
      <c r="R57" s="439"/>
      <c r="S57" s="439"/>
      <c r="T57" s="439"/>
      <c r="U57" s="439"/>
      <c r="AB57" s="3439"/>
      <c r="AC57" s="3438"/>
      <c r="AD57" s="631"/>
    </row>
    <row r="58" spans="2:30" s="32" customFormat="1" ht="17.1" customHeight="1">
      <c r="B58" s="448"/>
      <c r="C58" s="451"/>
      <c r="D58" s="634" t="s">
        <v>110</v>
      </c>
      <c r="E58" s="651">
        <f ca="1">10*K43*K26/AC55</f>
        <v>275887.16745984</v>
      </c>
      <c r="G58" s="532"/>
      <c r="L58" s="533"/>
      <c r="N58" s="533"/>
      <c r="O58" s="534"/>
      <c r="V58"/>
      <c r="W58"/>
      <c r="AD58" s="631"/>
    </row>
    <row r="59" spans="2:30" s="32" customFormat="1" ht="17.1" customHeight="1">
      <c r="B59" s="448"/>
      <c r="C59" s="451"/>
      <c r="E59" s="652"/>
      <c r="F59" s="460"/>
      <c r="G59" s="532"/>
      <c r="J59" s="532"/>
      <c r="K59" s="547"/>
      <c r="L59" s="533"/>
      <c r="M59" s="533"/>
      <c r="N59" s="533"/>
      <c r="O59" s="534"/>
      <c r="P59" s="533"/>
      <c r="Q59" s="533"/>
      <c r="R59" s="546"/>
      <c r="S59" s="546"/>
      <c r="T59" s="546"/>
      <c r="U59" s="653"/>
      <c r="V59"/>
      <c r="W59"/>
      <c r="AC59" s="653"/>
      <c r="AD59" s="631"/>
    </row>
    <row r="60" spans="2:30" ht="17.1" customHeight="1">
      <c r="B60" s="448"/>
      <c r="C60" s="451"/>
      <c r="D60" s="654" t="s">
        <v>222</v>
      </c>
      <c r="E60" s="655"/>
      <c r="F60" s="460"/>
      <c r="G60" s="532"/>
      <c r="H60" s="439"/>
      <c r="I60" s="439"/>
      <c r="N60" s="533"/>
      <c r="O60" s="534"/>
      <c r="P60" s="533"/>
      <c r="Q60" s="533"/>
      <c r="R60" s="637"/>
      <c r="S60" s="637"/>
      <c r="T60" s="637"/>
      <c r="U60" s="638"/>
      <c r="AC60" s="638"/>
      <c r="AD60" s="631"/>
    </row>
    <row r="61" spans="2:30" ht="17.1" customHeight="1" thickBot="1">
      <c r="B61" s="448"/>
      <c r="C61" s="451"/>
      <c r="D61" s="654"/>
      <c r="E61" s="655"/>
      <c r="F61" s="460"/>
      <c r="G61" s="532"/>
      <c r="H61" s="439"/>
      <c r="I61" s="439"/>
      <c r="N61" s="533"/>
      <c r="O61" s="534"/>
      <c r="P61" s="533"/>
      <c r="Q61" s="533"/>
      <c r="R61" s="637"/>
      <c r="S61" s="637"/>
      <c r="T61" s="637"/>
      <c r="U61" s="638"/>
      <c r="AC61" s="638"/>
      <c r="AD61" s="631"/>
    </row>
    <row r="62" spans="2:30" s="656" customFormat="1" ht="24" thickBot="1" thickTop="1">
      <c r="B62" s="657"/>
      <c r="C62" s="658"/>
      <c r="D62" s="659"/>
      <c r="E62" s="660"/>
      <c r="F62" s="661"/>
      <c r="G62" s="662"/>
      <c r="I62"/>
      <c r="J62" s="663" t="s">
        <v>111</v>
      </c>
      <c r="K62" s="664">
        <f ca="1">IF(E58&gt;3*K26,K26*3,E58)</f>
        <v>226068.33329280006</v>
      </c>
      <c r="L62" s="754"/>
      <c r="M62"/>
      <c r="N62" s="533"/>
      <c r="O62" s="534"/>
      <c r="P62" s="665"/>
      <c r="Q62" s="665"/>
      <c r="R62" s="666"/>
      <c r="S62" s="666"/>
      <c r="T62" s="666"/>
      <c r="U62" s="667"/>
      <c r="V62"/>
      <c r="W62"/>
      <c r="AC62" s="667"/>
      <c r="AD62" s="668"/>
    </row>
    <row r="63" spans="2:30" ht="17.1" customHeight="1" thickBot="1" thickTop="1">
      <c r="B63" s="5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188"/>
      <c r="W63" s="188"/>
      <c r="X63" s="188"/>
      <c r="Y63" s="188"/>
      <c r="Z63" s="188"/>
      <c r="AA63" s="188"/>
      <c r="AB63" s="188"/>
      <c r="AC63" s="59"/>
      <c r="AD63" s="669"/>
    </row>
    <row r="64" spans="2:23" ht="17.1" customHeight="1" thickTop="1">
      <c r="B64" s="1"/>
      <c r="C64" s="73"/>
      <c r="W64" s="1"/>
    </row>
  </sheetData>
  <sheetProtection password="CC12"/>
  <printOptions horizontalCentered="1"/>
  <pageMargins left="0.3937007874015748" right="0.1968503937007874" top="0.5511811023622047" bottom="0.5118110236220472" header="0.31496062992125984" footer="0.2755905511811024"/>
  <pageSetup fitToHeight="1" fitToWidth="1" horizontalDpi="600" verticalDpi="600" orientation="landscape" paperSize="9" scale="48" r:id="rId4"/>
  <headerFooter alignWithMargins="0">
    <oddFooter>&amp;L&amp;"Times New Roman,Normal"&amp;8&amp;Z&amp;F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6">
    <pageSetUpPr fitToPage="1"/>
  </sheetPr>
  <dimension ref="A1:AG85"/>
  <sheetViews>
    <sheetView zoomScale="75" zoomScaleNormal="75" workbookViewId="0" topLeftCell="B45">
      <selection activeCell="A48" sqref="A48"/>
    </sheetView>
  </sheetViews>
  <sheetFormatPr defaultColWidth="11.421875" defaultRowHeight="12.75"/>
  <cols>
    <col min="1" max="1" width="21.28125" style="3120" customWidth="1"/>
    <col min="2" max="2" width="8.421875" style="3120" customWidth="1"/>
    <col min="3" max="3" width="4.7109375" style="3120" customWidth="1"/>
    <col min="4" max="4" width="25.00390625" style="3120" customWidth="1"/>
    <col min="5" max="5" width="24.421875" style="3120" customWidth="1"/>
    <col min="6" max="6" width="15.00390625" style="3120" customWidth="1"/>
    <col min="7" max="7" width="13.28125" style="3120" customWidth="1"/>
    <col min="8" max="8" width="9.8515625" style="3120" hidden="1" customWidth="1"/>
    <col min="9" max="9" width="8.28125" style="3120" hidden="1" customWidth="1"/>
    <col min="10" max="11" width="18.7109375" style="3120" customWidth="1"/>
    <col min="12" max="12" width="11.28125" style="3120" customWidth="1"/>
    <col min="13" max="13" width="10.7109375" style="3120" customWidth="1"/>
    <col min="14" max="14" width="9.7109375" style="3120" customWidth="1"/>
    <col min="15" max="15" width="10.57421875" style="3120" customWidth="1"/>
    <col min="16" max="16" width="8.421875" style="3120" customWidth="1"/>
    <col min="17" max="17" width="5.57421875" style="3120" customWidth="1"/>
    <col min="18" max="18" width="12.28125" style="3120" hidden="1" customWidth="1"/>
    <col min="19" max="19" width="13.140625" style="3120" hidden="1" customWidth="1"/>
    <col min="20" max="21" width="5.28125" style="3120" hidden="1" customWidth="1"/>
    <col min="22" max="23" width="12.28125" style="3120" hidden="1" customWidth="1"/>
    <col min="24" max="27" width="5.28125" style="3120" hidden="1" customWidth="1"/>
    <col min="28" max="28" width="9.7109375" style="3120" customWidth="1"/>
    <col min="29" max="29" width="21.00390625" style="3120" customWidth="1"/>
    <col min="30" max="30" width="6.421875" style="3120" customWidth="1"/>
    <col min="31" max="31" width="4.140625" style="3120" customWidth="1"/>
    <col min="32" max="32" width="7.140625" style="3120" customWidth="1"/>
    <col min="33" max="33" width="5.28125" style="3120" customWidth="1"/>
    <col min="34" max="34" width="5.421875" style="3120" customWidth="1"/>
    <col min="35" max="35" width="4.7109375" style="3120" customWidth="1"/>
    <col min="36" max="36" width="5.28125" style="3120" customWidth="1"/>
    <col min="37" max="38" width="13.28125" style="3120" customWidth="1"/>
    <col min="39" max="39" width="6.57421875" style="3120" customWidth="1"/>
    <col min="40" max="40" width="6.421875" style="3120" customWidth="1"/>
    <col min="41" max="44" width="11.421875" style="3120" customWidth="1"/>
    <col min="45" max="45" width="12.7109375" style="3120" customWidth="1"/>
    <col min="46" max="48" width="11.421875" style="3120" customWidth="1"/>
    <col min="49" max="49" width="21.00390625" style="3120" customWidth="1"/>
    <col min="50" max="256" width="11.421875" style="3120" customWidth="1"/>
    <col min="257" max="257" width="21.28125" style="3120" customWidth="1"/>
    <col min="258" max="258" width="8.421875" style="3120" customWidth="1"/>
    <col min="259" max="259" width="4.7109375" style="3120" customWidth="1"/>
    <col min="260" max="260" width="25.00390625" style="3120" customWidth="1"/>
    <col min="261" max="261" width="24.421875" style="3120" customWidth="1"/>
    <col min="262" max="262" width="15.00390625" style="3120" customWidth="1"/>
    <col min="263" max="263" width="13.28125" style="3120" customWidth="1"/>
    <col min="264" max="265" width="11.421875" style="3120" hidden="1" customWidth="1"/>
    <col min="266" max="267" width="18.7109375" style="3120" customWidth="1"/>
    <col min="268" max="268" width="11.28125" style="3120" customWidth="1"/>
    <col min="269" max="269" width="10.7109375" style="3120" customWidth="1"/>
    <col min="270" max="270" width="9.7109375" style="3120" customWidth="1"/>
    <col min="271" max="271" width="10.57421875" style="3120" customWidth="1"/>
    <col min="272" max="272" width="8.421875" style="3120" customWidth="1"/>
    <col min="273" max="273" width="5.57421875" style="3120" customWidth="1"/>
    <col min="274" max="283" width="11.421875" style="3120" hidden="1" customWidth="1"/>
    <col min="284" max="284" width="9.7109375" style="3120" customWidth="1"/>
    <col min="285" max="285" width="21.00390625" style="3120" customWidth="1"/>
    <col min="286" max="286" width="6.421875" style="3120" customWidth="1"/>
    <col min="287" max="287" width="4.140625" style="3120" customWidth="1"/>
    <col min="288" max="288" width="7.140625" style="3120" customWidth="1"/>
    <col min="289" max="289" width="5.28125" style="3120" customWidth="1"/>
    <col min="290" max="290" width="5.421875" style="3120" customWidth="1"/>
    <col min="291" max="291" width="4.7109375" style="3120" customWidth="1"/>
    <col min="292" max="292" width="5.28125" style="3120" customWidth="1"/>
    <col min="293" max="294" width="13.28125" style="3120" customWidth="1"/>
    <col min="295" max="295" width="6.57421875" style="3120" customWidth="1"/>
    <col min="296" max="296" width="6.421875" style="3120" customWidth="1"/>
    <col min="297" max="300" width="11.421875" style="3120" customWidth="1"/>
    <col min="301" max="301" width="12.7109375" style="3120" customWidth="1"/>
    <col min="302" max="304" width="11.421875" style="3120" customWidth="1"/>
    <col min="305" max="305" width="21.00390625" style="3120" customWidth="1"/>
    <col min="306" max="512" width="11.421875" style="3120" customWidth="1"/>
    <col min="513" max="513" width="21.28125" style="3120" customWidth="1"/>
    <col min="514" max="514" width="8.421875" style="3120" customWidth="1"/>
    <col min="515" max="515" width="4.7109375" style="3120" customWidth="1"/>
    <col min="516" max="516" width="25.00390625" style="3120" customWidth="1"/>
    <col min="517" max="517" width="24.421875" style="3120" customWidth="1"/>
    <col min="518" max="518" width="15.00390625" style="3120" customWidth="1"/>
    <col min="519" max="519" width="13.28125" style="3120" customWidth="1"/>
    <col min="520" max="521" width="11.421875" style="3120" hidden="1" customWidth="1"/>
    <col min="522" max="523" width="18.7109375" style="3120" customWidth="1"/>
    <col min="524" max="524" width="11.28125" style="3120" customWidth="1"/>
    <col min="525" max="525" width="10.7109375" style="3120" customWidth="1"/>
    <col min="526" max="526" width="9.7109375" style="3120" customWidth="1"/>
    <col min="527" max="527" width="10.57421875" style="3120" customWidth="1"/>
    <col min="528" max="528" width="8.421875" style="3120" customWidth="1"/>
    <col min="529" max="529" width="5.57421875" style="3120" customWidth="1"/>
    <col min="530" max="539" width="11.421875" style="3120" hidden="1" customWidth="1"/>
    <col min="540" max="540" width="9.7109375" style="3120" customWidth="1"/>
    <col min="541" max="541" width="21.00390625" style="3120" customWidth="1"/>
    <col min="542" max="542" width="6.421875" style="3120" customWidth="1"/>
    <col min="543" max="543" width="4.140625" style="3120" customWidth="1"/>
    <col min="544" max="544" width="7.140625" style="3120" customWidth="1"/>
    <col min="545" max="545" width="5.28125" style="3120" customWidth="1"/>
    <col min="546" max="546" width="5.421875" style="3120" customWidth="1"/>
    <col min="547" max="547" width="4.7109375" style="3120" customWidth="1"/>
    <col min="548" max="548" width="5.28125" style="3120" customWidth="1"/>
    <col min="549" max="550" width="13.28125" style="3120" customWidth="1"/>
    <col min="551" max="551" width="6.57421875" style="3120" customWidth="1"/>
    <col min="552" max="552" width="6.421875" style="3120" customWidth="1"/>
    <col min="553" max="556" width="11.421875" style="3120" customWidth="1"/>
    <col min="557" max="557" width="12.7109375" style="3120" customWidth="1"/>
    <col min="558" max="560" width="11.421875" style="3120" customWidth="1"/>
    <col min="561" max="561" width="21.00390625" style="3120" customWidth="1"/>
    <col min="562" max="768" width="11.421875" style="3120" customWidth="1"/>
    <col min="769" max="769" width="21.28125" style="3120" customWidth="1"/>
    <col min="770" max="770" width="8.421875" style="3120" customWidth="1"/>
    <col min="771" max="771" width="4.7109375" style="3120" customWidth="1"/>
    <col min="772" max="772" width="25.00390625" style="3120" customWidth="1"/>
    <col min="773" max="773" width="24.421875" style="3120" customWidth="1"/>
    <col min="774" max="774" width="15.00390625" style="3120" customWidth="1"/>
    <col min="775" max="775" width="13.28125" style="3120" customWidth="1"/>
    <col min="776" max="777" width="11.421875" style="3120" hidden="1" customWidth="1"/>
    <col min="778" max="779" width="18.7109375" style="3120" customWidth="1"/>
    <col min="780" max="780" width="11.28125" style="3120" customWidth="1"/>
    <col min="781" max="781" width="10.7109375" style="3120" customWidth="1"/>
    <col min="782" max="782" width="9.7109375" style="3120" customWidth="1"/>
    <col min="783" max="783" width="10.57421875" style="3120" customWidth="1"/>
    <col min="784" max="784" width="8.421875" style="3120" customWidth="1"/>
    <col min="785" max="785" width="5.57421875" style="3120" customWidth="1"/>
    <col min="786" max="795" width="11.421875" style="3120" hidden="1" customWidth="1"/>
    <col min="796" max="796" width="9.7109375" style="3120" customWidth="1"/>
    <col min="797" max="797" width="21.00390625" style="3120" customWidth="1"/>
    <col min="798" max="798" width="6.421875" style="3120" customWidth="1"/>
    <col min="799" max="799" width="4.140625" style="3120" customWidth="1"/>
    <col min="800" max="800" width="7.140625" style="3120" customWidth="1"/>
    <col min="801" max="801" width="5.28125" style="3120" customWidth="1"/>
    <col min="802" max="802" width="5.421875" style="3120" customWidth="1"/>
    <col min="803" max="803" width="4.7109375" style="3120" customWidth="1"/>
    <col min="804" max="804" width="5.28125" style="3120" customWidth="1"/>
    <col min="805" max="806" width="13.28125" style="3120" customWidth="1"/>
    <col min="807" max="807" width="6.57421875" style="3120" customWidth="1"/>
    <col min="808" max="808" width="6.421875" style="3120" customWidth="1"/>
    <col min="809" max="812" width="11.421875" style="3120" customWidth="1"/>
    <col min="813" max="813" width="12.7109375" style="3120" customWidth="1"/>
    <col min="814" max="816" width="11.421875" style="3120" customWidth="1"/>
    <col min="817" max="817" width="21.00390625" style="3120" customWidth="1"/>
    <col min="818" max="1024" width="11.421875" style="3120" customWidth="1"/>
    <col min="1025" max="1025" width="21.28125" style="3120" customWidth="1"/>
    <col min="1026" max="1026" width="8.421875" style="3120" customWidth="1"/>
    <col min="1027" max="1027" width="4.7109375" style="3120" customWidth="1"/>
    <col min="1028" max="1028" width="25.00390625" style="3120" customWidth="1"/>
    <col min="1029" max="1029" width="24.421875" style="3120" customWidth="1"/>
    <col min="1030" max="1030" width="15.00390625" style="3120" customWidth="1"/>
    <col min="1031" max="1031" width="13.28125" style="3120" customWidth="1"/>
    <col min="1032" max="1033" width="11.421875" style="3120" hidden="1" customWidth="1"/>
    <col min="1034" max="1035" width="18.7109375" style="3120" customWidth="1"/>
    <col min="1036" max="1036" width="11.28125" style="3120" customWidth="1"/>
    <col min="1037" max="1037" width="10.7109375" style="3120" customWidth="1"/>
    <col min="1038" max="1038" width="9.7109375" style="3120" customWidth="1"/>
    <col min="1039" max="1039" width="10.57421875" style="3120" customWidth="1"/>
    <col min="1040" max="1040" width="8.421875" style="3120" customWidth="1"/>
    <col min="1041" max="1041" width="5.57421875" style="3120" customWidth="1"/>
    <col min="1042" max="1051" width="11.421875" style="3120" hidden="1" customWidth="1"/>
    <col min="1052" max="1052" width="9.7109375" style="3120" customWidth="1"/>
    <col min="1053" max="1053" width="21.00390625" style="3120" customWidth="1"/>
    <col min="1054" max="1054" width="6.421875" style="3120" customWidth="1"/>
    <col min="1055" max="1055" width="4.140625" style="3120" customWidth="1"/>
    <col min="1056" max="1056" width="7.140625" style="3120" customWidth="1"/>
    <col min="1057" max="1057" width="5.28125" style="3120" customWidth="1"/>
    <col min="1058" max="1058" width="5.421875" style="3120" customWidth="1"/>
    <col min="1059" max="1059" width="4.7109375" style="3120" customWidth="1"/>
    <col min="1060" max="1060" width="5.28125" style="3120" customWidth="1"/>
    <col min="1061" max="1062" width="13.28125" style="3120" customWidth="1"/>
    <col min="1063" max="1063" width="6.57421875" style="3120" customWidth="1"/>
    <col min="1064" max="1064" width="6.421875" style="3120" customWidth="1"/>
    <col min="1065" max="1068" width="11.421875" style="3120" customWidth="1"/>
    <col min="1069" max="1069" width="12.7109375" style="3120" customWidth="1"/>
    <col min="1070" max="1072" width="11.421875" style="3120" customWidth="1"/>
    <col min="1073" max="1073" width="21.00390625" style="3120" customWidth="1"/>
    <col min="1074" max="1280" width="11.421875" style="3120" customWidth="1"/>
    <col min="1281" max="1281" width="21.28125" style="3120" customWidth="1"/>
    <col min="1282" max="1282" width="8.421875" style="3120" customWidth="1"/>
    <col min="1283" max="1283" width="4.7109375" style="3120" customWidth="1"/>
    <col min="1284" max="1284" width="25.00390625" style="3120" customWidth="1"/>
    <col min="1285" max="1285" width="24.421875" style="3120" customWidth="1"/>
    <col min="1286" max="1286" width="15.00390625" style="3120" customWidth="1"/>
    <col min="1287" max="1287" width="13.28125" style="3120" customWidth="1"/>
    <col min="1288" max="1289" width="11.421875" style="3120" hidden="1" customWidth="1"/>
    <col min="1290" max="1291" width="18.7109375" style="3120" customWidth="1"/>
    <col min="1292" max="1292" width="11.28125" style="3120" customWidth="1"/>
    <col min="1293" max="1293" width="10.7109375" style="3120" customWidth="1"/>
    <col min="1294" max="1294" width="9.7109375" style="3120" customWidth="1"/>
    <col min="1295" max="1295" width="10.57421875" style="3120" customWidth="1"/>
    <col min="1296" max="1296" width="8.421875" style="3120" customWidth="1"/>
    <col min="1297" max="1297" width="5.57421875" style="3120" customWidth="1"/>
    <col min="1298" max="1307" width="11.421875" style="3120" hidden="1" customWidth="1"/>
    <col min="1308" max="1308" width="9.7109375" style="3120" customWidth="1"/>
    <col min="1309" max="1309" width="21.00390625" style="3120" customWidth="1"/>
    <col min="1310" max="1310" width="6.421875" style="3120" customWidth="1"/>
    <col min="1311" max="1311" width="4.140625" style="3120" customWidth="1"/>
    <col min="1312" max="1312" width="7.140625" style="3120" customWidth="1"/>
    <col min="1313" max="1313" width="5.28125" style="3120" customWidth="1"/>
    <col min="1314" max="1314" width="5.421875" style="3120" customWidth="1"/>
    <col min="1315" max="1315" width="4.7109375" style="3120" customWidth="1"/>
    <col min="1316" max="1316" width="5.28125" style="3120" customWidth="1"/>
    <col min="1317" max="1318" width="13.28125" style="3120" customWidth="1"/>
    <col min="1319" max="1319" width="6.57421875" style="3120" customWidth="1"/>
    <col min="1320" max="1320" width="6.421875" style="3120" customWidth="1"/>
    <col min="1321" max="1324" width="11.421875" style="3120" customWidth="1"/>
    <col min="1325" max="1325" width="12.7109375" style="3120" customWidth="1"/>
    <col min="1326" max="1328" width="11.421875" style="3120" customWidth="1"/>
    <col min="1329" max="1329" width="21.00390625" style="3120" customWidth="1"/>
    <col min="1330" max="1536" width="11.421875" style="3120" customWidth="1"/>
    <col min="1537" max="1537" width="21.28125" style="3120" customWidth="1"/>
    <col min="1538" max="1538" width="8.421875" style="3120" customWidth="1"/>
    <col min="1539" max="1539" width="4.7109375" style="3120" customWidth="1"/>
    <col min="1540" max="1540" width="25.00390625" style="3120" customWidth="1"/>
    <col min="1541" max="1541" width="24.421875" style="3120" customWidth="1"/>
    <col min="1542" max="1542" width="15.00390625" style="3120" customWidth="1"/>
    <col min="1543" max="1543" width="13.28125" style="3120" customWidth="1"/>
    <col min="1544" max="1545" width="11.421875" style="3120" hidden="1" customWidth="1"/>
    <col min="1546" max="1547" width="18.7109375" style="3120" customWidth="1"/>
    <col min="1548" max="1548" width="11.28125" style="3120" customWidth="1"/>
    <col min="1549" max="1549" width="10.7109375" style="3120" customWidth="1"/>
    <col min="1550" max="1550" width="9.7109375" style="3120" customWidth="1"/>
    <col min="1551" max="1551" width="10.57421875" style="3120" customWidth="1"/>
    <col min="1552" max="1552" width="8.421875" style="3120" customWidth="1"/>
    <col min="1553" max="1553" width="5.57421875" style="3120" customWidth="1"/>
    <col min="1554" max="1563" width="11.421875" style="3120" hidden="1" customWidth="1"/>
    <col min="1564" max="1564" width="9.7109375" style="3120" customWidth="1"/>
    <col min="1565" max="1565" width="21.00390625" style="3120" customWidth="1"/>
    <col min="1566" max="1566" width="6.421875" style="3120" customWidth="1"/>
    <col min="1567" max="1567" width="4.140625" style="3120" customWidth="1"/>
    <col min="1568" max="1568" width="7.140625" style="3120" customWidth="1"/>
    <col min="1569" max="1569" width="5.28125" style="3120" customWidth="1"/>
    <col min="1570" max="1570" width="5.421875" style="3120" customWidth="1"/>
    <col min="1571" max="1571" width="4.7109375" style="3120" customWidth="1"/>
    <col min="1572" max="1572" width="5.28125" style="3120" customWidth="1"/>
    <col min="1573" max="1574" width="13.28125" style="3120" customWidth="1"/>
    <col min="1575" max="1575" width="6.57421875" style="3120" customWidth="1"/>
    <col min="1576" max="1576" width="6.421875" style="3120" customWidth="1"/>
    <col min="1577" max="1580" width="11.421875" style="3120" customWidth="1"/>
    <col min="1581" max="1581" width="12.7109375" style="3120" customWidth="1"/>
    <col min="1582" max="1584" width="11.421875" style="3120" customWidth="1"/>
    <col min="1585" max="1585" width="21.00390625" style="3120" customWidth="1"/>
    <col min="1586" max="1792" width="11.421875" style="3120" customWidth="1"/>
    <col min="1793" max="1793" width="21.28125" style="3120" customWidth="1"/>
    <col min="1794" max="1794" width="8.421875" style="3120" customWidth="1"/>
    <col min="1795" max="1795" width="4.7109375" style="3120" customWidth="1"/>
    <col min="1796" max="1796" width="25.00390625" style="3120" customWidth="1"/>
    <col min="1797" max="1797" width="24.421875" style="3120" customWidth="1"/>
    <col min="1798" max="1798" width="15.00390625" style="3120" customWidth="1"/>
    <col min="1799" max="1799" width="13.28125" style="3120" customWidth="1"/>
    <col min="1800" max="1801" width="11.421875" style="3120" hidden="1" customWidth="1"/>
    <col min="1802" max="1803" width="18.7109375" style="3120" customWidth="1"/>
    <col min="1804" max="1804" width="11.28125" style="3120" customWidth="1"/>
    <col min="1805" max="1805" width="10.7109375" style="3120" customWidth="1"/>
    <col min="1806" max="1806" width="9.7109375" style="3120" customWidth="1"/>
    <col min="1807" max="1807" width="10.57421875" style="3120" customWidth="1"/>
    <col min="1808" max="1808" width="8.421875" style="3120" customWidth="1"/>
    <col min="1809" max="1809" width="5.57421875" style="3120" customWidth="1"/>
    <col min="1810" max="1819" width="11.421875" style="3120" hidden="1" customWidth="1"/>
    <col min="1820" max="1820" width="9.7109375" style="3120" customWidth="1"/>
    <col min="1821" max="1821" width="21.00390625" style="3120" customWidth="1"/>
    <col min="1822" max="1822" width="6.421875" style="3120" customWidth="1"/>
    <col min="1823" max="1823" width="4.140625" style="3120" customWidth="1"/>
    <col min="1824" max="1824" width="7.140625" style="3120" customWidth="1"/>
    <col min="1825" max="1825" width="5.28125" style="3120" customWidth="1"/>
    <col min="1826" max="1826" width="5.421875" style="3120" customWidth="1"/>
    <col min="1827" max="1827" width="4.7109375" style="3120" customWidth="1"/>
    <col min="1828" max="1828" width="5.28125" style="3120" customWidth="1"/>
    <col min="1829" max="1830" width="13.28125" style="3120" customWidth="1"/>
    <col min="1831" max="1831" width="6.57421875" style="3120" customWidth="1"/>
    <col min="1832" max="1832" width="6.421875" style="3120" customWidth="1"/>
    <col min="1833" max="1836" width="11.421875" style="3120" customWidth="1"/>
    <col min="1837" max="1837" width="12.7109375" style="3120" customWidth="1"/>
    <col min="1838" max="1840" width="11.421875" style="3120" customWidth="1"/>
    <col min="1841" max="1841" width="21.00390625" style="3120" customWidth="1"/>
    <col min="1842" max="2048" width="11.421875" style="3120" customWidth="1"/>
    <col min="2049" max="2049" width="21.28125" style="3120" customWidth="1"/>
    <col min="2050" max="2050" width="8.421875" style="3120" customWidth="1"/>
    <col min="2051" max="2051" width="4.7109375" style="3120" customWidth="1"/>
    <col min="2052" max="2052" width="25.00390625" style="3120" customWidth="1"/>
    <col min="2053" max="2053" width="24.421875" style="3120" customWidth="1"/>
    <col min="2054" max="2054" width="15.00390625" style="3120" customWidth="1"/>
    <col min="2055" max="2055" width="13.28125" style="3120" customWidth="1"/>
    <col min="2056" max="2057" width="11.421875" style="3120" hidden="1" customWidth="1"/>
    <col min="2058" max="2059" width="18.7109375" style="3120" customWidth="1"/>
    <col min="2060" max="2060" width="11.28125" style="3120" customWidth="1"/>
    <col min="2061" max="2061" width="10.7109375" style="3120" customWidth="1"/>
    <col min="2062" max="2062" width="9.7109375" style="3120" customWidth="1"/>
    <col min="2063" max="2063" width="10.57421875" style="3120" customWidth="1"/>
    <col min="2064" max="2064" width="8.421875" style="3120" customWidth="1"/>
    <col min="2065" max="2065" width="5.57421875" style="3120" customWidth="1"/>
    <col min="2066" max="2075" width="11.421875" style="3120" hidden="1" customWidth="1"/>
    <col min="2076" max="2076" width="9.7109375" style="3120" customWidth="1"/>
    <col min="2077" max="2077" width="21.00390625" style="3120" customWidth="1"/>
    <col min="2078" max="2078" width="6.421875" style="3120" customWidth="1"/>
    <col min="2079" max="2079" width="4.140625" style="3120" customWidth="1"/>
    <col min="2080" max="2080" width="7.140625" style="3120" customWidth="1"/>
    <col min="2081" max="2081" width="5.28125" style="3120" customWidth="1"/>
    <col min="2082" max="2082" width="5.421875" style="3120" customWidth="1"/>
    <col min="2083" max="2083" width="4.7109375" style="3120" customWidth="1"/>
    <col min="2084" max="2084" width="5.28125" style="3120" customWidth="1"/>
    <col min="2085" max="2086" width="13.28125" style="3120" customWidth="1"/>
    <col min="2087" max="2087" width="6.57421875" style="3120" customWidth="1"/>
    <col min="2088" max="2088" width="6.421875" style="3120" customWidth="1"/>
    <col min="2089" max="2092" width="11.421875" style="3120" customWidth="1"/>
    <col min="2093" max="2093" width="12.7109375" style="3120" customWidth="1"/>
    <col min="2094" max="2096" width="11.421875" style="3120" customWidth="1"/>
    <col min="2097" max="2097" width="21.00390625" style="3120" customWidth="1"/>
    <col min="2098" max="2304" width="11.421875" style="3120" customWidth="1"/>
    <col min="2305" max="2305" width="21.28125" style="3120" customWidth="1"/>
    <col min="2306" max="2306" width="8.421875" style="3120" customWidth="1"/>
    <col min="2307" max="2307" width="4.7109375" style="3120" customWidth="1"/>
    <col min="2308" max="2308" width="25.00390625" style="3120" customWidth="1"/>
    <col min="2309" max="2309" width="24.421875" style="3120" customWidth="1"/>
    <col min="2310" max="2310" width="15.00390625" style="3120" customWidth="1"/>
    <col min="2311" max="2311" width="13.28125" style="3120" customWidth="1"/>
    <col min="2312" max="2313" width="11.421875" style="3120" hidden="1" customWidth="1"/>
    <col min="2314" max="2315" width="18.7109375" style="3120" customWidth="1"/>
    <col min="2316" max="2316" width="11.28125" style="3120" customWidth="1"/>
    <col min="2317" max="2317" width="10.7109375" style="3120" customWidth="1"/>
    <col min="2318" max="2318" width="9.7109375" style="3120" customWidth="1"/>
    <col min="2319" max="2319" width="10.57421875" style="3120" customWidth="1"/>
    <col min="2320" max="2320" width="8.421875" style="3120" customWidth="1"/>
    <col min="2321" max="2321" width="5.57421875" style="3120" customWidth="1"/>
    <col min="2322" max="2331" width="11.421875" style="3120" hidden="1" customWidth="1"/>
    <col min="2332" max="2332" width="9.7109375" style="3120" customWidth="1"/>
    <col min="2333" max="2333" width="21.00390625" style="3120" customWidth="1"/>
    <col min="2334" max="2334" width="6.421875" style="3120" customWidth="1"/>
    <col min="2335" max="2335" width="4.140625" style="3120" customWidth="1"/>
    <col min="2336" max="2336" width="7.140625" style="3120" customWidth="1"/>
    <col min="2337" max="2337" width="5.28125" style="3120" customWidth="1"/>
    <col min="2338" max="2338" width="5.421875" style="3120" customWidth="1"/>
    <col min="2339" max="2339" width="4.7109375" style="3120" customWidth="1"/>
    <col min="2340" max="2340" width="5.28125" style="3120" customWidth="1"/>
    <col min="2341" max="2342" width="13.28125" style="3120" customWidth="1"/>
    <col min="2343" max="2343" width="6.57421875" style="3120" customWidth="1"/>
    <col min="2344" max="2344" width="6.421875" style="3120" customWidth="1"/>
    <col min="2345" max="2348" width="11.421875" style="3120" customWidth="1"/>
    <col min="2349" max="2349" width="12.7109375" style="3120" customWidth="1"/>
    <col min="2350" max="2352" width="11.421875" style="3120" customWidth="1"/>
    <col min="2353" max="2353" width="21.00390625" style="3120" customWidth="1"/>
    <col min="2354" max="2560" width="11.421875" style="3120" customWidth="1"/>
    <col min="2561" max="2561" width="21.28125" style="3120" customWidth="1"/>
    <col min="2562" max="2562" width="8.421875" style="3120" customWidth="1"/>
    <col min="2563" max="2563" width="4.7109375" style="3120" customWidth="1"/>
    <col min="2564" max="2564" width="25.00390625" style="3120" customWidth="1"/>
    <col min="2565" max="2565" width="24.421875" style="3120" customWidth="1"/>
    <col min="2566" max="2566" width="15.00390625" style="3120" customWidth="1"/>
    <col min="2567" max="2567" width="13.28125" style="3120" customWidth="1"/>
    <col min="2568" max="2569" width="11.421875" style="3120" hidden="1" customWidth="1"/>
    <col min="2570" max="2571" width="18.7109375" style="3120" customWidth="1"/>
    <col min="2572" max="2572" width="11.28125" style="3120" customWidth="1"/>
    <col min="2573" max="2573" width="10.7109375" style="3120" customWidth="1"/>
    <col min="2574" max="2574" width="9.7109375" style="3120" customWidth="1"/>
    <col min="2575" max="2575" width="10.57421875" style="3120" customWidth="1"/>
    <col min="2576" max="2576" width="8.421875" style="3120" customWidth="1"/>
    <col min="2577" max="2577" width="5.57421875" style="3120" customWidth="1"/>
    <col min="2578" max="2587" width="11.421875" style="3120" hidden="1" customWidth="1"/>
    <col min="2588" max="2588" width="9.7109375" style="3120" customWidth="1"/>
    <col min="2589" max="2589" width="21.00390625" style="3120" customWidth="1"/>
    <col min="2590" max="2590" width="6.421875" style="3120" customWidth="1"/>
    <col min="2591" max="2591" width="4.140625" style="3120" customWidth="1"/>
    <col min="2592" max="2592" width="7.140625" style="3120" customWidth="1"/>
    <col min="2593" max="2593" width="5.28125" style="3120" customWidth="1"/>
    <col min="2594" max="2594" width="5.421875" style="3120" customWidth="1"/>
    <col min="2595" max="2595" width="4.7109375" style="3120" customWidth="1"/>
    <col min="2596" max="2596" width="5.28125" style="3120" customWidth="1"/>
    <col min="2597" max="2598" width="13.28125" style="3120" customWidth="1"/>
    <col min="2599" max="2599" width="6.57421875" style="3120" customWidth="1"/>
    <col min="2600" max="2600" width="6.421875" style="3120" customWidth="1"/>
    <col min="2601" max="2604" width="11.421875" style="3120" customWidth="1"/>
    <col min="2605" max="2605" width="12.7109375" style="3120" customWidth="1"/>
    <col min="2606" max="2608" width="11.421875" style="3120" customWidth="1"/>
    <col min="2609" max="2609" width="21.00390625" style="3120" customWidth="1"/>
    <col min="2610" max="2816" width="11.421875" style="3120" customWidth="1"/>
    <col min="2817" max="2817" width="21.28125" style="3120" customWidth="1"/>
    <col min="2818" max="2818" width="8.421875" style="3120" customWidth="1"/>
    <col min="2819" max="2819" width="4.7109375" style="3120" customWidth="1"/>
    <col min="2820" max="2820" width="25.00390625" style="3120" customWidth="1"/>
    <col min="2821" max="2821" width="24.421875" style="3120" customWidth="1"/>
    <col min="2822" max="2822" width="15.00390625" style="3120" customWidth="1"/>
    <col min="2823" max="2823" width="13.28125" style="3120" customWidth="1"/>
    <col min="2824" max="2825" width="11.421875" style="3120" hidden="1" customWidth="1"/>
    <col min="2826" max="2827" width="18.7109375" style="3120" customWidth="1"/>
    <col min="2828" max="2828" width="11.28125" style="3120" customWidth="1"/>
    <col min="2829" max="2829" width="10.7109375" style="3120" customWidth="1"/>
    <col min="2830" max="2830" width="9.7109375" style="3120" customWidth="1"/>
    <col min="2831" max="2831" width="10.57421875" style="3120" customWidth="1"/>
    <col min="2832" max="2832" width="8.421875" style="3120" customWidth="1"/>
    <col min="2833" max="2833" width="5.57421875" style="3120" customWidth="1"/>
    <col min="2834" max="2843" width="11.421875" style="3120" hidden="1" customWidth="1"/>
    <col min="2844" max="2844" width="9.7109375" style="3120" customWidth="1"/>
    <col min="2845" max="2845" width="21.00390625" style="3120" customWidth="1"/>
    <col min="2846" max="2846" width="6.421875" style="3120" customWidth="1"/>
    <col min="2847" max="2847" width="4.140625" style="3120" customWidth="1"/>
    <col min="2848" max="2848" width="7.140625" style="3120" customWidth="1"/>
    <col min="2849" max="2849" width="5.28125" style="3120" customWidth="1"/>
    <col min="2850" max="2850" width="5.421875" style="3120" customWidth="1"/>
    <col min="2851" max="2851" width="4.7109375" style="3120" customWidth="1"/>
    <col min="2852" max="2852" width="5.28125" style="3120" customWidth="1"/>
    <col min="2853" max="2854" width="13.28125" style="3120" customWidth="1"/>
    <col min="2855" max="2855" width="6.57421875" style="3120" customWidth="1"/>
    <col min="2856" max="2856" width="6.421875" style="3120" customWidth="1"/>
    <col min="2857" max="2860" width="11.421875" style="3120" customWidth="1"/>
    <col min="2861" max="2861" width="12.7109375" style="3120" customWidth="1"/>
    <col min="2862" max="2864" width="11.421875" style="3120" customWidth="1"/>
    <col min="2865" max="2865" width="21.00390625" style="3120" customWidth="1"/>
    <col min="2866" max="3072" width="11.421875" style="3120" customWidth="1"/>
    <col min="3073" max="3073" width="21.28125" style="3120" customWidth="1"/>
    <col min="3074" max="3074" width="8.421875" style="3120" customWidth="1"/>
    <col min="3075" max="3075" width="4.7109375" style="3120" customWidth="1"/>
    <col min="3076" max="3076" width="25.00390625" style="3120" customWidth="1"/>
    <col min="3077" max="3077" width="24.421875" style="3120" customWidth="1"/>
    <col min="3078" max="3078" width="15.00390625" style="3120" customWidth="1"/>
    <col min="3079" max="3079" width="13.28125" style="3120" customWidth="1"/>
    <col min="3080" max="3081" width="11.421875" style="3120" hidden="1" customWidth="1"/>
    <col min="3082" max="3083" width="18.7109375" style="3120" customWidth="1"/>
    <col min="3084" max="3084" width="11.28125" style="3120" customWidth="1"/>
    <col min="3085" max="3085" width="10.7109375" style="3120" customWidth="1"/>
    <col min="3086" max="3086" width="9.7109375" style="3120" customWidth="1"/>
    <col min="3087" max="3087" width="10.57421875" style="3120" customWidth="1"/>
    <col min="3088" max="3088" width="8.421875" style="3120" customWidth="1"/>
    <col min="3089" max="3089" width="5.57421875" style="3120" customWidth="1"/>
    <col min="3090" max="3099" width="11.421875" style="3120" hidden="1" customWidth="1"/>
    <col min="3100" max="3100" width="9.7109375" style="3120" customWidth="1"/>
    <col min="3101" max="3101" width="21.00390625" style="3120" customWidth="1"/>
    <col min="3102" max="3102" width="6.421875" style="3120" customWidth="1"/>
    <col min="3103" max="3103" width="4.140625" style="3120" customWidth="1"/>
    <col min="3104" max="3104" width="7.140625" style="3120" customWidth="1"/>
    <col min="3105" max="3105" width="5.28125" style="3120" customWidth="1"/>
    <col min="3106" max="3106" width="5.421875" style="3120" customWidth="1"/>
    <col min="3107" max="3107" width="4.7109375" style="3120" customWidth="1"/>
    <col min="3108" max="3108" width="5.28125" style="3120" customWidth="1"/>
    <col min="3109" max="3110" width="13.28125" style="3120" customWidth="1"/>
    <col min="3111" max="3111" width="6.57421875" style="3120" customWidth="1"/>
    <col min="3112" max="3112" width="6.421875" style="3120" customWidth="1"/>
    <col min="3113" max="3116" width="11.421875" style="3120" customWidth="1"/>
    <col min="3117" max="3117" width="12.7109375" style="3120" customWidth="1"/>
    <col min="3118" max="3120" width="11.421875" style="3120" customWidth="1"/>
    <col min="3121" max="3121" width="21.00390625" style="3120" customWidth="1"/>
    <col min="3122" max="3328" width="11.421875" style="3120" customWidth="1"/>
    <col min="3329" max="3329" width="21.28125" style="3120" customWidth="1"/>
    <col min="3330" max="3330" width="8.421875" style="3120" customWidth="1"/>
    <col min="3331" max="3331" width="4.7109375" style="3120" customWidth="1"/>
    <col min="3332" max="3332" width="25.00390625" style="3120" customWidth="1"/>
    <col min="3333" max="3333" width="24.421875" style="3120" customWidth="1"/>
    <col min="3334" max="3334" width="15.00390625" style="3120" customWidth="1"/>
    <col min="3335" max="3335" width="13.28125" style="3120" customWidth="1"/>
    <col min="3336" max="3337" width="11.421875" style="3120" hidden="1" customWidth="1"/>
    <col min="3338" max="3339" width="18.7109375" style="3120" customWidth="1"/>
    <col min="3340" max="3340" width="11.28125" style="3120" customWidth="1"/>
    <col min="3341" max="3341" width="10.7109375" style="3120" customWidth="1"/>
    <col min="3342" max="3342" width="9.7109375" style="3120" customWidth="1"/>
    <col min="3343" max="3343" width="10.57421875" style="3120" customWidth="1"/>
    <col min="3344" max="3344" width="8.421875" style="3120" customWidth="1"/>
    <col min="3345" max="3345" width="5.57421875" style="3120" customWidth="1"/>
    <col min="3346" max="3355" width="11.421875" style="3120" hidden="1" customWidth="1"/>
    <col min="3356" max="3356" width="9.7109375" style="3120" customWidth="1"/>
    <col min="3357" max="3357" width="21.00390625" style="3120" customWidth="1"/>
    <col min="3358" max="3358" width="6.421875" style="3120" customWidth="1"/>
    <col min="3359" max="3359" width="4.140625" style="3120" customWidth="1"/>
    <col min="3360" max="3360" width="7.140625" style="3120" customWidth="1"/>
    <col min="3361" max="3361" width="5.28125" style="3120" customWidth="1"/>
    <col min="3362" max="3362" width="5.421875" style="3120" customWidth="1"/>
    <col min="3363" max="3363" width="4.7109375" style="3120" customWidth="1"/>
    <col min="3364" max="3364" width="5.28125" style="3120" customWidth="1"/>
    <col min="3365" max="3366" width="13.28125" style="3120" customWidth="1"/>
    <col min="3367" max="3367" width="6.57421875" style="3120" customWidth="1"/>
    <col min="3368" max="3368" width="6.421875" style="3120" customWidth="1"/>
    <col min="3369" max="3372" width="11.421875" style="3120" customWidth="1"/>
    <col min="3373" max="3373" width="12.7109375" style="3120" customWidth="1"/>
    <col min="3374" max="3376" width="11.421875" style="3120" customWidth="1"/>
    <col min="3377" max="3377" width="21.00390625" style="3120" customWidth="1"/>
    <col min="3378" max="3584" width="11.421875" style="3120" customWidth="1"/>
    <col min="3585" max="3585" width="21.28125" style="3120" customWidth="1"/>
    <col min="3586" max="3586" width="8.421875" style="3120" customWidth="1"/>
    <col min="3587" max="3587" width="4.7109375" style="3120" customWidth="1"/>
    <col min="3588" max="3588" width="25.00390625" style="3120" customWidth="1"/>
    <col min="3589" max="3589" width="24.421875" style="3120" customWidth="1"/>
    <col min="3590" max="3590" width="15.00390625" style="3120" customWidth="1"/>
    <col min="3591" max="3591" width="13.28125" style="3120" customWidth="1"/>
    <col min="3592" max="3593" width="11.421875" style="3120" hidden="1" customWidth="1"/>
    <col min="3594" max="3595" width="18.7109375" style="3120" customWidth="1"/>
    <col min="3596" max="3596" width="11.28125" style="3120" customWidth="1"/>
    <col min="3597" max="3597" width="10.7109375" style="3120" customWidth="1"/>
    <col min="3598" max="3598" width="9.7109375" style="3120" customWidth="1"/>
    <col min="3599" max="3599" width="10.57421875" style="3120" customWidth="1"/>
    <col min="3600" max="3600" width="8.421875" style="3120" customWidth="1"/>
    <col min="3601" max="3601" width="5.57421875" style="3120" customWidth="1"/>
    <col min="3602" max="3611" width="11.421875" style="3120" hidden="1" customWidth="1"/>
    <col min="3612" max="3612" width="9.7109375" style="3120" customWidth="1"/>
    <col min="3613" max="3613" width="21.00390625" style="3120" customWidth="1"/>
    <col min="3614" max="3614" width="6.421875" style="3120" customWidth="1"/>
    <col min="3615" max="3615" width="4.140625" style="3120" customWidth="1"/>
    <col min="3616" max="3616" width="7.140625" style="3120" customWidth="1"/>
    <col min="3617" max="3617" width="5.28125" style="3120" customWidth="1"/>
    <col min="3618" max="3618" width="5.421875" style="3120" customWidth="1"/>
    <col min="3619" max="3619" width="4.7109375" style="3120" customWidth="1"/>
    <col min="3620" max="3620" width="5.28125" style="3120" customWidth="1"/>
    <col min="3621" max="3622" width="13.28125" style="3120" customWidth="1"/>
    <col min="3623" max="3623" width="6.57421875" style="3120" customWidth="1"/>
    <col min="3624" max="3624" width="6.421875" style="3120" customWidth="1"/>
    <col min="3625" max="3628" width="11.421875" style="3120" customWidth="1"/>
    <col min="3629" max="3629" width="12.7109375" style="3120" customWidth="1"/>
    <col min="3630" max="3632" width="11.421875" style="3120" customWidth="1"/>
    <col min="3633" max="3633" width="21.00390625" style="3120" customWidth="1"/>
    <col min="3634" max="3840" width="11.421875" style="3120" customWidth="1"/>
    <col min="3841" max="3841" width="21.28125" style="3120" customWidth="1"/>
    <col min="3842" max="3842" width="8.421875" style="3120" customWidth="1"/>
    <col min="3843" max="3843" width="4.7109375" style="3120" customWidth="1"/>
    <col min="3844" max="3844" width="25.00390625" style="3120" customWidth="1"/>
    <col min="3845" max="3845" width="24.421875" style="3120" customWidth="1"/>
    <col min="3846" max="3846" width="15.00390625" style="3120" customWidth="1"/>
    <col min="3847" max="3847" width="13.28125" style="3120" customWidth="1"/>
    <col min="3848" max="3849" width="11.421875" style="3120" hidden="1" customWidth="1"/>
    <col min="3850" max="3851" width="18.7109375" style="3120" customWidth="1"/>
    <col min="3852" max="3852" width="11.28125" style="3120" customWidth="1"/>
    <col min="3853" max="3853" width="10.7109375" style="3120" customWidth="1"/>
    <col min="3854" max="3854" width="9.7109375" style="3120" customWidth="1"/>
    <col min="3855" max="3855" width="10.57421875" style="3120" customWidth="1"/>
    <col min="3856" max="3856" width="8.421875" style="3120" customWidth="1"/>
    <col min="3857" max="3857" width="5.57421875" style="3120" customWidth="1"/>
    <col min="3858" max="3867" width="11.421875" style="3120" hidden="1" customWidth="1"/>
    <col min="3868" max="3868" width="9.7109375" style="3120" customWidth="1"/>
    <col min="3869" max="3869" width="21.00390625" style="3120" customWidth="1"/>
    <col min="3870" max="3870" width="6.421875" style="3120" customWidth="1"/>
    <col min="3871" max="3871" width="4.140625" style="3120" customWidth="1"/>
    <col min="3872" max="3872" width="7.140625" style="3120" customWidth="1"/>
    <col min="3873" max="3873" width="5.28125" style="3120" customWidth="1"/>
    <col min="3874" max="3874" width="5.421875" style="3120" customWidth="1"/>
    <col min="3875" max="3875" width="4.7109375" style="3120" customWidth="1"/>
    <col min="3876" max="3876" width="5.28125" style="3120" customWidth="1"/>
    <col min="3877" max="3878" width="13.28125" style="3120" customWidth="1"/>
    <col min="3879" max="3879" width="6.57421875" style="3120" customWidth="1"/>
    <col min="3880" max="3880" width="6.421875" style="3120" customWidth="1"/>
    <col min="3881" max="3884" width="11.421875" style="3120" customWidth="1"/>
    <col min="3885" max="3885" width="12.7109375" style="3120" customWidth="1"/>
    <col min="3886" max="3888" width="11.421875" style="3120" customWidth="1"/>
    <col min="3889" max="3889" width="21.00390625" style="3120" customWidth="1"/>
    <col min="3890" max="4096" width="11.421875" style="3120" customWidth="1"/>
    <col min="4097" max="4097" width="21.28125" style="3120" customWidth="1"/>
    <col min="4098" max="4098" width="8.421875" style="3120" customWidth="1"/>
    <col min="4099" max="4099" width="4.7109375" style="3120" customWidth="1"/>
    <col min="4100" max="4100" width="25.00390625" style="3120" customWidth="1"/>
    <col min="4101" max="4101" width="24.421875" style="3120" customWidth="1"/>
    <col min="4102" max="4102" width="15.00390625" style="3120" customWidth="1"/>
    <col min="4103" max="4103" width="13.28125" style="3120" customWidth="1"/>
    <col min="4104" max="4105" width="11.421875" style="3120" hidden="1" customWidth="1"/>
    <col min="4106" max="4107" width="18.7109375" style="3120" customWidth="1"/>
    <col min="4108" max="4108" width="11.28125" style="3120" customWidth="1"/>
    <col min="4109" max="4109" width="10.7109375" style="3120" customWidth="1"/>
    <col min="4110" max="4110" width="9.7109375" style="3120" customWidth="1"/>
    <col min="4111" max="4111" width="10.57421875" style="3120" customWidth="1"/>
    <col min="4112" max="4112" width="8.421875" style="3120" customWidth="1"/>
    <col min="4113" max="4113" width="5.57421875" style="3120" customWidth="1"/>
    <col min="4114" max="4123" width="11.421875" style="3120" hidden="1" customWidth="1"/>
    <col min="4124" max="4124" width="9.7109375" style="3120" customWidth="1"/>
    <col min="4125" max="4125" width="21.00390625" style="3120" customWidth="1"/>
    <col min="4126" max="4126" width="6.421875" style="3120" customWidth="1"/>
    <col min="4127" max="4127" width="4.140625" style="3120" customWidth="1"/>
    <col min="4128" max="4128" width="7.140625" style="3120" customWidth="1"/>
    <col min="4129" max="4129" width="5.28125" style="3120" customWidth="1"/>
    <col min="4130" max="4130" width="5.421875" style="3120" customWidth="1"/>
    <col min="4131" max="4131" width="4.7109375" style="3120" customWidth="1"/>
    <col min="4132" max="4132" width="5.28125" style="3120" customWidth="1"/>
    <col min="4133" max="4134" width="13.28125" style="3120" customWidth="1"/>
    <col min="4135" max="4135" width="6.57421875" style="3120" customWidth="1"/>
    <col min="4136" max="4136" width="6.421875" style="3120" customWidth="1"/>
    <col min="4137" max="4140" width="11.421875" style="3120" customWidth="1"/>
    <col min="4141" max="4141" width="12.7109375" style="3120" customWidth="1"/>
    <col min="4142" max="4144" width="11.421875" style="3120" customWidth="1"/>
    <col min="4145" max="4145" width="21.00390625" style="3120" customWidth="1"/>
    <col min="4146" max="4352" width="11.421875" style="3120" customWidth="1"/>
    <col min="4353" max="4353" width="21.28125" style="3120" customWidth="1"/>
    <col min="4354" max="4354" width="8.421875" style="3120" customWidth="1"/>
    <col min="4355" max="4355" width="4.7109375" style="3120" customWidth="1"/>
    <col min="4356" max="4356" width="25.00390625" style="3120" customWidth="1"/>
    <col min="4357" max="4357" width="24.421875" style="3120" customWidth="1"/>
    <col min="4358" max="4358" width="15.00390625" style="3120" customWidth="1"/>
    <col min="4359" max="4359" width="13.28125" style="3120" customWidth="1"/>
    <col min="4360" max="4361" width="11.421875" style="3120" hidden="1" customWidth="1"/>
    <col min="4362" max="4363" width="18.7109375" style="3120" customWidth="1"/>
    <col min="4364" max="4364" width="11.28125" style="3120" customWidth="1"/>
    <col min="4365" max="4365" width="10.7109375" style="3120" customWidth="1"/>
    <col min="4366" max="4366" width="9.7109375" style="3120" customWidth="1"/>
    <col min="4367" max="4367" width="10.57421875" style="3120" customWidth="1"/>
    <col min="4368" max="4368" width="8.421875" style="3120" customWidth="1"/>
    <col min="4369" max="4369" width="5.57421875" style="3120" customWidth="1"/>
    <col min="4370" max="4379" width="11.421875" style="3120" hidden="1" customWidth="1"/>
    <col min="4380" max="4380" width="9.7109375" style="3120" customWidth="1"/>
    <col min="4381" max="4381" width="21.00390625" style="3120" customWidth="1"/>
    <col min="4382" max="4382" width="6.421875" style="3120" customWidth="1"/>
    <col min="4383" max="4383" width="4.140625" style="3120" customWidth="1"/>
    <col min="4384" max="4384" width="7.140625" style="3120" customWidth="1"/>
    <col min="4385" max="4385" width="5.28125" style="3120" customWidth="1"/>
    <col min="4386" max="4386" width="5.421875" style="3120" customWidth="1"/>
    <col min="4387" max="4387" width="4.7109375" style="3120" customWidth="1"/>
    <col min="4388" max="4388" width="5.28125" style="3120" customWidth="1"/>
    <col min="4389" max="4390" width="13.28125" style="3120" customWidth="1"/>
    <col min="4391" max="4391" width="6.57421875" style="3120" customWidth="1"/>
    <col min="4392" max="4392" width="6.421875" style="3120" customWidth="1"/>
    <col min="4393" max="4396" width="11.421875" style="3120" customWidth="1"/>
    <col min="4397" max="4397" width="12.7109375" style="3120" customWidth="1"/>
    <col min="4398" max="4400" width="11.421875" style="3120" customWidth="1"/>
    <col min="4401" max="4401" width="21.00390625" style="3120" customWidth="1"/>
    <col min="4402" max="4608" width="11.421875" style="3120" customWidth="1"/>
    <col min="4609" max="4609" width="21.28125" style="3120" customWidth="1"/>
    <col min="4610" max="4610" width="8.421875" style="3120" customWidth="1"/>
    <col min="4611" max="4611" width="4.7109375" style="3120" customWidth="1"/>
    <col min="4612" max="4612" width="25.00390625" style="3120" customWidth="1"/>
    <col min="4613" max="4613" width="24.421875" style="3120" customWidth="1"/>
    <col min="4614" max="4614" width="15.00390625" style="3120" customWidth="1"/>
    <col min="4615" max="4615" width="13.28125" style="3120" customWidth="1"/>
    <col min="4616" max="4617" width="11.421875" style="3120" hidden="1" customWidth="1"/>
    <col min="4618" max="4619" width="18.7109375" style="3120" customWidth="1"/>
    <col min="4620" max="4620" width="11.28125" style="3120" customWidth="1"/>
    <col min="4621" max="4621" width="10.7109375" style="3120" customWidth="1"/>
    <col min="4622" max="4622" width="9.7109375" style="3120" customWidth="1"/>
    <col min="4623" max="4623" width="10.57421875" style="3120" customWidth="1"/>
    <col min="4624" max="4624" width="8.421875" style="3120" customWidth="1"/>
    <col min="4625" max="4625" width="5.57421875" style="3120" customWidth="1"/>
    <col min="4626" max="4635" width="11.421875" style="3120" hidden="1" customWidth="1"/>
    <col min="4636" max="4636" width="9.7109375" style="3120" customWidth="1"/>
    <col min="4637" max="4637" width="21.00390625" style="3120" customWidth="1"/>
    <col min="4638" max="4638" width="6.421875" style="3120" customWidth="1"/>
    <col min="4639" max="4639" width="4.140625" style="3120" customWidth="1"/>
    <col min="4640" max="4640" width="7.140625" style="3120" customWidth="1"/>
    <col min="4641" max="4641" width="5.28125" style="3120" customWidth="1"/>
    <col min="4642" max="4642" width="5.421875" style="3120" customWidth="1"/>
    <col min="4643" max="4643" width="4.7109375" style="3120" customWidth="1"/>
    <col min="4644" max="4644" width="5.28125" style="3120" customWidth="1"/>
    <col min="4645" max="4646" width="13.28125" style="3120" customWidth="1"/>
    <col min="4647" max="4647" width="6.57421875" style="3120" customWidth="1"/>
    <col min="4648" max="4648" width="6.421875" style="3120" customWidth="1"/>
    <col min="4649" max="4652" width="11.421875" style="3120" customWidth="1"/>
    <col min="4653" max="4653" width="12.7109375" style="3120" customWidth="1"/>
    <col min="4654" max="4656" width="11.421875" style="3120" customWidth="1"/>
    <col min="4657" max="4657" width="21.00390625" style="3120" customWidth="1"/>
    <col min="4658" max="4864" width="11.421875" style="3120" customWidth="1"/>
    <col min="4865" max="4865" width="21.28125" style="3120" customWidth="1"/>
    <col min="4866" max="4866" width="8.421875" style="3120" customWidth="1"/>
    <col min="4867" max="4867" width="4.7109375" style="3120" customWidth="1"/>
    <col min="4868" max="4868" width="25.00390625" style="3120" customWidth="1"/>
    <col min="4869" max="4869" width="24.421875" style="3120" customWidth="1"/>
    <col min="4870" max="4870" width="15.00390625" style="3120" customWidth="1"/>
    <col min="4871" max="4871" width="13.28125" style="3120" customWidth="1"/>
    <col min="4872" max="4873" width="11.421875" style="3120" hidden="1" customWidth="1"/>
    <col min="4874" max="4875" width="18.7109375" style="3120" customWidth="1"/>
    <col min="4876" max="4876" width="11.28125" style="3120" customWidth="1"/>
    <col min="4877" max="4877" width="10.7109375" style="3120" customWidth="1"/>
    <col min="4878" max="4878" width="9.7109375" style="3120" customWidth="1"/>
    <col min="4879" max="4879" width="10.57421875" style="3120" customWidth="1"/>
    <col min="4880" max="4880" width="8.421875" style="3120" customWidth="1"/>
    <col min="4881" max="4881" width="5.57421875" style="3120" customWidth="1"/>
    <col min="4882" max="4891" width="11.421875" style="3120" hidden="1" customWidth="1"/>
    <col min="4892" max="4892" width="9.7109375" style="3120" customWidth="1"/>
    <col min="4893" max="4893" width="21.00390625" style="3120" customWidth="1"/>
    <col min="4894" max="4894" width="6.421875" style="3120" customWidth="1"/>
    <col min="4895" max="4895" width="4.140625" style="3120" customWidth="1"/>
    <col min="4896" max="4896" width="7.140625" style="3120" customWidth="1"/>
    <col min="4897" max="4897" width="5.28125" style="3120" customWidth="1"/>
    <col min="4898" max="4898" width="5.421875" style="3120" customWidth="1"/>
    <col min="4899" max="4899" width="4.7109375" style="3120" customWidth="1"/>
    <col min="4900" max="4900" width="5.28125" style="3120" customWidth="1"/>
    <col min="4901" max="4902" width="13.28125" style="3120" customWidth="1"/>
    <col min="4903" max="4903" width="6.57421875" style="3120" customWidth="1"/>
    <col min="4904" max="4904" width="6.421875" style="3120" customWidth="1"/>
    <col min="4905" max="4908" width="11.421875" style="3120" customWidth="1"/>
    <col min="4909" max="4909" width="12.7109375" style="3120" customWidth="1"/>
    <col min="4910" max="4912" width="11.421875" style="3120" customWidth="1"/>
    <col min="4913" max="4913" width="21.00390625" style="3120" customWidth="1"/>
    <col min="4914" max="5120" width="11.421875" style="3120" customWidth="1"/>
    <col min="5121" max="5121" width="21.28125" style="3120" customWidth="1"/>
    <col min="5122" max="5122" width="8.421875" style="3120" customWidth="1"/>
    <col min="5123" max="5123" width="4.7109375" style="3120" customWidth="1"/>
    <col min="5124" max="5124" width="25.00390625" style="3120" customWidth="1"/>
    <col min="5125" max="5125" width="24.421875" style="3120" customWidth="1"/>
    <col min="5126" max="5126" width="15.00390625" style="3120" customWidth="1"/>
    <col min="5127" max="5127" width="13.28125" style="3120" customWidth="1"/>
    <col min="5128" max="5129" width="11.421875" style="3120" hidden="1" customWidth="1"/>
    <col min="5130" max="5131" width="18.7109375" style="3120" customWidth="1"/>
    <col min="5132" max="5132" width="11.28125" style="3120" customWidth="1"/>
    <col min="5133" max="5133" width="10.7109375" style="3120" customWidth="1"/>
    <col min="5134" max="5134" width="9.7109375" style="3120" customWidth="1"/>
    <col min="5135" max="5135" width="10.57421875" style="3120" customWidth="1"/>
    <col min="5136" max="5136" width="8.421875" style="3120" customWidth="1"/>
    <col min="5137" max="5137" width="5.57421875" style="3120" customWidth="1"/>
    <col min="5138" max="5147" width="11.421875" style="3120" hidden="1" customWidth="1"/>
    <col min="5148" max="5148" width="9.7109375" style="3120" customWidth="1"/>
    <col min="5149" max="5149" width="21.00390625" style="3120" customWidth="1"/>
    <col min="5150" max="5150" width="6.421875" style="3120" customWidth="1"/>
    <col min="5151" max="5151" width="4.140625" style="3120" customWidth="1"/>
    <col min="5152" max="5152" width="7.140625" style="3120" customWidth="1"/>
    <col min="5153" max="5153" width="5.28125" style="3120" customWidth="1"/>
    <col min="5154" max="5154" width="5.421875" style="3120" customWidth="1"/>
    <col min="5155" max="5155" width="4.7109375" style="3120" customWidth="1"/>
    <col min="5156" max="5156" width="5.28125" style="3120" customWidth="1"/>
    <col min="5157" max="5158" width="13.28125" style="3120" customWidth="1"/>
    <col min="5159" max="5159" width="6.57421875" style="3120" customWidth="1"/>
    <col min="5160" max="5160" width="6.421875" style="3120" customWidth="1"/>
    <col min="5161" max="5164" width="11.421875" style="3120" customWidth="1"/>
    <col min="5165" max="5165" width="12.7109375" style="3120" customWidth="1"/>
    <col min="5166" max="5168" width="11.421875" style="3120" customWidth="1"/>
    <col min="5169" max="5169" width="21.00390625" style="3120" customWidth="1"/>
    <col min="5170" max="5376" width="11.421875" style="3120" customWidth="1"/>
    <col min="5377" max="5377" width="21.28125" style="3120" customWidth="1"/>
    <col min="5378" max="5378" width="8.421875" style="3120" customWidth="1"/>
    <col min="5379" max="5379" width="4.7109375" style="3120" customWidth="1"/>
    <col min="5380" max="5380" width="25.00390625" style="3120" customWidth="1"/>
    <col min="5381" max="5381" width="24.421875" style="3120" customWidth="1"/>
    <col min="5382" max="5382" width="15.00390625" style="3120" customWidth="1"/>
    <col min="5383" max="5383" width="13.28125" style="3120" customWidth="1"/>
    <col min="5384" max="5385" width="11.421875" style="3120" hidden="1" customWidth="1"/>
    <col min="5386" max="5387" width="18.7109375" style="3120" customWidth="1"/>
    <col min="5388" max="5388" width="11.28125" style="3120" customWidth="1"/>
    <col min="5389" max="5389" width="10.7109375" style="3120" customWidth="1"/>
    <col min="5390" max="5390" width="9.7109375" style="3120" customWidth="1"/>
    <col min="5391" max="5391" width="10.57421875" style="3120" customWidth="1"/>
    <col min="5392" max="5392" width="8.421875" style="3120" customWidth="1"/>
    <col min="5393" max="5393" width="5.57421875" style="3120" customWidth="1"/>
    <col min="5394" max="5403" width="11.421875" style="3120" hidden="1" customWidth="1"/>
    <col min="5404" max="5404" width="9.7109375" style="3120" customWidth="1"/>
    <col min="5405" max="5405" width="21.00390625" style="3120" customWidth="1"/>
    <col min="5406" max="5406" width="6.421875" style="3120" customWidth="1"/>
    <col min="5407" max="5407" width="4.140625" style="3120" customWidth="1"/>
    <col min="5408" max="5408" width="7.140625" style="3120" customWidth="1"/>
    <col min="5409" max="5409" width="5.28125" style="3120" customWidth="1"/>
    <col min="5410" max="5410" width="5.421875" style="3120" customWidth="1"/>
    <col min="5411" max="5411" width="4.7109375" style="3120" customWidth="1"/>
    <col min="5412" max="5412" width="5.28125" style="3120" customWidth="1"/>
    <col min="5413" max="5414" width="13.28125" style="3120" customWidth="1"/>
    <col min="5415" max="5415" width="6.57421875" style="3120" customWidth="1"/>
    <col min="5416" max="5416" width="6.421875" style="3120" customWidth="1"/>
    <col min="5417" max="5420" width="11.421875" style="3120" customWidth="1"/>
    <col min="5421" max="5421" width="12.7109375" style="3120" customWidth="1"/>
    <col min="5422" max="5424" width="11.421875" style="3120" customWidth="1"/>
    <col min="5425" max="5425" width="21.00390625" style="3120" customWidth="1"/>
    <col min="5426" max="5632" width="11.421875" style="3120" customWidth="1"/>
    <col min="5633" max="5633" width="21.28125" style="3120" customWidth="1"/>
    <col min="5634" max="5634" width="8.421875" style="3120" customWidth="1"/>
    <col min="5635" max="5635" width="4.7109375" style="3120" customWidth="1"/>
    <col min="5636" max="5636" width="25.00390625" style="3120" customWidth="1"/>
    <col min="5637" max="5637" width="24.421875" style="3120" customWidth="1"/>
    <col min="5638" max="5638" width="15.00390625" style="3120" customWidth="1"/>
    <col min="5639" max="5639" width="13.28125" style="3120" customWidth="1"/>
    <col min="5640" max="5641" width="11.421875" style="3120" hidden="1" customWidth="1"/>
    <col min="5642" max="5643" width="18.7109375" style="3120" customWidth="1"/>
    <col min="5644" max="5644" width="11.28125" style="3120" customWidth="1"/>
    <col min="5645" max="5645" width="10.7109375" style="3120" customWidth="1"/>
    <col min="5646" max="5646" width="9.7109375" style="3120" customWidth="1"/>
    <col min="5647" max="5647" width="10.57421875" style="3120" customWidth="1"/>
    <col min="5648" max="5648" width="8.421875" style="3120" customWidth="1"/>
    <col min="5649" max="5649" width="5.57421875" style="3120" customWidth="1"/>
    <col min="5650" max="5659" width="11.421875" style="3120" hidden="1" customWidth="1"/>
    <col min="5660" max="5660" width="9.7109375" style="3120" customWidth="1"/>
    <col min="5661" max="5661" width="21.00390625" style="3120" customWidth="1"/>
    <col min="5662" max="5662" width="6.421875" style="3120" customWidth="1"/>
    <col min="5663" max="5663" width="4.140625" style="3120" customWidth="1"/>
    <col min="5664" max="5664" width="7.140625" style="3120" customWidth="1"/>
    <col min="5665" max="5665" width="5.28125" style="3120" customWidth="1"/>
    <col min="5666" max="5666" width="5.421875" style="3120" customWidth="1"/>
    <col min="5667" max="5667" width="4.7109375" style="3120" customWidth="1"/>
    <col min="5668" max="5668" width="5.28125" style="3120" customWidth="1"/>
    <col min="5669" max="5670" width="13.28125" style="3120" customWidth="1"/>
    <col min="5671" max="5671" width="6.57421875" style="3120" customWidth="1"/>
    <col min="5672" max="5672" width="6.421875" style="3120" customWidth="1"/>
    <col min="5673" max="5676" width="11.421875" style="3120" customWidth="1"/>
    <col min="5677" max="5677" width="12.7109375" style="3120" customWidth="1"/>
    <col min="5678" max="5680" width="11.421875" style="3120" customWidth="1"/>
    <col min="5681" max="5681" width="21.00390625" style="3120" customWidth="1"/>
    <col min="5682" max="5888" width="11.421875" style="3120" customWidth="1"/>
    <col min="5889" max="5889" width="21.28125" style="3120" customWidth="1"/>
    <col min="5890" max="5890" width="8.421875" style="3120" customWidth="1"/>
    <col min="5891" max="5891" width="4.7109375" style="3120" customWidth="1"/>
    <col min="5892" max="5892" width="25.00390625" style="3120" customWidth="1"/>
    <col min="5893" max="5893" width="24.421875" style="3120" customWidth="1"/>
    <col min="5894" max="5894" width="15.00390625" style="3120" customWidth="1"/>
    <col min="5895" max="5895" width="13.28125" style="3120" customWidth="1"/>
    <col min="5896" max="5897" width="11.421875" style="3120" hidden="1" customWidth="1"/>
    <col min="5898" max="5899" width="18.7109375" style="3120" customWidth="1"/>
    <col min="5900" max="5900" width="11.28125" style="3120" customWidth="1"/>
    <col min="5901" max="5901" width="10.7109375" style="3120" customWidth="1"/>
    <col min="5902" max="5902" width="9.7109375" style="3120" customWidth="1"/>
    <col min="5903" max="5903" width="10.57421875" style="3120" customWidth="1"/>
    <col min="5904" max="5904" width="8.421875" style="3120" customWidth="1"/>
    <col min="5905" max="5905" width="5.57421875" style="3120" customWidth="1"/>
    <col min="5906" max="5915" width="11.421875" style="3120" hidden="1" customWidth="1"/>
    <col min="5916" max="5916" width="9.7109375" style="3120" customWidth="1"/>
    <col min="5917" max="5917" width="21.00390625" style="3120" customWidth="1"/>
    <col min="5918" max="5918" width="6.421875" style="3120" customWidth="1"/>
    <col min="5919" max="5919" width="4.140625" style="3120" customWidth="1"/>
    <col min="5920" max="5920" width="7.140625" style="3120" customWidth="1"/>
    <col min="5921" max="5921" width="5.28125" style="3120" customWidth="1"/>
    <col min="5922" max="5922" width="5.421875" style="3120" customWidth="1"/>
    <col min="5923" max="5923" width="4.7109375" style="3120" customWidth="1"/>
    <col min="5924" max="5924" width="5.28125" style="3120" customWidth="1"/>
    <col min="5925" max="5926" width="13.28125" style="3120" customWidth="1"/>
    <col min="5927" max="5927" width="6.57421875" style="3120" customWidth="1"/>
    <col min="5928" max="5928" width="6.421875" style="3120" customWidth="1"/>
    <col min="5929" max="5932" width="11.421875" style="3120" customWidth="1"/>
    <col min="5933" max="5933" width="12.7109375" style="3120" customWidth="1"/>
    <col min="5934" max="5936" width="11.421875" style="3120" customWidth="1"/>
    <col min="5937" max="5937" width="21.00390625" style="3120" customWidth="1"/>
    <col min="5938" max="6144" width="11.421875" style="3120" customWidth="1"/>
    <col min="6145" max="6145" width="21.28125" style="3120" customWidth="1"/>
    <col min="6146" max="6146" width="8.421875" style="3120" customWidth="1"/>
    <col min="6147" max="6147" width="4.7109375" style="3120" customWidth="1"/>
    <col min="6148" max="6148" width="25.00390625" style="3120" customWidth="1"/>
    <col min="6149" max="6149" width="24.421875" style="3120" customWidth="1"/>
    <col min="6150" max="6150" width="15.00390625" style="3120" customWidth="1"/>
    <col min="6151" max="6151" width="13.28125" style="3120" customWidth="1"/>
    <col min="6152" max="6153" width="11.421875" style="3120" hidden="1" customWidth="1"/>
    <col min="6154" max="6155" width="18.7109375" style="3120" customWidth="1"/>
    <col min="6156" max="6156" width="11.28125" style="3120" customWidth="1"/>
    <col min="6157" max="6157" width="10.7109375" style="3120" customWidth="1"/>
    <col min="6158" max="6158" width="9.7109375" style="3120" customWidth="1"/>
    <col min="6159" max="6159" width="10.57421875" style="3120" customWidth="1"/>
    <col min="6160" max="6160" width="8.421875" style="3120" customWidth="1"/>
    <col min="6161" max="6161" width="5.57421875" style="3120" customWidth="1"/>
    <col min="6162" max="6171" width="11.421875" style="3120" hidden="1" customWidth="1"/>
    <col min="6172" max="6172" width="9.7109375" style="3120" customWidth="1"/>
    <col min="6173" max="6173" width="21.00390625" style="3120" customWidth="1"/>
    <col min="6174" max="6174" width="6.421875" style="3120" customWidth="1"/>
    <col min="6175" max="6175" width="4.140625" style="3120" customWidth="1"/>
    <col min="6176" max="6176" width="7.140625" style="3120" customWidth="1"/>
    <col min="6177" max="6177" width="5.28125" style="3120" customWidth="1"/>
    <col min="6178" max="6178" width="5.421875" style="3120" customWidth="1"/>
    <col min="6179" max="6179" width="4.7109375" style="3120" customWidth="1"/>
    <col min="6180" max="6180" width="5.28125" style="3120" customWidth="1"/>
    <col min="6181" max="6182" width="13.28125" style="3120" customWidth="1"/>
    <col min="6183" max="6183" width="6.57421875" style="3120" customWidth="1"/>
    <col min="6184" max="6184" width="6.421875" style="3120" customWidth="1"/>
    <col min="6185" max="6188" width="11.421875" style="3120" customWidth="1"/>
    <col min="6189" max="6189" width="12.7109375" style="3120" customWidth="1"/>
    <col min="6190" max="6192" width="11.421875" style="3120" customWidth="1"/>
    <col min="6193" max="6193" width="21.00390625" style="3120" customWidth="1"/>
    <col min="6194" max="6400" width="11.421875" style="3120" customWidth="1"/>
    <col min="6401" max="6401" width="21.28125" style="3120" customWidth="1"/>
    <col min="6402" max="6402" width="8.421875" style="3120" customWidth="1"/>
    <col min="6403" max="6403" width="4.7109375" style="3120" customWidth="1"/>
    <col min="6404" max="6404" width="25.00390625" style="3120" customWidth="1"/>
    <col min="6405" max="6405" width="24.421875" style="3120" customWidth="1"/>
    <col min="6406" max="6406" width="15.00390625" style="3120" customWidth="1"/>
    <col min="6407" max="6407" width="13.28125" style="3120" customWidth="1"/>
    <col min="6408" max="6409" width="11.421875" style="3120" hidden="1" customWidth="1"/>
    <col min="6410" max="6411" width="18.7109375" style="3120" customWidth="1"/>
    <col min="6412" max="6412" width="11.28125" style="3120" customWidth="1"/>
    <col min="6413" max="6413" width="10.7109375" style="3120" customWidth="1"/>
    <col min="6414" max="6414" width="9.7109375" style="3120" customWidth="1"/>
    <col min="6415" max="6415" width="10.57421875" style="3120" customWidth="1"/>
    <col min="6416" max="6416" width="8.421875" style="3120" customWidth="1"/>
    <col min="6417" max="6417" width="5.57421875" style="3120" customWidth="1"/>
    <col min="6418" max="6427" width="11.421875" style="3120" hidden="1" customWidth="1"/>
    <col min="6428" max="6428" width="9.7109375" style="3120" customWidth="1"/>
    <col min="6429" max="6429" width="21.00390625" style="3120" customWidth="1"/>
    <col min="6430" max="6430" width="6.421875" style="3120" customWidth="1"/>
    <col min="6431" max="6431" width="4.140625" style="3120" customWidth="1"/>
    <col min="6432" max="6432" width="7.140625" style="3120" customWidth="1"/>
    <col min="6433" max="6433" width="5.28125" style="3120" customWidth="1"/>
    <col min="6434" max="6434" width="5.421875" style="3120" customWidth="1"/>
    <col min="6435" max="6435" width="4.7109375" style="3120" customWidth="1"/>
    <col min="6436" max="6436" width="5.28125" style="3120" customWidth="1"/>
    <col min="6437" max="6438" width="13.28125" style="3120" customWidth="1"/>
    <col min="6439" max="6439" width="6.57421875" style="3120" customWidth="1"/>
    <col min="6440" max="6440" width="6.421875" style="3120" customWidth="1"/>
    <col min="6441" max="6444" width="11.421875" style="3120" customWidth="1"/>
    <col min="6445" max="6445" width="12.7109375" style="3120" customWidth="1"/>
    <col min="6446" max="6448" width="11.421875" style="3120" customWidth="1"/>
    <col min="6449" max="6449" width="21.00390625" style="3120" customWidth="1"/>
    <col min="6450" max="6656" width="11.421875" style="3120" customWidth="1"/>
    <col min="6657" max="6657" width="21.28125" style="3120" customWidth="1"/>
    <col min="6658" max="6658" width="8.421875" style="3120" customWidth="1"/>
    <col min="6659" max="6659" width="4.7109375" style="3120" customWidth="1"/>
    <col min="6660" max="6660" width="25.00390625" style="3120" customWidth="1"/>
    <col min="6661" max="6661" width="24.421875" style="3120" customWidth="1"/>
    <col min="6662" max="6662" width="15.00390625" style="3120" customWidth="1"/>
    <col min="6663" max="6663" width="13.28125" style="3120" customWidth="1"/>
    <col min="6664" max="6665" width="11.421875" style="3120" hidden="1" customWidth="1"/>
    <col min="6666" max="6667" width="18.7109375" style="3120" customWidth="1"/>
    <col min="6668" max="6668" width="11.28125" style="3120" customWidth="1"/>
    <col min="6669" max="6669" width="10.7109375" style="3120" customWidth="1"/>
    <col min="6670" max="6670" width="9.7109375" style="3120" customWidth="1"/>
    <col min="6671" max="6671" width="10.57421875" style="3120" customWidth="1"/>
    <col min="6672" max="6672" width="8.421875" style="3120" customWidth="1"/>
    <col min="6673" max="6673" width="5.57421875" style="3120" customWidth="1"/>
    <col min="6674" max="6683" width="11.421875" style="3120" hidden="1" customWidth="1"/>
    <col min="6684" max="6684" width="9.7109375" style="3120" customWidth="1"/>
    <col min="6685" max="6685" width="21.00390625" style="3120" customWidth="1"/>
    <col min="6686" max="6686" width="6.421875" style="3120" customWidth="1"/>
    <col min="6687" max="6687" width="4.140625" style="3120" customWidth="1"/>
    <col min="6688" max="6688" width="7.140625" style="3120" customWidth="1"/>
    <col min="6689" max="6689" width="5.28125" style="3120" customWidth="1"/>
    <col min="6690" max="6690" width="5.421875" style="3120" customWidth="1"/>
    <col min="6691" max="6691" width="4.7109375" style="3120" customWidth="1"/>
    <col min="6692" max="6692" width="5.28125" style="3120" customWidth="1"/>
    <col min="6693" max="6694" width="13.28125" style="3120" customWidth="1"/>
    <col min="6695" max="6695" width="6.57421875" style="3120" customWidth="1"/>
    <col min="6696" max="6696" width="6.421875" style="3120" customWidth="1"/>
    <col min="6697" max="6700" width="11.421875" style="3120" customWidth="1"/>
    <col min="6701" max="6701" width="12.7109375" style="3120" customWidth="1"/>
    <col min="6702" max="6704" width="11.421875" style="3120" customWidth="1"/>
    <col min="6705" max="6705" width="21.00390625" style="3120" customWidth="1"/>
    <col min="6706" max="6912" width="11.421875" style="3120" customWidth="1"/>
    <col min="6913" max="6913" width="21.28125" style="3120" customWidth="1"/>
    <col min="6914" max="6914" width="8.421875" style="3120" customWidth="1"/>
    <col min="6915" max="6915" width="4.7109375" style="3120" customWidth="1"/>
    <col min="6916" max="6916" width="25.00390625" style="3120" customWidth="1"/>
    <col min="6917" max="6917" width="24.421875" style="3120" customWidth="1"/>
    <col min="6918" max="6918" width="15.00390625" style="3120" customWidth="1"/>
    <col min="6919" max="6919" width="13.28125" style="3120" customWidth="1"/>
    <col min="6920" max="6921" width="11.421875" style="3120" hidden="1" customWidth="1"/>
    <col min="6922" max="6923" width="18.7109375" style="3120" customWidth="1"/>
    <col min="6924" max="6924" width="11.28125" style="3120" customWidth="1"/>
    <col min="6925" max="6925" width="10.7109375" style="3120" customWidth="1"/>
    <col min="6926" max="6926" width="9.7109375" style="3120" customWidth="1"/>
    <col min="6927" max="6927" width="10.57421875" style="3120" customWidth="1"/>
    <col min="6928" max="6928" width="8.421875" style="3120" customWidth="1"/>
    <col min="6929" max="6929" width="5.57421875" style="3120" customWidth="1"/>
    <col min="6930" max="6939" width="11.421875" style="3120" hidden="1" customWidth="1"/>
    <col min="6940" max="6940" width="9.7109375" style="3120" customWidth="1"/>
    <col min="6941" max="6941" width="21.00390625" style="3120" customWidth="1"/>
    <col min="6942" max="6942" width="6.421875" style="3120" customWidth="1"/>
    <col min="6943" max="6943" width="4.140625" style="3120" customWidth="1"/>
    <col min="6944" max="6944" width="7.140625" style="3120" customWidth="1"/>
    <col min="6945" max="6945" width="5.28125" style="3120" customWidth="1"/>
    <col min="6946" max="6946" width="5.421875" style="3120" customWidth="1"/>
    <col min="6947" max="6947" width="4.7109375" style="3120" customWidth="1"/>
    <col min="6948" max="6948" width="5.28125" style="3120" customWidth="1"/>
    <col min="6949" max="6950" width="13.28125" style="3120" customWidth="1"/>
    <col min="6951" max="6951" width="6.57421875" style="3120" customWidth="1"/>
    <col min="6952" max="6952" width="6.421875" style="3120" customWidth="1"/>
    <col min="6953" max="6956" width="11.421875" style="3120" customWidth="1"/>
    <col min="6957" max="6957" width="12.7109375" style="3120" customWidth="1"/>
    <col min="6958" max="6960" width="11.421875" style="3120" customWidth="1"/>
    <col min="6961" max="6961" width="21.00390625" style="3120" customWidth="1"/>
    <col min="6962" max="7168" width="11.421875" style="3120" customWidth="1"/>
    <col min="7169" max="7169" width="21.28125" style="3120" customWidth="1"/>
    <col min="7170" max="7170" width="8.421875" style="3120" customWidth="1"/>
    <col min="7171" max="7171" width="4.7109375" style="3120" customWidth="1"/>
    <col min="7172" max="7172" width="25.00390625" style="3120" customWidth="1"/>
    <col min="7173" max="7173" width="24.421875" style="3120" customWidth="1"/>
    <col min="7174" max="7174" width="15.00390625" style="3120" customWidth="1"/>
    <col min="7175" max="7175" width="13.28125" style="3120" customWidth="1"/>
    <col min="7176" max="7177" width="11.421875" style="3120" hidden="1" customWidth="1"/>
    <col min="7178" max="7179" width="18.7109375" style="3120" customWidth="1"/>
    <col min="7180" max="7180" width="11.28125" style="3120" customWidth="1"/>
    <col min="7181" max="7181" width="10.7109375" style="3120" customWidth="1"/>
    <col min="7182" max="7182" width="9.7109375" style="3120" customWidth="1"/>
    <col min="7183" max="7183" width="10.57421875" style="3120" customWidth="1"/>
    <col min="7184" max="7184" width="8.421875" style="3120" customWidth="1"/>
    <col min="7185" max="7185" width="5.57421875" style="3120" customWidth="1"/>
    <col min="7186" max="7195" width="11.421875" style="3120" hidden="1" customWidth="1"/>
    <col min="7196" max="7196" width="9.7109375" style="3120" customWidth="1"/>
    <col min="7197" max="7197" width="21.00390625" style="3120" customWidth="1"/>
    <col min="7198" max="7198" width="6.421875" style="3120" customWidth="1"/>
    <col min="7199" max="7199" width="4.140625" style="3120" customWidth="1"/>
    <col min="7200" max="7200" width="7.140625" style="3120" customWidth="1"/>
    <col min="7201" max="7201" width="5.28125" style="3120" customWidth="1"/>
    <col min="7202" max="7202" width="5.421875" style="3120" customWidth="1"/>
    <col min="7203" max="7203" width="4.7109375" style="3120" customWidth="1"/>
    <col min="7204" max="7204" width="5.28125" style="3120" customWidth="1"/>
    <col min="7205" max="7206" width="13.28125" style="3120" customWidth="1"/>
    <col min="7207" max="7207" width="6.57421875" style="3120" customWidth="1"/>
    <col min="7208" max="7208" width="6.421875" style="3120" customWidth="1"/>
    <col min="7209" max="7212" width="11.421875" style="3120" customWidth="1"/>
    <col min="7213" max="7213" width="12.7109375" style="3120" customWidth="1"/>
    <col min="7214" max="7216" width="11.421875" style="3120" customWidth="1"/>
    <col min="7217" max="7217" width="21.00390625" style="3120" customWidth="1"/>
    <col min="7218" max="7424" width="11.421875" style="3120" customWidth="1"/>
    <col min="7425" max="7425" width="21.28125" style="3120" customWidth="1"/>
    <col min="7426" max="7426" width="8.421875" style="3120" customWidth="1"/>
    <col min="7427" max="7427" width="4.7109375" style="3120" customWidth="1"/>
    <col min="7428" max="7428" width="25.00390625" style="3120" customWidth="1"/>
    <col min="7429" max="7429" width="24.421875" style="3120" customWidth="1"/>
    <col min="7430" max="7430" width="15.00390625" style="3120" customWidth="1"/>
    <col min="7431" max="7431" width="13.28125" style="3120" customWidth="1"/>
    <col min="7432" max="7433" width="11.421875" style="3120" hidden="1" customWidth="1"/>
    <col min="7434" max="7435" width="18.7109375" style="3120" customWidth="1"/>
    <col min="7436" max="7436" width="11.28125" style="3120" customWidth="1"/>
    <col min="7437" max="7437" width="10.7109375" style="3120" customWidth="1"/>
    <col min="7438" max="7438" width="9.7109375" style="3120" customWidth="1"/>
    <col min="7439" max="7439" width="10.57421875" style="3120" customWidth="1"/>
    <col min="7440" max="7440" width="8.421875" style="3120" customWidth="1"/>
    <col min="7441" max="7441" width="5.57421875" style="3120" customWidth="1"/>
    <col min="7442" max="7451" width="11.421875" style="3120" hidden="1" customWidth="1"/>
    <col min="7452" max="7452" width="9.7109375" style="3120" customWidth="1"/>
    <col min="7453" max="7453" width="21.00390625" style="3120" customWidth="1"/>
    <col min="7454" max="7454" width="6.421875" style="3120" customWidth="1"/>
    <col min="7455" max="7455" width="4.140625" style="3120" customWidth="1"/>
    <col min="7456" max="7456" width="7.140625" style="3120" customWidth="1"/>
    <col min="7457" max="7457" width="5.28125" style="3120" customWidth="1"/>
    <col min="7458" max="7458" width="5.421875" style="3120" customWidth="1"/>
    <col min="7459" max="7459" width="4.7109375" style="3120" customWidth="1"/>
    <col min="7460" max="7460" width="5.28125" style="3120" customWidth="1"/>
    <col min="7461" max="7462" width="13.28125" style="3120" customWidth="1"/>
    <col min="7463" max="7463" width="6.57421875" style="3120" customWidth="1"/>
    <col min="7464" max="7464" width="6.421875" style="3120" customWidth="1"/>
    <col min="7465" max="7468" width="11.421875" style="3120" customWidth="1"/>
    <col min="7469" max="7469" width="12.7109375" style="3120" customWidth="1"/>
    <col min="7470" max="7472" width="11.421875" style="3120" customWidth="1"/>
    <col min="7473" max="7473" width="21.00390625" style="3120" customWidth="1"/>
    <col min="7474" max="7680" width="11.421875" style="3120" customWidth="1"/>
    <col min="7681" max="7681" width="21.28125" style="3120" customWidth="1"/>
    <col min="7682" max="7682" width="8.421875" style="3120" customWidth="1"/>
    <col min="7683" max="7683" width="4.7109375" style="3120" customWidth="1"/>
    <col min="7684" max="7684" width="25.00390625" style="3120" customWidth="1"/>
    <col min="7685" max="7685" width="24.421875" style="3120" customWidth="1"/>
    <col min="7686" max="7686" width="15.00390625" style="3120" customWidth="1"/>
    <col min="7687" max="7687" width="13.28125" style="3120" customWidth="1"/>
    <col min="7688" max="7689" width="11.421875" style="3120" hidden="1" customWidth="1"/>
    <col min="7690" max="7691" width="18.7109375" style="3120" customWidth="1"/>
    <col min="7692" max="7692" width="11.28125" style="3120" customWidth="1"/>
    <col min="7693" max="7693" width="10.7109375" style="3120" customWidth="1"/>
    <col min="7694" max="7694" width="9.7109375" style="3120" customWidth="1"/>
    <col min="7695" max="7695" width="10.57421875" style="3120" customWidth="1"/>
    <col min="7696" max="7696" width="8.421875" style="3120" customWidth="1"/>
    <col min="7697" max="7697" width="5.57421875" style="3120" customWidth="1"/>
    <col min="7698" max="7707" width="11.421875" style="3120" hidden="1" customWidth="1"/>
    <col min="7708" max="7708" width="9.7109375" style="3120" customWidth="1"/>
    <col min="7709" max="7709" width="21.00390625" style="3120" customWidth="1"/>
    <col min="7710" max="7710" width="6.421875" style="3120" customWidth="1"/>
    <col min="7711" max="7711" width="4.140625" style="3120" customWidth="1"/>
    <col min="7712" max="7712" width="7.140625" style="3120" customWidth="1"/>
    <col min="7713" max="7713" width="5.28125" style="3120" customWidth="1"/>
    <col min="7714" max="7714" width="5.421875" style="3120" customWidth="1"/>
    <col min="7715" max="7715" width="4.7109375" style="3120" customWidth="1"/>
    <col min="7716" max="7716" width="5.28125" style="3120" customWidth="1"/>
    <col min="7717" max="7718" width="13.28125" style="3120" customWidth="1"/>
    <col min="7719" max="7719" width="6.57421875" style="3120" customWidth="1"/>
    <col min="7720" max="7720" width="6.421875" style="3120" customWidth="1"/>
    <col min="7721" max="7724" width="11.421875" style="3120" customWidth="1"/>
    <col min="7725" max="7725" width="12.7109375" style="3120" customWidth="1"/>
    <col min="7726" max="7728" width="11.421875" style="3120" customWidth="1"/>
    <col min="7729" max="7729" width="21.00390625" style="3120" customWidth="1"/>
    <col min="7730" max="7936" width="11.421875" style="3120" customWidth="1"/>
    <col min="7937" max="7937" width="21.28125" style="3120" customWidth="1"/>
    <col min="7938" max="7938" width="8.421875" style="3120" customWidth="1"/>
    <col min="7939" max="7939" width="4.7109375" style="3120" customWidth="1"/>
    <col min="7940" max="7940" width="25.00390625" style="3120" customWidth="1"/>
    <col min="7941" max="7941" width="24.421875" style="3120" customWidth="1"/>
    <col min="7942" max="7942" width="15.00390625" style="3120" customWidth="1"/>
    <col min="7943" max="7943" width="13.28125" style="3120" customWidth="1"/>
    <col min="7944" max="7945" width="11.421875" style="3120" hidden="1" customWidth="1"/>
    <col min="7946" max="7947" width="18.7109375" style="3120" customWidth="1"/>
    <col min="7948" max="7948" width="11.28125" style="3120" customWidth="1"/>
    <col min="7949" max="7949" width="10.7109375" style="3120" customWidth="1"/>
    <col min="7950" max="7950" width="9.7109375" style="3120" customWidth="1"/>
    <col min="7951" max="7951" width="10.57421875" style="3120" customWidth="1"/>
    <col min="7952" max="7952" width="8.421875" style="3120" customWidth="1"/>
    <col min="7953" max="7953" width="5.57421875" style="3120" customWidth="1"/>
    <col min="7954" max="7963" width="11.421875" style="3120" hidden="1" customWidth="1"/>
    <col min="7964" max="7964" width="9.7109375" style="3120" customWidth="1"/>
    <col min="7965" max="7965" width="21.00390625" style="3120" customWidth="1"/>
    <col min="7966" max="7966" width="6.421875" style="3120" customWidth="1"/>
    <col min="7967" max="7967" width="4.140625" style="3120" customWidth="1"/>
    <col min="7968" max="7968" width="7.140625" style="3120" customWidth="1"/>
    <col min="7969" max="7969" width="5.28125" style="3120" customWidth="1"/>
    <col min="7970" max="7970" width="5.421875" style="3120" customWidth="1"/>
    <col min="7971" max="7971" width="4.7109375" style="3120" customWidth="1"/>
    <col min="7972" max="7972" width="5.28125" style="3120" customWidth="1"/>
    <col min="7973" max="7974" width="13.28125" style="3120" customWidth="1"/>
    <col min="7975" max="7975" width="6.57421875" style="3120" customWidth="1"/>
    <col min="7976" max="7976" width="6.421875" style="3120" customWidth="1"/>
    <col min="7977" max="7980" width="11.421875" style="3120" customWidth="1"/>
    <col min="7981" max="7981" width="12.7109375" style="3120" customWidth="1"/>
    <col min="7982" max="7984" width="11.421875" style="3120" customWidth="1"/>
    <col min="7985" max="7985" width="21.00390625" style="3120" customWidth="1"/>
    <col min="7986" max="8192" width="11.421875" style="3120" customWidth="1"/>
    <col min="8193" max="8193" width="21.28125" style="3120" customWidth="1"/>
    <col min="8194" max="8194" width="8.421875" style="3120" customWidth="1"/>
    <col min="8195" max="8195" width="4.7109375" style="3120" customWidth="1"/>
    <col min="8196" max="8196" width="25.00390625" style="3120" customWidth="1"/>
    <col min="8197" max="8197" width="24.421875" style="3120" customWidth="1"/>
    <col min="8198" max="8198" width="15.00390625" style="3120" customWidth="1"/>
    <col min="8199" max="8199" width="13.28125" style="3120" customWidth="1"/>
    <col min="8200" max="8201" width="11.421875" style="3120" hidden="1" customWidth="1"/>
    <col min="8202" max="8203" width="18.7109375" style="3120" customWidth="1"/>
    <col min="8204" max="8204" width="11.28125" style="3120" customWidth="1"/>
    <col min="8205" max="8205" width="10.7109375" style="3120" customWidth="1"/>
    <col min="8206" max="8206" width="9.7109375" style="3120" customWidth="1"/>
    <col min="8207" max="8207" width="10.57421875" style="3120" customWidth="1"/>
    <col min="8208" max="8208" width="8.421875" style="3120" customWidth="1"/>
    <col min="8209" max="8209" width="5.57421875" style="3120" customWidth="1"/>
    <col min="8210" max="8219" width="11.421875" style="3120" hidden="1" customWidth="1"/>
    <col min="8220" max="8220" width="9.7109375" style="3120" customWidth="1"/>
    <col min="8221" max="8221" width="21.00390625" style="3120" customWidth="1"/>
    <col min="8222" max="8222" width="6.421875" style="3120" customWidth="1"/>
    <col min="8223" max="8223" width="4.140625" style="3120" customWidth="1"/>
    <col min="8224" max="8224" width="7.140625" style="3120" customWidth="1"/>
    <col min="8225" max="8225" width="5.28125" style="3120" customWidth="1"/>
    <col min="8226" max="8226" width="5.421875" style="3120" customWidth="1"/>
    <col min="8227" max="8227" width="4.7109375" style="3120" customWidth="1"/>
    <col min="8228" max="8228" width="5.28125" style="3120" customWidth="1"/>
    <col min="8229" max="8230" width="13.28125" style="3120" customWidth="1"/>
    <col min="8231" max="8231" width="6.57421875" style="3120" customWidth="1"/>
    <col min="8232" max="8232" width="6.421875" style="3120" customWidth="1"/>
    <col min="8233" max="8236" width="11.421875" style="3120" customWidth="1"/>
    <col min="8237" max="8237" width="12.7109375" style="3120" customWidth="1"/>
    <col min="8238" max="8240" width="11.421875" style="3120" customWidth="1"/>
    <col min="8241" max="8241" width="21.00390625" style="3120" customWidth="1"/>
    <col min="8242" max="8448" width="11.421875" style="3120" customWidth="1"/>
    <col min="8449" max="8449" width="21.28125" style="3120" customWidth="1"/>
    <col min="8450" max="8450" width="8.421875" style="3120" customWidth="1"/>
    <col min="8451" max="8451" width="4.7109375" style="3120" customWidth="1"/>
    <col min="8452" max="8452" width="25.00390625" style="3120" customWidth="1"/>
    <col min="8453" max="8453" width="24.421875" style="3120" customWidth="1"/>
    <col min="8454" max="8454" width="15.00390625" style="3120" customWidth="1"/>
    <col min="8455" max="8455" width="13.28125" style="3120" customWidth="1"/>
    <col min="8456" max="8457" width="11.421875" style="3120" hidden="1" customWidth="1"/>
    <col min="8458" max="8459" width="18.7109375" style="3120" customWidth="1"/>
    <col min="8460" max="8460" width="11.28125" style="3120" customWidth="1"/>
    <col min="8461" max="8461" width="10.7109375" style="3120" customWidth="1"/>
    <col min="8462" max="8462" width="9.7109375" style="3120" customWidth="1"/>
    <col min="8463" max="8463" width="10.57421875" style="3120" customWidth="1"/>
    <col min="8464" max="8464" width="8.421875" style="3120" customWidth="1"/>
    <col min="8465" max="8465" width="5.57421875" style="3120" customWidth="1"/>
    <col min="8466" max="8475" width="11.421875" style="3120" hidden="1" customWidth="1"/>
    <col min="8476" max="8476" width="9.7109375" style="3120" customWidth="1"/>
    <col min="8477" max="8477" width="21.00390625" style="3120" customWidth="1"/>
    <col min="8478" max="8478" width="6.421875" style="3120" customWidth="1"/>
    <col min="8479" max="8479" width="4.140625" style="3120" customWidth="1"/>
    <col min="8480" max="8480" width="7.140625" style="3120" customWidth="1"/>
    <col min="8481" max="8481" width="5.28125" style="3120" customWidth="1"/>
    <col min="8482" max="8482" width="5.421875" style="3120" customWidth="1"/>
    <col min="8483" max="8483" width="4.7109375" style="3120" customWidth="1"/>
    <col min="8484" max="8484" width="5.28125" style="3120" customWidth="1"/>
    <col min="8485" max="8486" width="13.28125" style="3120" customWidth="1"/>
    <col min="8487" max="8487" width="6.57421875" style="3120" customWidth="1"/>
    <col min="8488" max="8488" width="6.421875" style="3120" customWidth="1"/>
    <col min="8489" max="8492" width="11.421875" style="3120" customWidth="1"/>
    <col min="8493" max="8493" width="12.7109375" style="3120" customWidth="1"/>
    <col min="8494" max="8496" width="11.421875" style="3120" customWidth="1"/>
    <col min="8497" max="8497" width="21.00390625" style="3120" customWidth="1"/>
    <col min="8498" max="8704" width="11.421875" style="3120" customWidth="1"/>
    <col min="8705" max="8705" width="21.28125" style="3120" customWidth="1"/>
    <col min="8706" max="8706" width="8.421875" style="3120" customWidth="1"/>
    <col min="8707" max="8707" width="4.7109375" style="3120" customWidth="1"/>
    <col min="8708" max="8708" width="25.00390625" style="3120" customWidth="1"/>
    <col min="8709" max="8709" width="24.421875" style="3120" customWidth="1"/>
    <col min="8710" max="8710" width="15.00390625" style="3120" customWidth="1"/>
    <col min="8711" max="8711" width="13.28125" style="3120" customWidth="1"/>
    <col min="8712" max="8713" width="11.421875" style="3120" hidden="1" customWidth="1"/>
    <col min="8714" max="8715" width="18.7109375" style="3120" customWidth="1"/>
    <col min="8716" max="8716" width="11.28125" style="3120" customWidth="1"/>
    <col min="8717" max="8717" width="10.7109375" style="3120" customWidth="1"/>
    <col min="8718" max="8718" width="9.7109375" style="3120" customWidth="1"/>
    <col min="8719" max="8719" width="10.57421875" style="3120" customWidth="1"/>
    <col min="8720" max="8720" width="8.421875" style="3120" customWidth="1"/>
    <col min="8721" max="8721" width="5.57421875" style="3120" customWidth="1"/>
    <col min="8722" max="8731" width="11.421875" style="3120" hidden="1" customWidth="1"/>
    <col min="8732" max="8732" width="9.7109375" style="3120" customWidth="1"/>
    <col min="8733" max="8733" width="21.00390625" style="3120" customWidth="1"/>
    <col min="8734" max="8734" width="6.421875" style="3120" customWidth="1"/>
    <col min="8735" max="8735" width="4.140625" style="3120" customWidth="1"/>
    <col min="8736" max="8736" width="7.140625" style="3120" customWidth="1"/>
    <col min="8737" max="8737" width="5.28125" style="3120" customWidth="1"/>
    <col min="8738" max="8738" width="5.421875" style="3120" customWidth="1"/>
    <col min="8739" max="8739" width="4.7109375" style="3120" customWidth="1"/>
    <col min="8740" max="8740" width="5.28125" style="3120" customWidth="1"/>
    <col min="8741" max="8742" width="13.28125" style="3120" customWidth="1"/>
    <col min="8743" max="8743" width="6.57421875" style="3120" customWidth="1"/>
    <col min="8744" max="8744" width="6.421875" style="3120" customWidth="1"/>
    <col min="8745" max="8748" width="11.421875" style="3120" customWidth="1"/>
    <col min="8749" max="8749" width="12.7109375" style="3120" customWidth="1"/>
    <col min="8750" max="8752" width="11.421875" style="3120" customWidth="1"/>
    <col min="8753" max="8753" width="21.00390625" style="3120" customWidth="1"/>
    <col min="8754" max="8960" width="11.421875" style="3120" customWidth="1"/>
    <col min="8961" max="8961" width="21.28125" style="3120" customWidth="1"/>
    <col min="8962" max="8962" width="8.421875" style="3120" customWidth="1"/>
    <col min="8963" max="8963" width="4.7109375" style="3120" customWidth="1"/>
    <col min="8964" max="8964" width="25.00390625" style="3120" customWidth="1"/>
    <col min="8965" max="8965" width="24.421875" style="3120" customWidth="1"/>
    <col min="8966" max="8966" width="15.00390625" style="3120" customWidth="1"/>
    <col min="8967" max="8967" width="13.28125" style="3120" customWidth="1"/>
    <col min="8968" max="8969" width="11.421875" style="3120" hidden="1" customWidth="1"/>
    <col min="8970" max="8971" width="18.7109375" style="3120" customWidth="1"/>
    <col min="8972" max="8972" width="11.28125" style="3120" customWidth="1"/>
    <col min="8973" max="8973" width="10.7109375" style="3120" customWidth="1"/>
    <col min="8974" max="8974" width="9.7109375" style="3120" customWidth="1"/>
    <col min="8975" max="8975" width="10.57421875" style="3120" customWidth="1"/>
    <col min="8976" max="8976" width="8.421875" style="3120" customWidth="1"/>
    <col min="8977" max="8977" width="5.57421875" style="3120" customWidth="1"/>
    <col min="8978" max="8987" width="11.421875" style="3120" hidden="1" customWidth="1"/>
    <col min="8988" max="8988" width="9.7109375" style="3120" customWidth="1"/>
    <col min="8989" max="8989" width="21.00390625" style="3120" customWidth="1"/>
    <col min="8990" max="8990" width="6.421875" style="3120" customWidth="1"/>
    <col min="8991" max="8991" width="4.140625" style="3120" customWidth="1"/>
    <col min="8992" max="8992" width="7.140625" style="3120" customWidth="1"/>
    <col min="8993" max="8993" width="5.28125" style="3120" customWidth="1"/>
    <col min="8994" max="8994" width="5.421875" style="3120" customWidth="1"/>
    <col min="8995" max="8995" width="4.7109375" style="3120" customWidth="1"/>
    <col min="8996" max="8996" width="5.28125" style="3120" customWidth="1"/>
    <col min="8997" max="8998" width="13.28125" style="3120" customWidth="1"/>
    <col min="8999" max="8999" width="6.57421875" style="3120" customWidth="1"/>
    <col min="9000" max="9000" width="6.421875" style="3120" customWidth="1"/>
    <col min="9001" max="9004" width="11.421875" style="3120" customWidth="1"/>
    <col min="9005" max="9005" width="12.7109375" style="3120" customWidth="1"/>
    <col min="9006" max="9008" width="11.421875" style="3120" customWidth="1"/>
    <col min="9009" max="9009" width="21.00390625" style="3120" customWidth="1"/>
    <col min="9010" max="9216" width="11.421875" style="3120" customWidth="1"/>
    <col min="9217" max="9217" width="21.28125" style="3120" customWidth="1"/>
    <col min="9218" max="9218" width="8.421875" style="3120" customWidth="1"/>
    <col min="9219" max="9219" width="4.7109375" style="3120" customWidth="1"/>
    <col min="9220" max="9220" width="25.00390625" style="3120" customWidth="1"/>
    <col min="9221" max="9221" width="24.421875" style="3120" customWidth="1"/>
    <col min="9222" max="9222" width="15.00390625" style="3120" customWidth="1"/>
    <col min="9223" max="9223" width="13.28125" style="3120" customWidth="1"/>
    <col min="9224" max="9225" width="11.421875" style="3120" hidden="1" customWidth="1"/>
    <col min="9226" max="9227" width="18.7109375" style="3120" customWidth="1"/>
    <col min="9228" max="9228" width="11.28125" style="3120" customWidth="1"/>
    <col min="9229" max="9229" width="10.7109375" style="3120" customWidth="1"/>
    <col min="9230" max="9230" width="9.7109375" style="3120" customWidth="1"/>
    <col min="9231" max="9231" width="10.57421875" style="3120" customWidth="1"/>
    <col min="9232" max="9232" width="8.421875" style="3120" customWidth="1"/>
    <col min="9233" max="9233" width="5.57421875" style="3120" customWidth="1"/>
    <col min="9234" max="9243" width="11.421875" style="3120" hidden="1" customWidth="1"/>
    <col min="9244" max="9244" width="9.7109375" style="3120" customWidth="1"/>
    <col min="9245" max="9245" width="21.00390625" style="3120" customWidth="1"/>
    <col min="9246" max="9246" width="6.421875" style="3120" customWidth="1"/>
    <col min="9247" max="9247" width="4.140625" style="3120" customWidth="1"/>
    <col min="9248" max="9248" width="7.140625" style="3120" customWidth="1"/>
    <col min="9249" max="9249" width="5.28125" style="3120" customWidth="1"/>
    <col min="9250" max="9250" width="5.421875" style="3120" customWidth="1"/>
    <col min="9251" max="9251" width="4.7109375" style="3120" customWidth="1"/>
    <col min="9252" max="9252" width="5.28125" style="3120" customWidth="1"/>
    <col min="9253" max="9254" width="13.28125" style="3120" customWidth="1"/>
    <col min="9255" max="9255" width="6.57421875" style="3120" customWidth="1"/>
    <col min="9256" max="9256" width="6.421875" style="3120" customWidth="1"/>
    <col min="9257" max="9260" width="11.421875" style="3120" customWidth="1"/>
    <col min="9261" max="9261" width="12.7109375" style="3120" customWidth="1"/>
    <col min="9262" max="9264" width="11.421875" style="3120" customWidth="1"/>
    <col min="9265" max="9265" width="21.00390625" style="3120" customWidth="1"/>
    <col min="9266" max="9472" width="11.421875" style="3120" customWidth="1"/>
    <col min="9473" max="9473" width="21.28125" style="3120" customWidth="1"/>
    <col min="9474" max="9474" width="8.421875" style="3120" customWidth="1"/>
    <col min="9475" max="9475" width="4.7109375" style="3120" customWidth="1"/>
    <col min="9476" max="9476" width="25.00390625" style="3120" customWidth="1"/>
    <col min="9477" max="9477" width="24.421875" style="3120" customWidth="1"/>
    <col min="9478" max="9478" width="15.00390625" style="3120" customWidth="1"/>
    <col min="9479" max="9479" width="13.28125" style="3120" customWidth="1"/>
    <col min="9480" max="9481" width="11.421875" style="3120" hidden="1" customWidth="1"/>
    <col min="9482" max="9483" width="18.7109375" style="3120" customWidth="1"/>
    <col min="9484" max="9484" width="11.28125" style="3120" customWidth="1"/>
    <col min="9485" max="9485" width="10.7109375" style="3120" customWidth="1"/>
    <col min="9486" max="9486" width="9.7109375" style="3120" customWidth="1"/>
    <col min="9487" max="9487" width="10.57421875" style="3120" customWidth="1"/>
    <col min="9488" max="9488" width="8.421875" style="3120" customWidth="1"/>
    <col min="9489" max="9489" width="5.57421875" style="3120" customWidth="1"/>
    <col min="9490" max="9499" width="11.421875" style="3120" hidden="1" customWidth="1"/>
    <col min="9500" max="9500" width="9.7109375" style="3120" customWidth="1"/>
    <col min="9501" max="9501" width="21.00390625" style="3120" customWidth="1"/>
    <col min="9502" max="9502" width="6.421875" style="3120" customWidth="1"/>
    <col min="9503" max="9503" width="4.140625" style="3120" customWidth="1"/>
    <col min="9504" max="9504" width="7.140625" style="3120" customWidth="1"/>
    <col min="9505" max="9505" width="5.28125" style="3120" customWidth="1"/>
    <col min="9506" max="9506" width="5.421875" style="3120" customWidth="1"/>
    <col min="9507" max="9507" width="4.7109375" style="3120" customWidth="1"/>
    <col min="9508" max="9508" width="5.28125" style="3120" customWidth="1"/>
    <col min="9509" max="9510" width="13.28125" style="3120" customWidth="1"/>
    <col min="9511" max="9511" width="6.57421875" style="3120" customWidth="1"/>
    <col min="9512" max="9512" width="6.421875" style="3120" customWidth="1"/>
    <col min="9513" max="9516" width="11.421875" style="3120" customWidth="1"/>
    <col min="9517" max="9517" width="12.7109375" style="3120" customWidth="1"/>
    <col min="9518" max="9520" width="11.421875" style="3120" customWidth="1"/>
    <col min="9521" max="9521" width="21.00390625" style="3120" customWidth="1"/>
    <col min="9522" max="9728" width="11.421875" style="3120" customWidth="1"/>
    <col min="9729" max="9729" width="21.28125" style="3120" customWidth="1"/>
    <col min="9730" max="9730" width="8.421875" style="3120" customWidth="1"/>
    <col min="9731" max="9731" width="4.7109375" style="3120" customWidth="1"/>
    <col min="9732" max="9732" width="25.00390625" style="3120" customWidth="1"/>
    <col min="9733" max="9733" width="24.421875" style="3120" customWidth="1"/>
    <col min="9734" max="9734" width="15.00390625" style="3120" customWidth="1"/>
    <col min="9735" max="9735" width="13.28125" style="3120" customWidth="1"/>
    <col min="9736" max="9737" width="11.421875" style="3120" hidden="1" customWidth="1"/>
    <col min="9738" max="9739" width="18.7109375" style="3120" customWidth="1"/>
    <col min="9740" max="9740" width="11.28125" style="3120" customWidth="1"/>
    <col min="9741" max="9741" width="10.7109375" style="3120" customWidth="1"/>
    <col min="9742" max="9742" width="9.7109375" style="3120" customWidth="1"/>
    <col min="9743" max="9743" width="10.57421875" style="3120" customWidth="1"/>
    <col min="9744" max="9744" width="8.421875" style="3120" customWidth="1"/>
    <col min="9745" max="9745" width="5.57421875" style="3120" customWidth="1"/>
    <col min="9746" max="9755" width="11.421875" style="3120" hidden="1" customWidth="1"/>
    <col min="9756" max="9756" width="9.7109375" style="3120" customWidth="1"/>
    <col min="9757" max="9757" width="21.00390625" style="3120" customWidth="1"/>
    <col min="9758" max="9758" width="6.421875" style="3120" customWidth="1"/>
    <col min="9759" max="9759" width="4.140625" style="3120" customWidth="1"/>
    <col min="9760" max="9760" width="7.140625" style="3120" customWidth="1"/>
    <col min="9761" max="9761" width="5.28125" style="3120" customWidth="1"/>
    <col min="9762" max="9762" width="5.421875" style="3120" customWidth="1"/>
    <col min="9763" max="9763" width="4.7109375" style="3120" customWidth="1"/>
    <col min="9764" max="9764" width="5.28125" style="3120" customWidth="1"/>
    <col min="9765" max="9766" width="13.28125" style="3120" customWidth="1"/>
    <col min="9767" max="9767" width="6.57421875" style="3120" customWidth="1"/>
    <col min="9768" max="9768" width="6.421875" style="3120" customWidth="1"/>
    <col min="9769" max="9772" width="11.421875" style="3120" customWidth="1"/>
    <col min="9773" max="9773" width="12.7109375" style="3120" customWidth="1"/>
    <col min="9774" max="9776" width="11.421875" style="3120" customWidth="1"/>
    <col min="9777" max="9777" width="21.00390625" style="3120" customWidth="1"/>
    <col min="9778" max="9984" width="11.421875" style="3120" customWidth="1"/>
    <col min="9985" max="9985" width="21.28125" style="3120" customWidth="1"/>
    <col min="9986" max="9986" width="8.421875" style="3120" customWidth="1"/>
    <col min="9987" max="9987" width="4.7109375" style="3120" customWidth="1"/>
    <col min="9988" max="9988" width="25.00390625" style="3120" customWidth="1"/>
    <col min="9989" max="9989" width="24.421875" style="3120" customWidth="1"/>
    <col min="9990" max="9990" width="15.00390625" style="3120" customWidth="1"/>
    <col min="9991" max="9991" width="13.28125" style="3120" customWidth="1"/>
    <col min="9992" max="9993" width="11.421875" style="3120" hidden="1" customWidth="1"/>
    <col min="9994" max="9995" width="18.7109375" style="3120" customWidth="1"/>
    <col min="9996" max="9996" width="11.28125" style="3120" customWidth="1"/>
    <col min="9997" max="9997" width="10.7109375" style="3120" customWidth="1"/>
    <col min="9998" max="9998" width="9.7109375" style="3120" customWidth="1"/>
    <col min="9999" max="9999" width="10.57421875" style="3120" customWidth="1"/>
    <col min="10000" max="10000" width="8.421875" style="3120" customWidth="1"/>
    <col min="10001" max="10001" width="5.57421875" style="3120" customWidth="1"/>
    <col min="10002" max="10011" width="11.421875" style="3120" hidden="1" customWidth="1"/>
    <col min="10012" max="10012" width="9.7109375" style="3120" customWidth="1"/>
    <col min="10013" max="10013" width="21.00390625" style="3120" customWidth="1"/>
    <col min="10014" max="10014" width="6.421875" style="3120" customWidth="1"/>
    <col min="10015" max="10015" width="4.140625" style="3120" customWidth="1"/>
    <col min="10016" max="10016" width="7.140625" style="3120" customWidth="1"/>
    <col min="10017" max="10017" width="5.28125" style="3120" customWidth="1"/>
    <col min="10018" max="10018" width="5.421875" style="3120" customWidth="1"/>
    <col min="10019" max="10019" width="4.7109375" style="3120" customWidth="1"/>
    <col min="10020" max="10020" width="5.28125" style="3120" customWidth="1"/>
    <col min="10021" max="10022" width="13.28125" style="3120" customWidth="1"/>
    <col min="10023" max="10023" width="6.57421875" style="3120" customWidth="1"/>
    <col min="10024" max="10024" width="6.421875" style="3120" customWidth="1"/>
    <col min="10025" max="10028" width="11.421875" style="3120" customWidth="1"/>
    <col min="10029" max="10029" width="12.7109375" style="3120" customWidth="1"/>
    <col min="10030" max="10032" width="11.421875" style="3120" customWidth="1"/>
    <col min="10033" max="10033" width="21.00390625" style="3120" customWidth="1"/>
    <col min="10034" max="10240" width="11.421875" style="3120" customWidth="1"/>
    <col min="10241" max="10241" width="21.28125" style="3120" customWidth="1"/>
    <col min="10242" max="10242" width="8.421875" style="3120" customWidth="1"/>
    <col min="10243" max="10243" width="4.7109375" style="3120" customWidth="1"/>
    <col min="10244" max="10244" width="25.00390625" style="3120" customWidth="1"/>
    <col min="10245" max="10245" width="24.421875" style="3120" customWidth="1"/>
    <col min="10246" max="10246" width="15.00390625" style="3120" customWidth="1"/>
    <col min="10247" max="10247" width="13.28125" style="3120" customWidth="1"/>
    <col min="10248" max="10249" width="11.421875" style="3120" hidden="1" customWidth="1"/>
    <col min="10250" max="10251" width="18.7109375" style="3120" customWidth="1"/>
    <col min="10252" max="10252" width="11.28125" style="3120" customWidth="1"/>
    <col min="10253" max="10253" width="10.7109375" style="3120" customWidth="1"/>
    <col min="10254" max="10254" width="9.7109375" style="3120" customWidth="1"/>
    <col min="10255" max="10255" width="10.57421875" style="3120" customWidth="1"/>
    <col min="10256" max="10256" width="8.421875" style="3120" customWidth="1"/>
    <col min="10257" max="10257" width="5.57421875" style="3120" customWidth="1"/>
    <col min="10258" max="10267" width="11.421875" style="3120" hidden="1" customWidth="1"/>
    <col min="10268" max="10268" width="9.7109375" style="3120" customWidth="1"/>
    <col min="10269" max="10269" width="21.00390625" style="3120" customWidth="1"/>
    <col min="10270" max="10270" width="6.421875" style="3120" customWidth="1"/>
    <col min="10271" max="10271" width="4.140625" style="3120" customWidth="1"/>
    <col min="10272" max="10272" width="7.140625" style="3120" customWidth="1"/>
    <col min="10273" max="10273" width="5.28125" style="3120" customWidth="1"/>
    <col min="10274" max="10274" width="5.421875" style="3120" customWidth="1"/>
    <col min="10275" max="10275" width="4.7109375" style="3120" customWidth="1"/>
    <col min="10276" max="10276" width="5.28125" style="3120" customWidth="1"/>
    <col min="10277" max="10278" width="13.28125" style="3120" customWidth="1"/>
    <col min="10279" max="10279" width="6.57421875" style="3120" customWidth="1"/>
    <col min="10280" max="10280" width="6.421875" style="3120" customWidth="1"/>
    <col min="10281" max="10284" width="11.421875" style="3120" customWidth="1"/>
    <col min="10285" max="10285" width="12.7109375" style="3120" customWidth="1"/>
    <col min="10286" max="10288" width="11.421875" style="3120" customWidth="1"/>
    <col min="10289" max="10289" width="21.00390625" style="3120" customWidth="1"/>
    <col min="10290" max="10496" width="11.421875" style="3120" customWidth="1"/>
    <col min="10497" max="10497" width="21.28125" style="3120" customWidth="1"/>
    <col min="10498" max="10498" width="8.421875" style="3120" customWidth="1"/>
    <col min="10499" max="10499" width="4.7109375" style="3120" customWidth="1"/>
    <col min="10500" max="10500" width="25.00390625" style="3120" customWidth="1"/>
    <col min="10501" max="10501" width="24.421875" style="3120" customWidth="1"/>
    <col min="10502" max="10502" width="15.00390625" style="3120" customWidth="1"/>
    <col min="10503" max="10503" width="13.28125" style="3120" customWidth="1"/>
    <col min="10504" max="10505" width="11.421875" style="3120" hidden="1" customWidth="1"/>
    <col min="10506" max="10507" width="18.7109375" style="3120" customWidth="1"/>
    <col min="10508" max="10508" width="11.28125" style="3120" customWidth="1"/>
    <col min="10509" max="10509" width="10.7109375" style="3120" customWidth="1"/>
    <col min="10510" max="10510" width="9.7109375" style="3120" customWidth="1"/>
    <col min="10511" max="10511" width="10.57421875" style="3120" customWidth="1"/>
    <col min="10512" max="10512" width="8.421875" style="3120" customWidth="1"/>
    <col min="10513" max="10513" width="5.57421875" style="3120" customWidth="1"/>
    <col min="10514" max="10523" width="11.421875" style="3120" hidden="1" customWidth="1"/>
    <col min="10524" max="10524" width="9.7109375" style="3120" customWidth="1"/>
    <col min="10525" max="10525" width="21.00390625" style="3120" customWidth="1"/>
    <col min="10526" max="10526" width="6.421875" style="3120" customWidth="1"/>
    <col min="10527" max="10527" width="4.140625" style="3120" customWidth="1"/>
    <col min="10528" max="10528" width="7.140625" style="3120" customWidth="1"/>
    <col min="10529" max="10529" width="5.28125" style="3120" customWidth="1"/>
    <col min="10530" max="10530" width="5.421875" style="3120" customWidth="1"/>
    <col min="10531" max="10531" width="4.7109375" style="3120" customWidth="1"/>
    <col min="10532" max="10532" width="5.28125" style="3120" customWidth="1"/>
    <col min="10533" max="10534" width="13.28125" style="3120" customWidth="1"/>
    <col min="10535" max="10535" width="6.57421875" style="3120" customWidth="1"/>
    <col min="10536" max="10536" width="6.421875" style="3120" customWidth="1"/>
    <col min="10537" max="10540" width="11.421875" style="3120" customWidth="1"/>
    <col min="10541" max="10541" width="12.7109375" style="3120" customWidth="1"/>
    <col min="10542" max="10544" width="11.421875" style="3120" customWidth="1"/>
    <col min="10545" max="10545" width="21.00390625" style="3120" customWidth="1"/>
    <col min="10546" max="10752" width="11.421875" style="3120" customWidth="1"/>
    <col min="10753" max="10753" width="21.28125" style="3120" customWidth="1"/>
    <col min="10754" max="10754" width="8.421875" style="3120" customWidth="1"/>
    <col min="10755" max="10755" width="4.7109375" style="3120" customWidth="1"/>
    <col min="10756" max="10756" width="25.00390625" style="3120" customWidth="1"/>
    <col min="10757" max="10757" width="24.421875" style="3120" customWidth="1"/>
    <col min="10758" max="10758" width="15.00390625" style="3120" customWidth="1"/>
    <col min="10759" max="10759" width="13.28125" style="3120" customWidth="1"/>
    <col min="10760" max="10761" width="11.421875" style="3120" hidden="1" customWidth="1"/>
    <col min="10762" max="10763" width="18.7109375" style="3120" customWidth="1"/>
    <col min="10764" max="10764" width="11.28125" style="3120" customWidth="1"/>
    <col min="10765" max="10765" width="10.7109375" style="3120" customWidth="1"/>
    <col min="10766" max="10766" width="9.7109375" style="3120" customWidth="1"/>
    <col min="10767" max="10767" width="10.57421875" style="3120" customWidth="1"/>
    <col min="10768" max="10768" width="8.421875" style="3120" customWidth="1"/>
    <col min="10769" max="10769" width="5.57421875" style="3120" customWidth="1"/>
    <col min="10770" max="10779" width="11.421875" style="3120" hidden="1" customWidth="1"/>
    <col min="10780" max="10780" width="9.7109375" style="3120" customWidth="1"/>
    <col min="10781" max="10781" width="21.00390625" style="3120" customWidth="1"/>
    <col min="10782" max="10782" width="6.421875" style="3120" customWidth="1"/>
    <col min="10783" max="10783" width="4.140625" style="3120" customWidth="1"/>
    <col min="10784" max="10784" width="7.140625" style="3120" customWidth="1"/>
    <col min="10785" max="10785" width="5.28125" style="3120" customWidth="1"/>
    <col min="10786" max="10786" width="5.421875" style="3120" customWidth="1"/>
    <col min="10787" max="10787" width="4.7109375" style="3120" customWidth="1"/>
    <col min="10788" max="10788" width="5.28125" style="3120" customWidth="1"/>
    <col min="10789" max="10790" width="13.28125" style="3120" customWidth="1"/>
    <col min="10791" max="10791" width="6.57421875" style="3120" customWidth="1"/>
    <col min="10792" max="10792" width="6.421875" style="3120" customWidth="1"/>
    <col min="10793" max="10796" width="11.421875" style="3120" customWidth="1"/>
    <col min="10797" max="10797" width="12.7109375" style="3120" customWidth="1"/>
    <col min="10798" max="10800" width="11.421875" style="3120" customWidth="1"/>
    <col min="10801" max="10801" width="21.00390625" style="3120" customWidth="1"/>
    <col min="10802" max="11008" width="11.421875" style="3120" customWidth="1"/>
    <col min="11009" max="11009" width="21.28125" style="3120" customWidth="1"/>
    <col min="11010" max="11010" width="8.421875" style="3120" customWidth="1"/>
    <col min="11011" max="11011" width="4.7109375" style="3120" customWidth="1"/>
    <col min="11012" max="11012" width="25.00390625" style="3120" customWidth="1"/>
    <col min="11013" max="11013" width="24.421875" style="3120" customWidth="1"/>
    <col min="11014" max="11014" width="15.00390625" style="3120" customWidth="1"/>
    <col min="11015" max="11015" width="13.28125" style="3120" customWidth="1"/>
    <col min="11016" max="11017" width="11.421875" style="3120" hidden="1" customWidth="1"/>
    <col min="11018" max="11019" width="18.7109375" style="3120" customWidth="1"/>
    <col min="11020" max="11020" width="11.28125" style="3120" customWidth="1"/>
    <col min="11021" max="11021" width="10.7109375" style="3120" customWidth="1"/>
    <col min="11022" max="11022" width="9.7109375" style="3120" customWidth="1"/>
    <col min="11023" max="11023" width="10.57421875" style="3120" customWidth="1"/>
    <col min="11024" max="11024" width="8.421875" style="3120" customWidth="1"/>
    <col min="11025" max="11025" width="5.57421875" style="3120" customWidth="1"/>
    <col min="11026" max="11035" width="11.421875" style="3120" hidden="1" customWidth="1"/>
    <col min="11036" max="11036" width="9.7109375" style="3120" customWidth="1"/>
    <col min="11037" max="11037" width="21.00390625" style="3120" customWidth="1"/>
    <col min="11038" max="11038" width="6.421875" style="3120" customWidth="1"/>
    <col min="11039" max="11039" width="4.140625" style="3120" customWidth="1"/>
    <col min="11040" max="11040" width="7.140625" style="3120" customWidth="1"/>
    <col min="11041" max="11041" width="5.28125" style="3120" customWidth="1"/>
    <col min="11042" max="11042" width="5.421875" style="3120" customWidth="1"/>
    <col min="11043" max="11043" width="4.7109375" style="3120" customWidth="1"/>
    <col min="11044" max="11044" width="5.28125" style="3120" customWidth="1"/>
    <col min="11045" max="11046" width="13.28125" style="3120" customWidth="1"/>
    <col min="11047" max="11047" width="6.57421875" style="3120" customWidth="1"/>
    <col min="11048" max="11048" width="6.421875" style="3120" customWidth="1"/>
    <col min="11049" max="11052" width="11.421875" style="3120" customWidth="1"/>
    <col min="11053" max="11053" width="12.7109375" style="3120" customWidth="1"/>
    <col min="11054" max="11056" width="11.421875" style="3120" customWidth="1"/>
    <col min="11057" max="11057" width="21.00390625" style="3120" customWidth="1"/>
    <col min="11058" max="11264" width="11.421875" style="3120" customWidth="1"/>
    <col min="11265" max="11265" width="21.28125" style="3120" customWidth="1"/>
    <col min="11266" max="11266" width="8.421875" style="3120" customWidth="1"/>
    <col min="11267" max="11267" width="4.7109375" style="3120" customWidth="1"/>
    <col min="11268" max="11268" width="25.00390625" style="3120" customWidth="1"/>
    <col min="11269" max="11269" width="24.421875" style="3120" customWidth="1"/>
    <col min="11270" max="11270" width="15.00390625" style="3120" customWidth="1"/>
    <col min="11271" max="11271" width="13.28125" style="3120" customWidth="1"/>
    <col min="11272" max="11273" width="11.421875" style="3120" hidden="1" customWidth="1"/>
    <col min="11274" max="11275" width="18.7109375" style="3120" customWidth="1"/>
    <col min="11276" max="11276" width="11.28125" style="3120" customWidth="1"/>
    <col min="11277" max="11277" width="10.7109375" style="3120" customWidth="1"/>
    <col min="11278" max="11278" width="9.7109375" style="3120" customWidth="1"/>
    <col min="11279" max="11279" width="10.57421875" style="3120" customWidth="1"/>
    <col min="11280" max="11280" width="8.421875" style="3120" customWidth="1"/>
    <col min="11281" max="11281" width="5.57421875" style="3120" customWidth="1"/>
    <col min="11282" max="11291" width="11.421875" style="3120" hidden="1" customWidth="1"/>
    <col min="11292" max="11292" width="9.7109375" style="3120" customWidth="1"/>
    <col min="11293" max="11293" width="21.00390625" style="3120" customWidth="1"/>
    <col min="11294" max="11294" width="6.421875" style="3120" customWidth="1"/>
    <col min="11295" max="11295" width="4.140625" style="3120" customWidth="1"/>
    <col min="11296" max="11296" width="7.140625" style="3120" customWidth="1"/>
    <col min="11297" max="11297" width="5.28125" style="3120" customWidth="1"/>
    <col min="11298" max="11298" width="5.421875" style="3120" customWidth="1"/>
    <col min="11299" max="11299" width="4.7109375" style="3120" customWidth="1"/>
    <col min="11300" max="11300" width="5.28125" style="3120" customWidth="1"/>
    <col min="11301" max="11302" width="13.28125" style="3120" customWidth="1"/>
    <col min="11303" max="11303" width="6.57421875" style="3120" customWidth="1"/>
    <col min="11304" max="11304" width="6.421875" style="3120" customWidth="1"/>
    <col min="11305" max="11308" width="11.421875" style="3120" customWidth="1"/>
    <col min="11309" max="11309" width="12.7109375" style="3120" customWidth="1"/>
    <col min="11310" max="11312" width="11.421875" style="3120" customWidth="1"/>
    <col min="11313" max="11313" width="21.00390625" style="3120" customWidth="1"/>
    <col min="11314" max="11520" width="11.421875" style="3120" customWidth="1"/>
    <col min="11521" max="11521" width="21.28125" style="3120" customWidth="1"/>
    <col min="11522" max="11522" width="8.421875" style="3120" customWidth="1"/>
    <col min="11523" max="11523" width="4.7109375" style="3120" customWidth="1"/>
    <col min="11524" max="11524" width="25.00390625" style="3120" customWidth="1"/>
    <col min="11525" max="11525" width="24.421875" style="3120" customWidth="1"/>
    <col min="11526" max="11526" width="15.00390625" style="3120" customWidth="1"/>
    <col min="11527" max="11527" width="13.28125" style="3120" customWidth="1"/>
    <col min="11528" max="11529" width="11.421875" style="3120" hidden="1" customWidth="1"/>
    <col min="11530" max="11531" width="18.7109375" style="3120" customWidth="1"/>
    <col min="11532" max="11532" width="11.28125" style="3120" customWidth="1"/>
    <col min="11533" max="11533" width="10.7109375" style="3120" customWidth="1"/>
    <col min="11534" max="11534" width="9.7109375" style="3120" customWidth="1"/>
    <col min="11535" max="11535" width="10.57421875" style="3120" customWidth="1"/>
    <col min="11536" max="11536" width="8.421875" style="3120" customWidth="1"/>
    <col min="11537" max="11537" width="5.57421875" style="3120" customWidth="1"/>
    <col min="11538" max="11547" width="11.421875" style="3120" hidden="1" customWidth="1"/>
    <col min="11548" max="11548" width="9.7109375" style="3120" customWidth="1"/>
    <col min="11549" max="11549" width="21.00390625" style="3120" customWidth="1"/>
    <col min="11550" max="11550" width="6.421875" style="3120" customWidth="1"/>
    <col min="11551" max="11551" width="4.140625" style="3120" customWidth="1"/>
    <col min="11552" max="11552" width="7.140625" style="3120" customWidth="1"/>
    <col min="11553" max="11553" width="5.28125" style="3120" customWidth="1"/>
    <col min="11554" max="11554" width="5.421875" style="3120" customWidth="1"/>
    <col min="11555" max="11555" width="4.7109375" style="3120" customWidth="1"/>
    <col min="11556" max="11556" width="5.28125" style="3120" customWidth="1"/>
    <col min="11557" max="11558" width="13.28125" style="3120" customWidth="1"/>
    <col min="11559" max="11559" width="6.57421875" style="3120" customWidth="1"/>
    <col min="11560" max="11560" width="6.421875" style="3120" customWidth="1"/>
    <col min="11561" max="11564" width="11.421875" style="3120" customWidth="1"/>
    <col min="11565" max="11565" width="12.7109375" style="3120" customWidth="1"/>
    <col min="11566" max="11568" width="11.421875" style="3120" customWidth="1"/>
    <col min="11569" max="11569" width="21.00390625" style="3120" customWidth="1"/>
    <col min="11570" max="11776" width="11.421875" style="3120" customWidth="1"/>
    <col min="11777" max="11777" width="21.28125" style="3120" customWidth="1"/>
    <col min="11778" max="11778" width="8.421875" style="3120" customWidth="1"/>
    <col min="11779" max="11779" width="4.7109375" style="3120" customWidth="1"/>
    <col min="11780" max="11780" width="25.00390625" style="3120" customWidth="1"/>
    <col min="11781" max="11781" width="24.421875" style="3120" customWidth="1"/>
    <col min="11782" max="11782" width="15.00390625" style="3120" customWidth="1"/>
    <col min="11783" max="11783" width="13.28125" style="3120" customWidth="1"/>
    <col min="11784" max="11785" width="11.421875" style="3120" hidden="1" customWidth="1"/>
    <col min="11786" max="11787" width="18.7109375" style="3120" customWidth="1"/>
    <col min="11788" max="11788" width="11.28125" style="3120" customWidth="1"/>
    <col min="11789" max="11789" width="10.7109375" style="3120" customWidth="1"/>
    <col min="11790" max="11790" width="9.7109375" style="3120" customWidth="1"/>
    <col min="11791" max="11791" width="10.57421875" style="3120" customWidth="1"/>
    <col min="11792" max="11792" width="8.421875" style="3120" customWidth="1"/>
    <col min="11793" max="11793" width="5.57421875" style="3120" customWidth="1"/>
    <col min="11794" max="11803" width="11.421875" style="3120" hidden="1" customWidth="1"/>
    <col min="11804" max="11804" width="9.7109375" style="3120" customWidth="1"/>
    <col min="11805" max="11805" width="21.00390625" style="3120" customWidth="1"/>
    <col min="11806" max="11806" width="6.421875" style="3120" customWidth="1"/>
    <col min="11807" max="11807" width="4.140625" style="3120" customWidth="1"/>
    <col min="11808" max="11808" width="7.140625" style="3120" customWidth="1"/>
    <col min="11809" max="11809" width="5.28125" style="3120" customWidth="1"/>
    <col min="11810" max="11810" width="5.421875" style="3120" customWidth="1"/>
    <col min="11811" max="11811" width="4.7109375" style="3120" customWidth="1"/>
    <col min="11812" max="11812" width="5.28125" style="3120" customWidth="1"/>
    <col min="11813" max="11814" width="13.28125" style="3120" customWidth="1"/>
    <col min="11815" max="11815" width="6.57421875" style="3120" customWidth="1"/>
    <col min="11816" max="11816" width="6.421875" style="3120" customWidth="1"/>
    <col min="11817" max="11820" width="11.421875" style="3120" customWidth="1"/>
    <col min="11821" max="11821" width="12.7109375" style="3120" customWidth="1"/>
    <col min="11822" max="11824" width="11.421875" style="3120" customWidth="1"/>
    <col min="11825" max="11825" width="21.00390625" style="3120" customWidth="1"/>
    <col min="11826" max="12032" width="11.421875" style="3120" customWidth="1"/>
    <col min="12033" max="12033" width="21.28125" style="3120" customWidth="1"/>
    <col min="12034" max="12034" width="8.421875" style="3120" customWidth="1"/>
    <col min="12035" max="12035" width="4.7109375" style="3120" customWidth="1"/>
    <col min="12036" max="12036" width="25.00390625" style="3120" customWidth="1"/>
    <col min="12037" max="12037" width="24.421875" style="3120" customWidth="1"/>
    <col min="12038" max="12038" width="15.00390625" style="3120" customWidth="1"/>
    <col min="12039" max="12039" width="13.28125" style="3120" customWidth="1"/>
    <col min="12040" max="12041" width="11.421875" style="3120" hidden="1" customWidth="1"/>
    <col min="12042" max="12043" width="18.7109375" style="3120" customWidth="1"/>
    <col min="12044" max="12044" width="11.28125" style="3120" customWidth="1"/>
    <col min="12045" max="12045" width="10.7109375" style="3120" customWidth="1"/>
    <col min="12046" max="12046" width="9.7109375" style="3120" customWidth="1"/>
    <col min="12047" max="12047" width="10.57421875" style="3120" customWidth="1"/>
    <col min="12048" max="12048" width="8.421875" style="3120" customWidth="1"/>
    <col min="12049" max="12049" width="5.57421875" style="3120" customWidth="1"/>
    <col min="12050" max="12059" width="11.421875" style="3120" hidden="1" customWidth="1"/>
    <col min="12060" max="12060" width="9.7109375" style="3120" customWidth="1"/>
    <col min="12061" max="12061" width="21.00390625" style="3120" customWidth="1"/>
    <col min="12062" max="12062" width="6.421875" style="3120" customWidth="1"/>
    <col min="12063" max="12063" width="4.140625" style="3120" customWidth="1"/>
    <col min="12064" max="12064" width="7.140625" style="3120" customWidth="1"/>
    <col min="12065" max="12065" width="5.28125" style="3120" customWidth="1"/>
    <col min="12066" max="12066" width="5.421875" style="3120" customWidth="1"/>
    <col min="12067" max="12067" width="4.7109375" style="3120" customWidth="1"/>
    <col min="12068" max="12068" width="5.28125" style="3120" customWidth="1"/>
    <col min="12069" max="12070" width="13.28125" style="3120" customWidth="1"/>
    <col min="12071" max="12071" width="6.57421875" style="3120" customWidth="1"/>
    <col min="12072" max="12072" width="6.421875" style="3120" customWidth="1"/>
    <col min="12073" max="12076" width="11.421875" style="3120" customWidth="1"/>
    <col min="12077" max="12077" width="12.7109375" style="3120" customWidth="1"/>
    <col min="12078" max="12080" width="11.421875" style="3120" customWidth="1"/>
    <col min="12081" max="12081" width="21.00390625" style="3120" customWidth="1"/>
    <col min="12082" max="12288" width="11.421875" style="3120" customWidth="1"/>
    <col min="12289" max="12289" width="21.28125" style="3120" customWidth="1"/>
    <col min="12290" max="12290" width="8.421875" style="3120" customWidth="1"/>
    <col min="12291" max="12291" width="4.7109375" style="3120" customWidth="1"/>
    <col min="12292" max="12292" width="25.00390625" style="3120" customWidth="1"/>
    <col min="12293" max="12293" width="24.421875" style="3120" customWidth="1"/>
    <col min="12294" max="12294" width="15.00390625" style="3120" customWidth="1"/>
    <col min="12295" max="12295" width="13.28125" style="3120" customWidth="1"/>
    <col min="12296" max="12297" width="11.421875" style="3120" hidden="1" customWidth="1"/>
    <col min="12298" max="12299" width="18.7109375" style="3120" customWidth="1"/>
    <col min="12300" max="12300" width="11.28125" style="3120" customWidth="1"/>
    <col min="12301" max="12301" width="10.7109375" style="3120" customWidth="1"/>
    <col min="12302" max="12302" width="9.7109375" style="3120" customWidth="1"/>
    <col min="12303" max="12303" width="10.57421875" style="3120" customWidth="1"/>
    <col min="12304" max="12304" width="8.421875" style="3120" customWidth="1"/>
    <col min="12305" max="12305" width="5.57421875" style="3120" customWidth="1"/>
    <col min="12306" max="12315" width="11.421875" style="3120" hidden="1" customWidth="1"/>
    <col min="12316" max="12316" width="9.7109375" style="3120" customWidth="1"/>
    <col min="12317" max="12317" width="21.00390625" style="3120" customWidth="1"/>
    <col min="12318" max="12318" width="6.421875" style="3120" customWidth="1"/>
    <col min="12319" max="12319" width="4.140625" style="3120" customWidth="1"/>
    <col min="12320" max="12320" width="7.140625" style="3120" customWidth="1"/>
    <col min="12321" max="12321" width="5.28125" style="3120" customWidth="1"/>
    <col min="12322" max="12322" width="5.421875" style="3120" customWidth="1"/>
    <col min="12323" max="12323" width="4.7109375" style="3120" customWidth="1"/>
    <col min="12324" max="12324" width="5.28125" style="3120" customWidth="1"/>
    <col min="12325" max="12326" width="13.28125" style="3120" customWidth="1"/>
    <col min="12327" max="12327" width="6.57421875" style="3120" customWidth="1"/>
    <col min="12328" max="12328" width="6.421875" style="3120" customWidth="1"/>
    <col min="12329" max="12332" width="11.421875" style="3120" customWidth="1"/>
    <col min="12333" max="12333" width="12.7109375" style="3120" customWidth="1"/>
    <col min="12334" max="12336" width="11.421875" style="3120" customWidth="1"/>
    <col min="12337" max="12337" width="21.00390625" style="3120" customWidth="1"/>
    <col min="12338" max="12544" width="11.421875" style="3120" customWidth="1"/>
    <col min="12545" max="12545" width="21.28125" style="3120" customWidth="1"/>
    <col min="12546" max="12546" width="8.421875" style="3120" customWidth="1"/>
    <col min="12547" max="12547" width="4.7109375" style="3120" customWidth="1"/>
    <col min="12548" max="12548" width="25.00390625" style="3120" customWidth="1"/>
    <col min="12549" max="12549" width="24.421875" style="3120" customWidth="1"/>
    <col min="12550" max="12550" width="15.00390625" style="3120" customWidth="1"/>
    <col min="12551" max="12551" width="13.28125" style="3120" customWidth="1"/>
    <col min="12552" max="12553" width="11.421875" style="3120" hidden="1" customWidth="1"/>
    <col min="12554" max="12555" width="18.7109375" style="3120" customWidth="1"/>
    <col min="12556" max="12556" width="11.28125" style="3120" customWidth="1"/>
    <col min="12557" max="12557" width="10.7109375" style="3120" customWidth="1"/>
    <col min="12558" max="12558" width="9.7109375" style="3120" customWidth="1"/>
    <col min="12559" max="12559" width="10.57421875" style="3120" customWidth="1"/>
    <col min="12560" max="12560" width="8.421875" style="3120" customWidth="1"/>
    <col min="12561" max="12561" width="5.57421875" style="3120" customWidth="1"/>
    <col min="12562" max="12571" width="11.421875" style="3120" hidden="1" customWidth="1"/>
    <col min="12572" max="12572" width="9.7109375" style="3120" customWidth="1"/>
    <col min="12573" max="12573" width="21.00390625" style="3120" customWidth="1"/>
    <col min="12574" max="12574" width="6.421875" style="3120" customWidth="1"/>
    <col min="12575" max="12575" width="4.140625" style="3120" customWidth="1"/>
    <col min="12576" max="12576" width="7.140625" style="3120" customWidth="1"/>
    <col min="12577" max="12577" width="5.28125" style="3120" customWidth="1"/>
    <col min="12578" max="12578" width="5.421875" style="3120" customWidth="1"/>
    <col min="12579" max="12579" width="4.7109375" style="3120" customWidth="1"/>
    <col min="12580" max="12580" width="5.28125" style="3120" customWidth="1"/>
    <col min="12581" max="12582" width="13.28125" style="3120" customWidth="1"/>
    <col min="12583" max="12583" width="6.57421875" style="3120" customWidth="1"/>
    <col min="12584" max="12584" width="6.421875" style="3120" customWidth="1"/>
    <col min="12585" max="12588" width="11.421875" style="3120" customWidth="1"/>
    <col min="12589" max="12589" width="12.7109375" style="3120" customWidth="1"/>
    <col min="12590" max="12592" width="11.421875" style="3120" customWidth="1"/>
    <col min="12593" max="12593" width="21.00390625" style="3120" customWidth="1"/>
    <col min="12594" max="12800" width="11.421875" style="3120" customWidth="1"/>
    <col min="12801" max="12801" width="21.28125" style="3120" customWidth="1"/>
    <col min="12802" max="12802" width="8.421875" style="3120" customWidth="1"/>
    <col min="12803" max="12803" width="4.7109375" style="3120" customWidth="1"/>
    <col min="12804" max="12804" width="25.00390625" style="3120" customWidth="1"/>
    <col min="12805" max="12805" width="24.421875" style="3120" customWidth="1"/>
    <col min="12806" max="12806" width="15.00390625" style="3120" customWidth="1"/>
    <col min="12807" max="12807" width="13.28125" style="3120" customWidth="1"/>
    <col min="12808" max="12809" width="11.421875" style="3120" hidden="1" customWidth="1"/>
    <col min="12810" max="12811" width="18.7109375" style="3120" customWidth="1"/>
    <col min="12812" max="12812" width="11.28125" style="3120" customWidth="1"/>
    <col min="12813" max="12813" width="10.7109375" style="3120" customWidth="1"/>
    <col min="12814" max="12814" width="9.7109375" style="3120" customWidth="1"/>
    <col min="12815" max="12815" width="10.57421875" style="3120" customWidth="1"/>
    <col min="12816" max="12816" width="8.421875" style="3120" customWidth="1"/>
    <col min="12817" max="12817" width="5.57421875" style="3120" customWidth="1"/>
    <col min="12818" max="12827" width="11.421875" style="3120" hidden="1" customWidth="1"/>
    <col min="12828" max="12828" width="9.7109375" style="3120" customWidth="1"/>
    <col min="12829" max="12829" width="21.00390625" style="3120" customWidth="1"/>
    <col min="12830" max="12830" width="6.421875" style="3120" customWidth="1"/>
    <col min="12831" max="12831" width="4.140625" style="3120" customWidth="1"/>
    <col min="12832" max="12832" width="7.140625" style="3120" customWidth="1"/>
    <col min="12833" max="12833" width="5.28125" style="3120" customWidth="1"/>
    <col min="12834" max="12834" width="5.421875" style="3120" customWidth="1"/>
    <col min="12835" max="12835" width="4.7109375" style="3120" customWidth="1"/>
    <col min="12836" max="12836" width="5.28125" style="3120" customWidth="1"/>
    <col min="12837" max="12838" width="13.28125" style="3120" customWidth="1"/>
    <col min="12839" max="12839" width="6.57421875" style="3120" customWidth="1"/>
    <col min="12840" max="12840" width="6.421875" style="3120" customWidth="1"/>
    <col min="12841" max="12844" width="11.421875" style="3120" customWidth="1"/>
    <col min="12845" max="12845" width="12.7109375" style="3120" customWidth="1"/>
    <col min="12846" max="12848" width="11.421875" style="3120" customWidth="1"/>
    <col min="12849" max="12849" width="21.00390625" style="3120" customWidth="1"/>
    <col min="12850" max="13056" width="11.421875" style="3120" customWidth="1"/>
    <col min="13057" max="13057" width="21.28125" style="3120" customWidth="1"/>
    <col min="13058" max="13058" width="8.421875" style="3120" customWidth="1"/>
    <col min="13059" max="13059" width="4.7109375" style="3120" customWidth="1"/>
    <col min="13060" max="13060" width="25.00390625" style="3120" customWidth="1"/>
    <col min="13061" max="13061" width="24.421875" style="3120" customWidth="1"/>
    <col min="13062" max="13062" width="15.00390625" style="3120" customWidth="1"/>
    <col min="13063" max="13063" width="13.28125" style="3120" customWidth="1"/>
    <col min="13064" max="13065" width="11.421875" style="3120" hidden="1" customWidth="1"/>
    <col min="13066" max="13067" width="18.7109375" style="3120" customWidth="1"/>
    <col min="13068" max="13068" width="11.28125" style="3120" customWidth="1"/>
    <col min="13069" max="13069" width="10.7109375" style="3120" customWidth="1"/>
    <col min="13070" max="13070" width="9.7109375" style="3120" customWidth="1"/>
    <col min="13071" max="13071" width="10.57421875" style="3120" customWidth="1"/>
    <col min="13072" max="13072" width="8.421875" style="3120" customWidth="1"/>
    <col min="13073" max="13073" width="5.57421875" style="3120" customWidth="1"/>
    <col min="13074" max="13083" width="11.421875" style="3120" hidden="1" customWidth="1"/>
    <col min="13084" max="13084" width="9.7109375" style="3120" customWidth="1"/>
    <col min="13085" max="13085" width="21.00390625" style="3120" customWidth="1"/>
    <col min="13086" max="13086" width="6.421875" style="3120" customWidth="1"/>
    <col min="13087" max="13087" width="4.140625" style="3120" customWidth="1"/>
    <col min="13088" max="13088" width="7.140625" style="3120" customWidth="1"/>
    <col min="13089" max="13089" width="5.28125" style="3120" customWidth="1"/>
    <col min="13090" max="13090" width="5.421875" style="3120" customWidth="1"/>
    <col min="13091" max="13091" width="4.7109375" style="3120" customWidth="1"/>
    <col min="13092" max="13092" width="5.28125" style="3120" customWidth="1"/>
    <col min="13093" max="13094" width="13.28125" style="3120" customWidth="1"/>
    <col min="13095" max="13095" width="6.57421875" style="3120" customWidth="1"/>
    <col min="13096" max="13096" width="6.421875" style="3120" customWidth="1"/>
    <col min="13097" max="13100" width="11.421875" style="3120" customWidth="1"/>
    <col min="13101" max="13101" width="12.7109375" style="3120" customWidth="1"/>
    <col min="13102" max="13104" width="11.421875" style="3120" customWidth="1"/>
    <col min="13105" max="13105" width="21.00390625" style="3120" customWidth="1"/>
    <col min="13106" max="13312" width="11.421875" style="3120" customWidth="1"/>
    <col min="13313" max="13313" width="21.28125" style="3120" customWidth="1"/>
    <col min="13314" max="13314" width="8.421875" style="3120" customWidth="1"/>
    <col min="13315" max="13315" width="4.7109375" style="3120" customWidth="1"/>
    <col min="13316" max="13316" width="25.00390625" style="3120" customWidth="1"/>
    <col min="13317" max="13317" width="24.421875" style="3120" customWidth="1"/>
    <col min="13318" max="13318" width="15.00390625" style="3120" customWidth="1"/>
    <col min="13319" max="13319" width="13.28125" style="3120" customWidth="1"/>
    <col min="13320" max="13321" width="11.421875" style="3120" hidden="1" customWidth="1"/>
    <col min="13322" max="13323" width="18.7109375" style="3120" customWidth="1"/>
    <col min="13324" max="13324" width="11.28125" style="3120" customWidth="1"/>
    <col min="13325" max="13325" width="10.7109375" style="3120" customWidth="1"/>
    <col min="13326" max="13326" width="9.7109375" style="3120" customWidth="1"/>
    <col min="13327" max="13327" width="10.57421875" style="3120" customWidth="1"/>
    <col min="13328" max="13328" width="8.421875" style="3120" customWidth="1"/>
    <col min="13329" max="13329" width="5.57421875" style="3120" customWidth="1"/>
    <col min="13330" max="13339" width="11.421875" style="3120" hidden="1" customWidth="1"/>
    <col min="13340" max="13340" width="9.7109375" style="3120" customWidth="1"/>
    <col min="13341" max="13341" width="21.00390625" style="3120" customWidth="1"/>
    <col min="13342" max="13342" width="6.421875" style="3120" customWidth="1"/>
    <col min="13343" max="13343" width="4.140625" style="3120" customWidth="1"/>
    <col min="13344" max="13344" width="7.140625" style="3120" customWidth="1"/>
    <col min="13345" max="13345" width="5.28125" style="3120" customWidth="1"/>
    <col min="13346" max="13346" width="5.421875" style="3120" customWidth="1"/>
    <col min="13347" max="13347" width="4.7109375" style="3120" customWidth="1"/>
    <col min="13348" max="13348" width="5.28125" style="3120" customWidth="1"/>
    <col min="13349" max="13350" width="13.28125" style="3120" customWidth="1"/>
    <col min="13351" max="13351" width="6.57421875" style="3120" customWidth="1"/>
    <col min="13352" max="13352" width="6.421875" style="3120" customWidth="1"/>
    <col min="13353" max="13356" width="11.421875" style="3120" customWidth="1"/>
    <col min="13357" max="13357" width="12.7109375" style="3120" customWidth="1"/>
    <col min="13358" max="13360" width="11.421875" style="3120" customWidth="1"/>
    <col min="13361" max="13361" width="21.00390625" style="3120" customWidth="1"/>
    <col min="13362" max="13568" width="11.421875" style="3120" customWidth="1"/>
    <col min="13569" max="13569" width="21.28125" style="3120" customWidth="1"/>
    <col min="13570" max="13570" width="8.421875" style="3120" customWidth="1"/>
    <col min="13571" max="13571" width="4.7109375" style="3120" customWidth="1"/>
    <col min="13572" max="13572" width="25.00390625" style="3120" customWidth="1"/>
    <col min="13573" max="13573" width="24.421875" style="3120" customWidth="1"/>
    <col min="13574" max="13574" width="15.00390625" style="3120" customWidth="1"/>
    <col min="13575" max="13575" width="13.28125" style="3120" customWidth="1"/>
    <col min="13576" max="13577" width="11.421875" style="3120" hidden="1" customWidth="1"/>
    <col min="13578" max="13579" width="18.7109375" style="3120" customWidth="1"/>
    <col min="13580" max="13580" width="11.28125" style="3120" customWidth="1"/>
    <col min="13581" max="13581" width="10.7109375" style="3120" customWidth="1"/>
    <col min="13582" max="13582" width="9.7109375" style="3120" customWidth="1"/>
    <col min="13583" max="13583" width="10.57421875" style="3120" customWidth="1"/>
    <col min="13584" max="13584" width="8.421875" style="3120" customWidth="1"/>
    <col min="13585" max="13585" width="5.57421875" style="3120" customWidth="1"/>
    <col min="13586" max="13595" width="11.421875" style="3120" hidden="1" customWidth="1"/>
    <col min="13596" max="13596" width="9.7109375" style="3120" customWidth="1"/>
    <col min="13597" max="13597" width="21.00390625" style="3120" customWidth="1"/>
    <col min="13598" max="13598" width="6.421875" style="3120" customWidth="1"/>
    <col min="13599" max="13599" width="4.140625" style="3120" customWidth="1"/>
    <col min="13600" max="13600" width="7.140625" style="3120" customWidth="1"/>
    <col min="13601" max="13601" width="5.28125" style="3120" customWidth="1"/>
    <col min="13602" max="13602" width="5.421875" style="3120" customWidth="1"/>
    <col min="13603" max="13603" width="4.7109375" style="3120" customWidth="1"/>
    <col min="13604" max="13604" width="5.28125" style="3120" customWidth="1"/>
    <col min="13605" max="13606" width="13.28125" style="3120" customWidth="1"/>
    <col min="13607" max="13607" width="6.57421875" style="3120" customWidth="1"/>
    <col min="13608" max="13608" width="6.421875" style="3120" customWidth="1"/>
    <col min="13609" max="13612" width="11.421875" style="3120" customWidth="1"/>
    <col min="13613" max="13613" width="12.7109375" style="3120" customWidth="1"/>
    <col min="13614" max="13616" width="11.421875" style="3120" customWidth="1"/>
    <col min="13617" max="13617" width="21.00390625" style="3120" customWidth="1"/>
    <col min="13618" max="13824" width="11.421875" style="3120" customWidth="1"/>
    <col min="13825" max="13825" width="21.28125" style="3120" customWidth="1"/>
    <col min="13826" max="13826" width="8.421875" style="3120" customWidth="1"/>
    <col min="13827" max="13827" width="4.7109375" style="3120" customWidth="1"/>
    <col min="13828" max="13828" width="25.00390625" style="3120" customWidth="1"/>
    <col min="13829" max="13829" width="24.421875" style="3120" customWidth="1"/>
    <col min="13830" max="13830" width="15.00390625" style="3120" customWidth="1"/>
    <col min="13831" max="13831" width="13.28125" style="3120" customWidth="1"/>
    <col min="13832" max="13833" width="11.421875" style="3120" hidden="1" customWidth="1"/>
    <col min="13834" max="13835" width="18.7109375" style="3120" customWidth="1"/>
    <col min="13836" max="13836" width="11.28125" style="3120" customWidth="1"/>
    <col min="13837" max="13837" width="10.7109375" style="3120" customWidth="1"/>
    <col min="13838" max="13838" width="9.7109375" style="3120" customWidth="1"/>
    <col min="13839" max="13839" width="10.57421875" style="3120" customWidth="1"/>
    <col min="13840" max="13840" width="8.421875" style="3120" customWidth="1"/>
    <col min="13841" max="13841" width="5.57421875" style="3120" customWidth="1"/>
    <col min="13842" max="13851" width="11.421875" style="3120" hidden="1" customWidth="1"/>
    <col min="13852" max="13852" width="9.7109375" style="3120" customWidth="1"/>
    <col min="13853" max="13853" width="21.00390625" style="3120" customWidth="1"/>
    <col min="13854" max="13854" width="6.421875" style="3120" customWidth="1"/>
    <col min="13855" max="13855" width="4.140625" style="3120" customWidth="1"/>
    <col min="13856" max="13856" width="7.140625" style="3120" customWidth="1"/>
    <col min="13857" max="13857" width="5.28125" style="3120" customWidth="1"/>
    <col min="13858" max="13858" width="5.421875" style="3120" customWidth="1"/>
    <col min="13859" max="13859" width="4.7109375" style="3120" customWidth="1"/>
    <col min="13860" max="13860" width="5.28125" style="3120" customWidth="1"/>
    <col min="13861" max="13862" width="13.28125" style="3120" customWidth="1"/>
    <col min="13863" max="13863" width="6.57421875" style="3120" customWidth="1"/>
    <col min="13864" max="13864" width="6.421875" style="3120" customWidth="1"/>
    <col min="13865" max="13868" width="11.421875" style="3120" customWidth="1"/>
    <col min="13869" max="13869" width="12.7109375" style="3120" customWidth="1"/>
    <col min="13870" max="13872" width="11.421875" style="3120" customWidth="1"/>
    <col min="13873" max="13873" width="21.00390625" style="3120" customWidth="1"/>
    <col min="13874" max="14080" width="11.421875" style="3120" customWidth="1"/>
    <col min="14081" max="14081" width="21.28125" style="3120" customWidth="1"/>
    <col min="14082" max="14082" width="8.421875" style="3120" customWidth="1"/>
    <col min="14083" max="14083" width="4.7109375" style="3120" customWidth="1"/>
    <col min="14084" max="14084" width="25.00390625" style="3120" customWidth="1"/>
    <col min="14085" max="14085" width="24.421875" style="3120" customWidth="1"/>
    <col min="14086" max="14086" width="15.00390625" style="3120" customWidth="1"/>
    <col min="14087" max="14087" width="13.28125" style="3120" customWidth="1"/>
    <col min="14088" max="14089" width="11.421875" style="3120" hidden="1" customWidth="1"/>
    <col min="14090" max="14091" width="18.7109375" style="3120" customWidth="1"/>
    <col min="14092" max="14092" width="11.28125" style="3120" customWidth="1"/>
    <col min="14093" max="14093" width="10.7109375" style="3120" customWidth="1"/>
    <col min="14094" max="14094" width="9.7109375" style="3120" customWidth="1"/>
    <col min="14095" max="14095" width="10.57421875" style="3120" customWidth="1"/>
    <col min="14096" max="14096" width="8.421875" style="3120" customWidth="1"/>
    <col min="14097" max="14097" width="5.57421875" style="3120" customWidth="1"/>
    <col min="14098" max="14107" width="11.421875" style="3120" hidden="1" customWidth="1"/>
    <col min="14108" max="14108" width="9.7109375" style="3120" customWidth="1"/>
    <col min="14109" max="14109" width="21.00390625" style="3120" customWidth="1"/>
    <col min="14110" max="14110" width="6.421875" style="3120" customWidth="1"/>
    <col min="14111" max="14111" width="4.140625" style="3120" customWidth="1"/>
    <col min="14112" max="14112" width="7.140625" style="3120" customWidth="1"/>
    <col min="14113" max="14113" width="5.28125" style="3120" customWidth="1"/>
    <col min="14114" max="14114" width="5.421875" style="3120" customWidth="1"/>
    <col min="14115" max="14115" width="4.7109375" style="3120" customWidth="1"/>
    <col min="14116" max="14116" width="5.28125" style="3120" customWidth="1"/>
    <col min="14117" max="14118" width="13.28125" style="3120" customWidth="1"/>
    <col min="14119" max="14119" width="6.57421875" style="3120" customWidth="1"/>
    <col min="14120" max="14120" width="6.421875" style="3120" customWidth="1"/>
    <col min="14121" max="14124" width="11.421875" style="3120" customWidth="1"/>
    <col min="14125" max="14125" width="12.7109375" style="3120" customWidth="1"/>
    <col min="14126" max="14128" width="11.421875" style="3120" customWidth="1"/>
    <col min="14129" max="14129" width="21.00390625" style="3120" customWidth="1"/>
    <col min="14130" max="14336" width="11.421875" style="3120" customWidth="1"/>
    <col min="14337" max="14337" width="21.28125" style="3120" customWidth="1"/>
    <col min="14338" max="14338" width="8.421875" style="3120" customWidth="1"/>
    <col min="14339" max="14339" width="4.7109375" style="3120" customWidth="1"/>
    <col min="14340" max="14340" width="25.00390625" style="3120" customWidth="1"/>
    <col min="14341" max="14341" width="24.421875" style="3120" customWidth="1"/>
    <col min="14342" max="14342" width="15.00390625" style="3120" customWidth="1"/>
    <col min="14343" max="14343" width="13.28125" style="3120" customWidth="1"/>
    <col min="14344" max="14345" width="11.421875" style="3120" hidden="1" customWidth="1"/>
    <col min="14346" max="14347" width="18.7109375" style="3120" customWidth="1"/>
    <col min="14348" max="14348" width="11.28125" style="3120" customWidth="1"/>
    <col min="14349" max="14349" width="10.7109375" style="3120" customWidth="1"/>
    <col min="14350" max="14350" width="9.7109375" style="3120" customWidth="1"/>
    <col min="14351" max="14351" width="10.57421875" style="3120" customWidth="1"/>
    <col min="14352" max="14352" width="8.421875" style="3120" customWidth="1"/>
    <col min="14353" max="14353" width="5.57421875" style="3120" customWidth="1"/>
    <col min="14354" max="14363" width="11.421875" style="3120" hidden="1" customWidth="1"/>
    <col min="14364" max="14364" width="9.7109375" style="3120" customWidth="1"/>
    <col min="14365" max="14365" width="21.00390625" style="3120" customWidth="1"/>
    <col min="14366" max="14366" width="6.421875" style="3120" customWidth="1"/>
    <col min="14367" max="14367" width="4.140625" style="3120" customWidth="1"/>
    <col min="14368" max="14368" width="7.140625" style="3120" customWidth="1"/>
    <col min="14369" max="14369" width="5.28125" style="3120" customWidth="1"/>
    <col min="14370" max="14370" width="5.421875" style="3120" customWidth="1"/>
    <col min="14371" max="14371" width="4.7109375" style="3120" customWidth="1"/>
    <col min="14372" max="14372" width="5.28125" style="3120" customWidth="1"/>
    <col min="14373" max="14374" width="13.28125" style="3120" customWidth="1"/>
    <col min="14375" max="14375" width="6.57421875" style="3120" customWidth="1"/>
    <col min="14376" max="14376" width="6.421875" style="3120" customWidth="1"/>
    <col min="14377" max="14380" width="11.421875" style="3120" customWidth="1"/>
    <col min="14381" max="14381" width="12.7109375" style="3120" customWidth="1"/>
    <col min="14382" max="14384" width="11.421875" style="3120" customWidth="1"/>
    <col min="14385" max="14385" width="21.00390625" style="3120" customWidth="1"/>
    <col min="14386" max="14592" width="11.421875" style="3120" customWidth="1"/>
    <col min="14593" max="14593" width="21.28125" style="3120" customWidth="1"/>
    <col min="14594" max="14594" width="8.421875" style="3120" customWidth="1"/>
    <col min="14595" max="14595" width="4.7109375" style="3120" customWidth="1"/>
    <col min="14596" max="14596" width="25.00390625" style="3120" customWidth="1"/>
    <col min="14597" max="14597" width="24.421875" style="3120" customWidth="1"/>
    <col min="14598" max="14598" width="15.00390625" style="3120" customWidth="1"/>
    <col min="14599" max="14599" width="13.28125" style="3120" customWidth="1"/>
    <col min="14600" max="14601" width="11.421875" style="3120" hidden="1" customWidth="1"/>
    <col min="14602" max="14603" width="18.7109375" style="3120" customWidth="1"/>
    <col min="14604" max="14604" width="11.28125" style="3120" customWidth="1"/>
    <col min="14605" max="14605" width="10.7109375" style="3120" customWidth="1"/>
    <col min="14606" max="14606" width="9.7109375" style="3120" customWidth="1"/>
    <col min="14607" max="14607" width="10.57421875" style="3120" customWidth="1"/>
    <col min="14608" max="14608" width="8.421875" style="3120" customWidth="1"/>
    <col min="14609" max="14609" width="5.57421875" style="3120" customWidth="1"/>
    <col min="14610" max="14619" width="11.421875" style="3120" hidden="1" customWidth="1"/>
    <col min="14620" max="14620" width="9.7109375" style="3120" customWidth="1"/>
    <col min="14621" max="14621" width="21.00390625" style="3120" customWidth="1"/>
    <col min="14622" max="14622" width="6.421875" style="3120" customWidth="1"/>
    <col min="14623" max="14623" width="4.140625" style="3120" customWidth="1"/>
    <col min="14624" max="14624" width="7.140625" style="3120" customWidth="1"/>
    <col min="14625" max="14625" width="5.28125" style="3120" customWidth="1"/>
    <col min="14626" max="14626" width="5.421875" style="3120" customWidth="1"/>
    <col min="14627" max="14627" width="4.7109375" style="3120" customWidth="1"/>
    <col min="14628" max="14628" width="5.28125" style="3120" customWidth="1"/>
    <col min="14629" max="14630" width="13.28125" style="3120" customWidth="1"/>
    <col min="14631" max="14631" width="6.57421875" style="3120" customWidth="1"/>
    <col min="14632" max="14632" width="6.421875" style="3120" customWidth="1"/>
    <col min="14633" max="14636" width="11.421875" style="3120" customWidth="1"/>
    <col min="14637" max="14637" width="12.7109375" style="3120" customWidth="1"/>
    <col min="14638" max="14640" width="11.421875" style="3120" customWidth="1"/>
    <col min="14641" max="14641" width="21.00390625" style="3120" customWidth="1"/>
    <col min="14642" max="14848" width="11.421875" style="3120" customWidth="1"/>
    <col min="14849" max="14849" width="21.28125" style="3120" customWidth="1"/>
    <col min="14850" max="14850" width="8.421875" style="3120" customWidth="1"/>
    <col min="14851" max="14851" width="4.7109375" style="3120" customWidth="1"/>
    <col min="14852" max="14852" width="25.00390625" style="3120" customWidth="1"/>
    <col min="14853" max="14853" width="24.421875" style="3120" customWidth="1"/>
    <col min="14854" max="14854" width="15.00390625" style="3120" customWidth="1"/>
    <col min="14855" max="14855" width="13.28125" style="3120" customWidth="1"/>
    <col min="14856" max="14857" width="11.421875" style="3120" hidden="1" customWidth="1"/>
    <col min="14858" max="14859" width="18.7109375" style="3120" customWidth="1"/>
    <col min="14860" max="14860" width="11.28125" style="3120" customWidth="1"/>
    <col min="14861" max="14861" width="10.7109375" style="3120" customWidth="1"/>
    <col min="14862" max="14862" width="9.7109375" style="3120" customWidth="1"/>
    <col min="14863" max="14863" width="10.57421875" style="3120" customWidth="1"/>
    <col min="14864" max="14864" width="8.421875" style="3120" customWidth="1"/>
    <col min="14865" max="14865" width="5.57421875" style="3120" customWidth="1"/>
    <col min="14866" max="14875" width="11.421875" style="3120" hidden="1" customWidth="1"/>
    <col min="14876" max="14876" width="9.7109375" style="3120" customWidth="1"/>
    <col min="14877" max="14877" width="21.00390625" style="3120" customWidth="1"/>
    <col min="14878" max="14878" width="6.421875" style="3120" customWidth="1"/>
    <col min="14879" max="14879" width="4.140625" style="3120" customWidth="1"/>
    <col min="14880" max="14880" width="7.140625" style="3120" customWidth="1"/>
    <col min="14881" max="14881" width="5.28125" style="3120" customWidth="1"/>
    <col min="14882" max="14882" width="5.421875" style="3120" customWidth="1"/>
    <col min="14883" max="14883" width="4.7109375" style="3120" customWidth="1"/>
    <col min="14884" max="14884" width="5.28125" style="3120" customWidth="1"/>
    <col min="14885" max="14886" width="13.28125" style="3120" customWidth="1"/>
    <col min="14887" max="14887" width="6.57421875" style="3120" customWidth="1"/>
    <col min="14888" max="14888" width="6.421875" style="3120" customWidth="1"/>
    <col min="14889" max="14892" width="11.421875" style="3120" customWidth="1"/>
    <col min="14893" max="14893" width="12.7109375" style="3120" customWidth="1"/>
    <col min="14894" max="14896" width="11.421875" style="3120" customWidth="1"/>
    <col min="14897" max="14897" width="21.00390625" style="3120" customWidth="1"/>
    <col min="14898" max="15104" width="11.421875" style="3120" customWidth="1"/>
    <col min="15105" max="15105" width="21.28125" style="3120" customWidth="1"/>
    <col min="15106" max="15106" width="8.421875" style="3120" customWidth="1"/>
    <col min="15107" max="15107" width="4.7109375" style="3120" customWidth="1"/>
    <col min="15108" max="15108" width="25.00390625" style="3120" customWidth="1"/>
    <col min="15109" max="15109" width="24.421875" style="3120" customWidth="1"/>
    <col min="15110" max="15110" width="15.00390625" style="3120" customWidth="1"/>
    <col min="15111" max="15111" width="13.28125" style="3120" customWidth="1"/>
    <col min="15112" max="15113" width="11.421875" style="3120" hidden="1" customWidth="1"/>
    <col min="15114" max="15115" width="18.7109375" style="3120" customWidth="1"/>
    <col min="15116" max="15116" width="11.28125" style="3120" customWidth="1"/>
    <col min="15117" max="15117" width="10.7109375" style="3120" customWidth="1"/>
    <col min="15118" max="15118" width="9.7109375" style="3120" customWidth="1"/>
    <col min="15119" max="15119" width="10.57421875" style="3120" customWidth="1"/>
    <col min="15120" max="15120" width="8.421875" style="3120" customWidth="1"/>
    <col min="15121" max="15121" width="5.57421875" style="3120" customWidth="1"/>
    <col min="15122" max="15131" width="11.421875" style="3120" hidden="1" customWidth="1"/>
    <col min="15132" max="15132" width="9.7109375" style="3120" customWidth="1"/>
    <col min="15133" max="15133" width="21.00390625" style="3120" customWidth="1"/>
    <col min="15134" max="15134" width="6.421875" style="3120" customWidth="1"/>
    <col min="15135" max="15135" width="4.140625" style="3120" customWidth="1"/>
    <col min="15136" max="15136" width="7.140625" style="3120" customWidth="1"/>
    <col min="15137" max="15137" width="5.28125" style="3120" customWidth="1"/>
    <col min="15138" max="15138" width="5.421875" style="3120" customWidth="1"/>
    <col min="15139" max="15139" width="4.7109375" style="3120" customWidth="1"/>
    <col min="15140" max="15140" width="5.28125" style="3120" customWidth="1"/>
    <col min="15141" max="15142" width="13.28125" style="3120" customWidth="1"/>
    <col min="15143" max="15143" width="6.57421875" style="3120" customWidth="1"/>
    <col min="15144" max="15144" width="6.421875" style="3120" customWidth="1"/>
    <col min="15145" max="15148" width="11.421875" style="3120" customWidth="1"/>
    <col min="15149" max="15149" width="12.7109375" style="3120" customWidth="1"/>
    <col min="15150" max="15152" width="11.421875" style="3120" customWidth="1"/>
    <col min="15153" max="15153" width="21.00390625" style="3120" customWidth="1"/>
    <col min="15154" max="15360" width="11.421875" style="3120" customWidth="1"/>
    <col min="15361" max="15361" width="21.28125" style="3120" customWidth="1"/>
    <col min="15362" max="15362" width="8.421875" style="3120" customWidth="1"/>
    <col min="15363" max="15363" width="4.7109375" style="3120" customWidth="1"/>
    <col min="15364" max="15364" width="25.00390625" style="3120" customWidth="1"/>
    <col min="15365" max="15365" width="24.421875" style="3120" customWidth="1"/>
    <col min="15366" max="15366" width="15.00390625" style="3120" customWidth="1"/>
    <col min="15367" max="15367" width="13.28125" style="3120" customWidth="1"/>
    <col min="15368" max="15369" width="11.421875" style="3120" hidden="1" customWidth="1"/>
    <col min="15370" max="15371" width="18.7109375" style="3120" customWidth="1"/>
    <col min="15372" max="15372" width="11.28125" style="3120" customWidth="1"/>
    <col min="15373" max="15373" width="10.7109375" style="3120" customWidth="1"/>
    <col min="15374" max="15374" width="9.7109375" style="3120" customWidth="1"/>
    <col min="15375" max="15375" width="10.57421875" style="3120" customWidth="1"/>
    <col min="15376" max="15376" width="8.421875" style="3120" customWidth="1"/>
    <col min="15377" max="15377" width="5.57421875" style="3120" customWidth="1"/>
    <col min="15378" max="15387" width="11.421875" style="3120" hidden="1" customWidth="1"/>
    <col min="15388" max="15388" width="9.7109375" style="3120" customWidth="1"/>
    <col min="15389" max="15389" width="21.00390625" style="3120" customWidth="1"/>
    <col min="15390" max="15390" width="6.421875" style="3120" customWidth="1"/>
    <col min="15391" max="15391" width="4.140625" style="3120" customWidth="1"/>
    <col min="15392" max="15392" width="7.140625" style="3120" customWidth="1"/>
    <col min="15393" max="15393" width="5.28125" style="3120" customWidth="1"/>
    <col min="15394" max="15394" width="5.421875" style="3120" customWidth="1"/>
    <col min="15395" max="15395" width="4.7109375" style="3120" customWidth="1"/>
    <col min="15396" max="15396" width="5.28125" style="3120" customWidth="1"/>
    <col min="15397" max="15398" width="13.28125" style="3120" customWidth="1"/>
    <col min="15399" max="15399" width="6.57421875" style="3120" customWidth="1"/>
    <col min="15400" max="15400" width="6.421875" style="3120" customWidth="1"/>
    <col min="15401" max="15404" width="11.421875" style="3120" customWidth="1"/>
    <col min="15405" max="15405" width="12.7109375" style="3120" customWidth="1"/>
    <col min="15406" max="15408" width="11.421875" style="3120" customWidth="1"/>
    <col min="15409" max="15409" width="21.00390625" style="3120" customWidth="1"/>
    <col min="15410" max="15616" width="11.421875" style="3120" customWidth="1"/>
    <col min="15617" max="15617" width="21.28125" style="3120" customWidth="1"/>
    <col min="15618" max="15618" width="8.421875" style="3120" customWidth="1"/>
    <col min="15619" max="15619" width="4.7109375" style="3120" customWidth="1"/>
    <col min="15620" max="15620" width="25.00390625" style="3120" customWidth="1"/>
    <col min="15621" max="15621" width="24.421875" style="3120" customWidth="1"/>
    <col min="15622" max="15622" width="15.00390625" style="3120" customWidth="1"/>
    <col min="15623" max="15623" width="13.28125" style="3120" customWidth="1"/>
    <col min="15624" max="15625" width="11.421875" style="3120" hidden="1" customWidth="1"/>
    <col min="15626" max="15627" width="18.7109375" style="3120" customWidth="1"/>
    <col min="15628" max="15628" width="11.28125" style="3120" customWidth="1"/>
    <col min="15629" max="15629" width="10.7109375" style="3120" customWidth="1"/>
    <col min="15630" max="15630" width="9.7109375" style="3120" customWidth="1"/>
    <col min="15631" max="15631" width="10.57421875" style="3120" customWidth="1"/>
    <col min="15632" max="15632" width="8.421875" style="3120" customWidth="1"/>
    <col min="15633" max="15633" width="5.57421875" style="3120" customWidth="1"/>
    <col min="15634" max="15643" width="11.421875" style="3120" hidden="1" customWidth="1"/>
    <col min="15644" max="15644" width="9.7109375" style="3120" customWidth="1"/>
    <col min="15645" max="15645" width="21.00390625" style="3120" customWidth="1"/>
    <col min="15646" max="15646" width="6.421875" style="3120" customWidth="1"/>
    <col min="15647" max="15647" width="4.140625" style="3120" customWidth="1"/>
    <col min="15648" max="15648" width="7.140625" style="3120" customWidth="1"/>
    <col min="15649" max="15649" width="5.28125" style="3120" customWidth="1"/>
    <col min="15650" max="15650" width="5.421875" style="3120" customWidth="1"/>
    <col min="15651" max="15651" width="4.7109375" style="3120" customWidth="1"/>
    <col min="15652" max="15652" width="5.28125" style="3120" customWidth="1"/>
    <col min="15653" max="15654" width="13.28125" style="3120" customWidth="1"/>
    <col min="15655" max="15655" width="6.57421875" style="3120" customWidth="1"/>
    <col min="15656" max="15656" width="6.421875" style="3120" customWidth="1"/>
    <col min="15657" max="15660" width="11.421875" style="3120" customWidth="1"/>
    <col min="15661" max="15661" width="12.7109375" style="3120" customWidth="1"/>
    <col min="15662" max="15664" width="11.421875" style="3120" customWidth="1"/>
    <col min="15665" max="15665" width="21.00390625" style="3120" customWidth="1"/>
    <col min="15666" max="15872" width="11.421875" style="3120" customWidth="1"/>
    <col min="15873" max="15873" width="21.28125" style="3120" customWidth="1"/>
    <col min="15874" max="15874" width="8.421875" style="3120" customWidth="1"/>
    <col min="15875" max="15875" width="4.7109375" style="3120" customWidth="1"/>
    <col min="15876" max="15876" width="25.00390625" style="3120" customWidth="1"/>
    <col min="15877" max="15877" width="24.421875" style="3120" customWidth="1"/>
    <col min="15878" max="15878" width="15.00390625" style="3120" customWidth="1"/>
    <col min="15879" max="15879" width="13.28125" style="3120" customWidth="1"/>
    <col min="15880" max="15881" width="11.421875" style="3120" hidden="1" customWidth="1"/>
    <col min="15882" max="15883" width="18.7109375" style="3120" customWidth="1"/>
    <col min="15884" max="15884" width="11.28125" style="3120" customWidth="1"/>
    <col min="15885" max="15885" width="10.7109375" style="3120" customWidth="1"/>
    <col min="15886" max="15886" width="9.7109375" style="3120" customWidth="1"/>
    <col min="15887" max="15887" width="10.57421875" style="3120" customWidth="1"/>
    <col min="15888" max="15888" width="8.421875" style="3120" customWidth="1"/>
    <col min="15889" max="15889" width="5.57421875" style="3120" customWidth="1"/>
    <col min="15890" max="15899" width="11.421875" style="3120" hidden="1" customWidth="1"/>
    <col min="15900" max="15900" width="9.7109375" style="3120" customWidth="1"/>
    <col min="15901" max="15901" width="21.00390625" style="3120" customWidth="1"/>
    <col min="15902" max="15902" width="6.421875" style="3120" customWidth="1"/>
    <col min="15903" max="15903" width="4.140625" style="3120" customWidth="1"/>
    <col min="15904" max="15904" width="7.140625" style="3120" customWidth="1"/>
    <col min="15905" max="15905" width="5.28125" style="3120" customWidth="1"/>
    <col min="15906" max="15906" width="5.421875" style="3120" customWidth="1"/>
    <col min="15907" max="15907" width="4.7109375" style="3120" customWidth="1"/>
    <col min="15908" max="15908" width="5.28125" style="3120" customWidth="1"/>
    <col min="15909" max="15910" width="13.28125" style="3120" customWidth="1"/>
    <col min="15911" max="15911" width="6.57421875" style="3120" customWidth="1"/>
    <col min="15912" max="15912" width="6.421875" style="3120" customWidth="1"/>
    <col min="15913" max="15916" width="11.421875" style="3120" customWidth="1"/>
    <col min="15917" max="15917" width="12.7109375" style="3120" customWidth="1"/>
    <col min="15918" max="15920" width="11.421875" style="3120" customWidth="1"/>
    <col min="15921" max="15921" width="21.00390625" style="3120" customWidth="1"/>
    <col min="15922" max="16128" width="11.421875" style="3120" customWidth="1"/>
    <col min="16129" max="16129" width="21.28125" style="3120" customWidth="1"/>
    <col min="16130" max="16130" width="8.421875" style="3120" customWidth="1"/>
    <col min="16131" max="16131" width="4.7109375" style="3120" customWidth="1"/>
    <col min="16132" max="16132" width="25.00390625" style="3120" customWidth="1"/>
    <col min="16133" max="16133" width="24.421875" style="3120" customWidth="1"/>
    <col min="16134" max="16134" width="15.00390625" style="3120" customWidth="1"/>
    <col min="16135" max="16135" width="13.28125" style="3120" customWidth="1"/>
    <col min="16136" max="16137" width="11.421875" style="3120" hidden="1" customWidth="1"/>
    <col min="16138" max="16139" width="18.7109375" style="3120" customWidth="1"/>
    <col min="16140" max="16140" width="11.28125" style="3120" customWidth="1"/>
    <col min="16141" max="16141" width="10.7109375" style="3120" customWidth="1"/>
    <col min="16142" max="16142" width="9.7109375" style="3120" customWidth="1"/>
    <col min="16143" max="16143" width="10.57421875" style="3120" customWidth="1"/>
    <col min="16144" max="16144" width="8.421875" style="3120" customWidth="1"/>
    <col min="16145" max="16145" width="5.57421875" style="3120" customWidth="1"/>
    <col min="16146" max="16155" width="11.421875" style="3120" hidden="1" customWidth="1"/>
    <col min="16156" max="16156" width="9.7109375" style="3120" customWidth="1"/>
    <col min="16157" max="16157" width="21.00390625" style="3120" customWidth="1"/>
    <col min="16158" max="16158" width="6.421875" style="3120" customWidth="1"/>
    <col min="16159" max="16159" width="4.140625" style="3120" customWidth="1"/>
    <col min="16160" max="16160" width="7.140625" style="3120" customWidth="1"/>
    <col min="16161" max="16161" width="5.28125" style="3120" customWidth="1"/>
    <col min="16162" max="16162" width="5.421875" style="3120" customWidth="1"/>
    <col min="16163" max="16163" width="4.7109375" style="3120" customWidth="1"/>
    <col min="16164" max="16164" width="5.28125" style="3120" customWidth="1"/>
    <col min="16165" max="16166" width="13.28125" style="3120" customWidth="1"/>
    <col min="16167" max="16167" width="6.57421875" style="3120" customWidth="1"/>
    <col min="16168" max="16168" width="6.421875" style="3120" customWidth="1"/>
    <col min="16169" max="16172" width="11.421875" style="3120" customWidth="1"/>
    <col min="16173" max="16173" width="12.7109375" style="3120" customWidth="1"/>
    <col min="16174" max="16176" width="11.421875" style="3120" customWidth="1"/>
    <col min="16177" max="16177" width="21.00390625" style="3120" customWidth="1"/>
    <col min="16178" max="16384" width="11.421875" style="3120" customWidth="1"/>
  </cols>
  <sheetData>
    <row r="1" spans="1:30" ht="13.5">
      <c r="A1" s="3118"/>
      <c r="B1" s="3119"/>
      <c r="C1" s="3119"/>
      <c r="D1" s="3119"/>
      <c r="E1" s="3119"/>
      <c r="F1" s="3119"/>
      <c r="G1" s="3119"/>
      <c r="H1" s="3119"/>
      <c r="I1" s="3119"/>
      <c r="J1" s="3119"/>
      <c r="K1" s="3119"/>
      <c r="L1" s="3119"/>
      <c r="M1" s="3119"/>
      <c r="N1" s="3119"/>
      <c r="O1" s="3119"/>
      <c r="P1" s="3119"/>
      <c r="Q1" s="3119"/>
      <c r="R1" s="3119"/>
      <c r="S1" s="3119"/>
      <c r="T1" s="3119"/>
      <c r="U1" s="3119"/>
      <c r="V1" s="3119"/>
      <c r="AD1" s="3121"/>
    </row>
    <row r="2" spans="1:23" ht="27" customHeight="1">
      <c r="A2" s="3118"/>
      <c r="B2" s="3119"/>
      <c r="C2" s="3119"/>
      <c r="D2" s="3119"/>
      <c r="E2" s="3119"/>
      <c r="F2" s="3119"/>
      <c r="G2" s="3119"/>
      <c r="H2" s="3119"/>
      <c r="I2" s="3119"/>
      <c r="J2" s="3119"/>
      <c r="K2" s="3119"/>
      <c r="L2" s="3119"/>
      <c r="M2" s="3119"/>
      <c r="N2" s="3119"/>
      <c r="O2" s="3119"/>
      <c r="P2" s="3119"/>
      <c r="Q2" s="3119"/>
      <c r="R2" s="3119"/>
      <c r="S2" s="3119"/>
      <c r="T2" s="3119"/>
      <c r="U2" s="3119"/>
      <c r="V2" s="3119"/>
      <c r="W2" s="3119"/>
    </row>
    <row r="3" spans="1:23" ht="27" customHeight="1">
      <c r="A3" s="3118"/>
      <c r="B3" s="3119"/>
      <c r="C3" s="3119"/>
      <c r="D3" s="3119"/>
      <c r="E3" s="3119"/>
      <c r="F3" s="3119"/>
      <c r="G3" s="3119"/>
      <c r="H3" s="3119"/>
      <c r="I3" s="3119"/>
      <c r="J3" s="3119"/>
      <c r="K3" s="3119"/>
      <c r="L3" s="3119"/>
      <c r="M3" s="3119"/>
      <c r="N3" s="3119"/>
      <c r="O3" s="3119"/>
      <c r="P3" s="3119"/>
      <c r="Q3" s="3119"/>
      <c r="R3" s="3119"/>
      <c r="S3" s="3119"/>
      <c r="T3" s="3119"/>
      <c r="U3" s="3119"/>
      <c r="V3" s="3119"/>
      <c r="W3" s="3119"/>
    </row>
    <row r="4" spans="1:23" ht="11.25" customHeight="1">
      <c r="A4" s="3122" t="s">
        <v>2</v>
      </c>
      <c r="B4" s="3119"/>
      <c r="C4" s="3119"/>
      <c r="D4" s="3119"/>
      <c r="E4" s="3119"/>
      <c r="F4" s="3119"/>
      <c r="G4" s="3119"/>
      <c r="H4" s="3119"/>
      <c r="I4" s="3119"/>
      <c r="J4" s="3119"/>
      <c r="K4" s="3119"/>
      <c r="L4" s="3119"/>
      <c r="M4" s="3119"/>
      <c r="N4" s="3119"/>
      <c r="O4" s="3119"/>
      <c r="P4" s="3119"/>
      <c r="Q4" s="3119"/>
      <c r="R4" s="3119"/>
      <c r="S4" s="3119"/>
      <c r="T4" s="3119"/>
      <c r="U4" s="3119"/>
      <c r="V4" s="3119"/>
      <c r="W4" s="3119"/>
    </row>
    <row r="5" spans="1:23" ht="11.25" customHeight="1">
      <c r="A5" s="3122" t="s">
        <v>3</v>
      </c>
      <c r="B5" s="3119"/>
      <c r="C5" s="3119"/>
      <c r="D5" s="3119"/>
      <c r="E5" s="3119"/>
      <c r="F5" s="3119"/>
      <c r="G5" s="3119"/>
      <c r="H5" s="3119"/>
      <c r="I5" s="3119"/>
      <c r="J5" s="3119"/>
      <c r="K5" s="3119"/>
      <c r="L5" s="3119"/>
      <c r="M5" s="3119"/>
      <c r="N5" s="3119"/>
      <c r="O5" s="3119"/>
      <c r="P5" s="3119"/>
      <c r="Q5" s="3119"/>
      <c r="R5" s="3119"/>
      <c r="S5" s="3119"/>
      <c r="T5" s="3119"/>
      <c r="U5" s="3119"/>
      <c r="V5" s="3119"/>
      <c r="W5" s="3119"/>
    </row>
    <row r="6" spans="1:30" s="3126" customFormat="1" ht="30.75">
      <c r="A6" s="3123"/>
      <c r="B6" s="3124" t="str">
        <f>'TOT-0116'!B2</f>
        <v>ANEXO II al Memorándum D.T.E.E. N° 231 / 2017</v>
      </c>
      <c r="C6" s="3125"/>
      <c r="D6" s="3125"/>
      <c r="E6" s="3125"/>
      <c r="F6" s="3125"/>
      <c r="G6" s="3125"/>
      <c r="H6" s="3125"/>
      <c r="I6" s="3125"/>
      <c r="J6" s="3125"/>
      <c r="K6" s="3125"/>
      <c r="L6" s="3125"/>
      <c r="M6" s="3125"/>
      <c r="N6" s="3125"/>
      <c r="O6" s="3125"/>
      <c r="P6" s="3125"/>
      <c r="Q6" s="3125"/>
      <c r="R6" s="3125"/>
      <c r="S6" s="3125"/>
      <c r="T6" s="3125"/>
      <c r="U6" s="3125"/>
      <c r="V6" s="3125"/>
      <c r="W6" s="3125"/>
      <c r="AB6" s="3125"/>
      <c r="AC6" s="3125"/>
      <c r="AD6" s="3125"/>
    </row>
    <row r="7" s="3127" customFormat="1" ht="11.25">
      <c r="B7" s="3128"/>
    </row>
    <row r="8" s="3127" customFormat="1" ht="12" thickBot="1">
      <c r="B8" s="3122"/>
    </row>
    <row r="9" spans="1:30" ht="17.1" customHeight="1" thickTop="1">
      <c r="A9" s="3119"/>
      <c r="B9" s="3129"/>
      <c r="C9" s="3130"/>
      <c r="D9" s="3130"/>
      <c r="E9" s="3131"/>
      <c r="F9" s="3130"/>
      <c r="G9" s="3130"/>
      <c r="H9" s="3130"/>
      <c r="I9" s="3130"/>
      <c r="J9" s="3130"/>
      <c r="K9" s="3130"/>
      <c r="L9" s="3130"/>
      <c r="M9" s="3130"/>
      <c r="N9" s="3130"/>
      <c r="O9" s="3130"/>
      <c r="P9" s="3130"/>
      <c r="Q9" s="3130"/>
      <c r="R9" s="3130"/>
      <c r="S9" s="3130"/>
      <c r="T9" s="3130"/>
      <c r="U9" s="3130"/>
      <c r="V9" s="3130"/>
      <c r="W9" s="3132"/>
      <c r="X9" s="3132"/>
      <c r="Y9" s="3132"/>
      <c r="Z9" s="3132"/>
      <c r="AA9" s="3132"/>
      <c r="AB9" s="3132"/>
      <c r="AC9" s="3132"/>
      <c r="AD9" s="3133"/>
    </row>
    <row r="10" spans="1:30" ht="20.25">
      <c r="A10" s="3119"/>
      <c r="B10" s="3134"/>
      <c r="C10" s="3135"/>
      <c r="D10" s="3136" t="s">
        <v>92</v>
      </c>
      <c r="E10" s="3135"/>
      <c r="F10" s="3135"/>
      <c r="G10" s="3135"/>
      <c r="H10" s="3135"/>
      <c r="I10" s="3135"/>
      <c r="J10" s="3135"/>
      <c r="K10" s="3135"/>
      <c r="L10" s="3135"/>
      <c r="M10" s="3135"/>
      <c r="N10" s="3135"/>
      <c r="O10" s="3135"/>
      <c r="P10" s="3137"/>
      <c r="Q10" s="3137"/>
      <c r="R10" s="3135"/>
      <c r="S10" s="3135"/>
      <c r="T10" s="3135"/>
      <c r="U10" s="3135"/>
      <c r="V10" s="3135"/>
      <c r="AD10" s="3138"/>
    </row>
    <row r="11" spans="1:30" ht="17.1" customHeight="1">
      <c r="A11" s="3119"/>
      <c r="B11" s="3134"/>
      <c r="C11" s="3135"/>
      <c r="D11" s="3135"/>
      <c r="E11" s="3135"/>
      <c r="F11" s="3135"/>
      <c r="G11" s="3135"/>
      <c r="H11" s="3135"/>
      <c r="I11" s="3135"/>
      <c r="J11" s="3135"/>
      <c r="K11" s="3135"/>
      <c r="L11" s="3135"/>
      <c r="M11" s="3135"/>
      <c r="N11" s="3135"/>
      <c r="O11" s="3135"/>
      <c r="P11" s="3135"/>
      <c r="Q11" s="3135"/>
      <c r="R11" s="3135"/>
      <c r="S11" s="3135"/>
      <c r="T11" s="3135"/>
      <c r="U11" s="3135"/>
      <c r="V11" s="3135"/>
      <c r="AD11" s="3138"/>
    </row>
    <row r="12" spans="2:30" s="3139" customFormat="1" ht="20.25">
      <c r="B12" s="3140"/>
      <c r="C12" s="3141"/>
      <c r="D12" s="3136" t="s">
        <v>93</v>
      </c>
      <c r="E12" s="3141"/>
      <c r="F12" s="3141"/>
      <c r="G12" s="3141"/>
      <c r="H12" s="3141"/>
      <c r="N12" s="3141"/>
      <c r="O12" s="3141"/>
      <c r="P12" s="3142"/>
      <c r="Q12" s="3142"/>
      <c r="R12" s="3141"/>
      <c r="S12" s="3141"/>
      <c r="T12" s="3141"/>
      <c r="U12" s="3141"/>
      <c r="V12" s="3141"/>
      <c r="W12" s="3120"/>
      <c r="X12" s="3141"/>
      <c r="Y12" s="3141"/>
      <c r="Z12" s="3141"/>
      <c r="AA12" s="3141"/>
      <c r="AB12" s="3141"/>
      <c r="AC12" s="3120"/>
      <c r="AD12" s="3143"/>
    </row>
    <row r="13" spans="1:30" ht="17.1" customHeight="1">
      <c r="A13" s="3119"/>
      <c r="B13" s="3134"/>
      <c r="C13" s="3135"/>
      <c r="D13" s="3135"/>
      <c r="E13" s="3135"/>
      <c r="F13" s="3135"/>
      <c r="G13" s="3135"/>
      <c r="H13" s="3135"/>
      <c r="I13" s="3135"/>
      <c r="J13" s="3135"/>
      <c r="K13" s="3135"/>
      <c r="L13" s="3135"/>
      <c r="M13" s="3135"/>
      <c r="N13" s="3135"/>
      <c r="O13" s="3135"/>
      <c r="P13" s="3135"/>
      <c r="Q13" s="3135"/>
      <c r="R13" s="3135"/>
      <c r="S13" s="3135"/>
      <c r="T13" s="3135"/>
      <c r="U13" s="3135"/>
      <c r="V13" s="3135"/>
      <c r="AD13" s="3138"/>
    </row>
    <row r="14" spans="2:30" s="3139" customFormat="1" ht="20.25">
      <c r="B14" s="3140"/>
      <c r="C14" s="3141"/>
      <c r="D14" s="3136" t="s">
        <v>442</v>
      </c>
      <c r="E14" s="3141"/>
      <c r="F14" s="3141"/>
      <c r="G14" s="3141"/>
      <c r="H14" s="3141"/>
      <c r="N14" s="3141"/>
      <c r="O14" s="3141"/>
      <c r="P14" s="3142"/>
      <c r="Q14" s="3142"/>
      <c r="R14" s="3141"/>
      <c r="S14" s="3141"/>
      <c r="T14" s="3141"/>
      <c r="U14" s="3141"/>
      <c r="V14" s="3141"/>
      <c r="W14" s="3120"/>
      <c r="X14" s="3141"/>
      <c r="Y14" s="3141"/>
      <c r="Z14" s="3141"/>
      <c r="AA14" s="3141"/>
      <c r="AB14" s="3141"/>
      <c r="AC14" s="3120"/>
      <c r="AD14" s="3143"/>
    </row>
    <row r="15" spans="1:30" ht="17.1" customHeight="1">
      <c r="A15" s="3119"/>
      <c r="B15" s="3134"/>
      <c r="C15" s="3135"/>
      <c r="D15" s="3135"/>
      <c r="E15" s="3119"/>
      <c r="F15" s="3119"/>
      <c r="G15" s="3119"/>
      <c r="H15" s="3119"/>
      <c r="I15" s="3144"/>
      <c r="J15" s="3144"/>
      <c r="K15" s="3144"/>
      <c r="L15" s="3144"/>
      <c r="M15" s="3144"/>
      <c r="N15" s="3144"/>
      <c r="O15" s="3144"/>
      <c r="P15" s="3144"/>
      <c r="Q15" s="3144"/>
      <c r="R15" s="3135"/>
      <c r="S15" s="3135"/>
      <c r="T15" s="3135"/>
      <c r="U15" s="3135"/>
      <c r="V15" s="3135"/>
      <c r="AD15" s="3138"/>
    </row>
    <row r="16" spans="2:30" s="3139" customFormat="1" ht="19.5">
      <c r="B16" s="3145" t="str">
        <f>'TOT-0116'!B14</f>
        <v>Desde el 01 al 31 de enero de 2016</v>
      </c>
      <c r="C16" s="3146"/>
      <c r="D16" s="3147"/>
      <c r="E16" s="3147"/>
      <c r="F16" s="3147"/>
      <c r="G16" s="3147"/>
      <c r="H16" s="3147"/>
      <c r="I16" s="3148"/>
      <c r="J16" s="3149"/>
      <c r="K16" s="3148"/>
      <c r="L16" s="3148"/>
      <c r="M16" s="3148"/>
      <c r="N16" s="3148"/>
      <c r="O16" s="3148"/>
      <c r="P16" s="3148"/>
      <c r="Q16" s="3148"/>
      <c r="R16" s="3148"/>
      <c r="S16" s="3148"/>
      <c r="T16" s="3148"/>
      <c r="U16" s="3150"/>
      <c r="V16" s="3150"/>
      <c r="W16" s="3120"/>
      <c r="X16" s="3151"/>
      <c r="Y16" s="3151"/>
      <c r="Z16" s="3151"/>
      <c r="AA16" s="3151"/>
      <c r="AB16" s="3150"/>
      <c r="AC16" s="3149"/>
      <c r="AD16" s="3152"/>
    </row>
    <row r="17" spans="1:30" ht="17.1" customHeight="1">
      <c r="A17" s="3119"/>
      <c r="B17" s="3134"/>
      <c r="C17" s="3135"/>
      <c r="D17" s="3135"/>
      <c r="E17" s="3153"/>
      <c r="F17" s="3153"/>
      <c r="G17" s="3135"/>
      <c r="H17" s="3135"/>
      <c r="I17" s="3135"/>
      <c r="J17" s="3154"/>
      <c r="K17" s="3135"/>
      <c r="L17" s="3135"/>
      <c r="M17" s="3135"/>
      <c r="N17" s="3119"/>
      <c r="O17" s="3119"/>
      <c r="P17" s="3135"/>
      <c r="Q17" s="3135"/>
      <c r="R17" s="3135"/>
      <c r="S17" s="3135"/>
      <c r="T17" s="3135"/>
      <c r="U17" s="3135"/>
      <c r="V17" s="3135"/>
      <c r="AD17" s="3138"/>
    </row>
    <row r="18" spans="1:30" ht="17.1" customHeight="1">
      <c r="A18" s="3119"/>
      <c r="B18" s="3134"/>
      <c r="C18" s="3135"/>
      <c r="D18" s="3135"/>
      <c r="E18" s="3153"/>
      <c r="F18" s="3153"/>
      <c r="G18" s="3135"/>
      <c r="H18" s="3135"/>
      <c r="I18" s="3155"/>
      <c r="J18" s="3135"/>
      <c r="K18" s="3156"/>
      <c r="M18" s="3135"/>
      <c r="N18" s="3119"/>
      <c r="O18" s="3119"/>
      <c r="P18" s="3135"/>
      <c r="Q18" s="3135"/>
      <c r="R18" s="3135"/>
      <c r="S18" s="3135"/>
      <c r="T18" s="3135"/>
      <c r="U18" s="3135"/>
      <c r="V18" s="3135"/>
      <c r="AD18" s="3138"/>
    </row>
    <row r="19" spans="1:30" ht="17.1" customHeight="1">
      <c r="A19" s="3119"/>
      <c r="B19" s="3134"/>
      <c r="C19" s="3135"/>
      <c r="D19" s="3135"/>
      <c r="E19" s="3153"/>
      <c r="F19" s="3153"/>
      <c r="G19" s="3135"/>
      <c r="H19" s="3135"/>
      <c r="I19" s="3155"/>
      <c r="J19" s="3135"/>
      <c r="K19" s="3156"/>
      <c r="M19" s="3135"/>
      <c r="N19" s="3119"/>
      <c r="O19" s="3119"/>
      <c r="P19" s="3135"/>
      <c r="Q19" s="3135"/>
      <c r="R19" s="3135"/>
      <c r="S19" s="3135"/>
      <c r="T19" s="3135"/>
      <c r="U19" s="3135"/>
      <c r="V19" s="3135"/>
      <c r="AD19" s="3138"/>
    </row>
    <row r="20" spans="1:30" ht="17.1" customHeight="1">
      <c r="A20" s="3119"/>
      <c r="B20" s="3134"/>
      <c r="C20" s="3157" t="s">
        <v>94</v>
      </c>
      <c r="D20" s="3158" t="s">
        <v>95</v>
      </c>
      <c r="E20" s="3153"/>
      <c r="F20" s="3153"/>
      <c r="G20" s="3135"/>
      <c r="H20" s="3135"/>
      <c r="I20" s="3135"/>
      <c r="J20" s="3154"/>
      <c r="K20" s="3135"/>
      <c r="L20" s="3135"/>
      <c r="M20" s="3135"/>
      <c r="N20" s="3119"/>
      <c r="O20" s="3119"/>
      <c r="P20" s="3135"/>
      <c r="Q20" s="3135"/>
      <c r="R20" s="3135"/>
      <c r="S20" s="3135"/>
      <c r="T20" s="3135"/>
      <c r="U20" s="3135"/>
      <c r="V20" s="3135"/>
      <c r="AD20" s="3138"/>
    </row>
    <row r="21" spans="2:30" s="3159" customFormat="1" ht="17.1" customHeight="1">
      <c r="B21" s="3160"/>
      <c r="C21" s="3161"/>
      <c r="D21" s="3162"/>
      <c r="E21" s="3163"/>
      <c r="F21" s="3164"/>
      <c r="G21" s="3161"/>
      <c r="H21" s="3161"/>
      <c r="I21" s="3161"/>
      <c r="J21" s="3165"/>
      <c r="K21" s="3161"/>
      <c r="L21" s="3161"/>
      <c r="M21" s="3161"/>
      <c r="P21" s="3161"/>
      <c r="Q21" s="3161"/>
      <c r="R21" s="3161"/>
      <c r="S21" s="3161"/>
      <c r="T21" s="3161"/>
      <c r="U21" s="3161"/>
      <c r="V21" s="3161"/>
      <c r="W21" s="3120"/>
      <c r="AD21" s="3166"/>
    </row>
    <row r="22" spans="2:30" s="3159" customFormat="1" ht="17.1" customHeight="1">
      <c r="B22" s="3160"/>
      <c r="C22" s="3161"/>
      <c r="D22" s="3167" t="s">
        <v>449</v>
      </c>
      <c r="F22" s="3168">
        <v>506.119</v>
      </c>
      <c r="G22" s="454" t="s">
        <v>97</v>
      </c>
      <c r="H22" s="3161"/>
      <c r="K22" s="3161"/>
      <c r="L22" s="3169"/>
      <c r="M22" s="3170" t="s">
        <v>40</v>
      </c>
      <c r="N22" s="3171">
        <v>0.04</v>
      </c>
      <c r="R22" s="3161"/>
      <c r="S22" s="3161"/>
      <c r="T22" s="3161"/>
      <c r="U22" s="3161"/>
      <c r="V22" s="3161"/>
      <c r="W22" s="3120"/>
      <c r="AD22" s="3166"/>
    </row>
    <row r="23" spans="2:30" s="3159" customFormat="1" ht="17.1" customHeight="1">
      <c r="B23" s="3160"/>
      <c r="C23" s="3161"/>
      <c r="D23" s="3167" t="s">
        <v>112</v>
      </c>
      <c r="F23" s="3172">
        <v>1.391</v>
      </c>
      <c r="G23" s="3167" t="s">
        <v>113</v>
      </c>
      <c r="H23" s="3161"/>
      <c r="K23" s="3161"/>
      <c r="L23" s="3161"/>
      <c r="M23" s="3162" t="s">
        <v>38</v>
      </c>
      <c r="N23" s="3164">
        <f>MID(B16,16,2)*24</f>
        <v>744</v>
      </c>
      <c r="O23" s="3161"/>
      <c r="P23" s="3173"/>
      <c r="Q23" s="3161"/>
      <c r="R23" s="3161"/>
      <c r="S23" s="3161"/>
      <c r="T23" s="3161"/>
      <c r="U23" s="3161"/>
      <c r="V23" s="3161"/>
      <c r="W23" s="3120"/>
      <c r="AD23" s="3166"/>
    </row>
    <row r="24" spans="2:30" s="3159" customFormat="1" ht="17.1" customHeight="1">
      <c r="B24" s="3160"/>
      <c r="C24" s="3161"/>
      <c r="D24" s="3159" t="s">
        <v>443</v>
      </c>
      <c r="F24" s="3174">
        <v>248.394</v>
      </c>
      <c r="G24" s="3167" t="s">
        <v>16</v>
      </c>
      <c r="H24" s="3161"/>
      <c r="K24" s="3452" t="s">
        <v>444</v>
      </c>
      <c r="L24" s="3452"/>
      <c r="M24" s="3452"/>
      <c r="N24" s="3175">
        <v>20</v>
      </c>
      <c r="O24" s="3161"/>
      <c r="P24" s="3173"/>
      <c r="Q24" s="3161"/>
      <c r="R24" s="3161"/>
      <c r="S24" s="3161"/>
      <c r="T24" s="3161"/>
      <c r="U24" s="3161"/>
      <c r="V24" s="3161"/>
      <c r="W24" s="3120"/>
      <c r="AD24" s="3166"/>
    </row>
    <row r="25" spans="2:30" s="3159" customFormat="1" ht="17.1" customHeight="1">
      <c r="B25" s="3160"/>
      <c r="C25" s="3161"/>
      <c r="F25" s="3174"/>
      <c r="G25" s="3167"/>
      <c r="H25" s="3161"/>
      <c r="K25" s="3176"/>
      <c r="L25" s="3176"/>
      <c r="M25" s="3176"/>
      <c r="N25" s="3175"/>
      <c r="O25" s="3161"/>
      <c r="P25" s="3173"/>
      <c r="Q25" s="3161"/>
      <c r="R25" s="3161"/>
      <c r="S25" s="3161"/>
      <c r="T25" s="3161"/>
      <c r="U25" s="3161"/>
      <c r="V25" s="3161"/>
      <c r="W25" s="3120"/>
      <c r="AD25" s="3166"/>
    </row>
    <row r="26" spans="2:30" s="3159" customFormat="1" ht="8.25" customHeight="1">
      <c r="B26" s="3160"/>
      <c r="C26" s="3161"/>
      <c r="D26" s="3161"/>
      <c r="E26" s="3176"/>
      <c r="F26" s="3161"/>
      <c r="G26" s="3161"/>
      <c r="H26" s="3161"/>
      <c r="I26" s="3161"/>
      <c r="J26" s="3161"/>
      <c r="K26" s="3161"/>
      <c r="L26" s="3161"/>
      <c r="M26" s="3161"/>
      <c r="N26" s="3161"/>
      <c r="O26" s="3161"/>
      <c r="P26" s="3161"/>
      <c r="Q26" s="3161"/>
      <c r="R26" s="3161"/>
      <c r="S26" s="3161"/>
      <c r="T26" s="3161"/>
      <c r="U26" s="3161"/>
      <c r="V26" s="3161"/>
      <c r="W26" s="3120"/>
      <c r="AD26" s="3166"/>
    </row>
    <row r="27" spans="1:30" ht="17.1" customHeight="1">
      <c r="A27" s="3119"/>
      <c r="B27" s="3134"/>
      <c r="C27" s="3157" t="s">
        <v>98</v>
      </c>
      <c r="D27" s="3177" t="s">
        <v>358</v>
      </c>
      <c r="I27" s="3135"/>
      <c r="J27" s="3159"/>
      <c r="O27" s="3135"/>
      <c r="P27" s="3135"/>
      <c r="Q27" s="3135"/>
      <c r="R27" s="3135"/>
      <c r="S27" s="3135"/>
      <c r="T27" s="3135"/>
      <c r="V27" s="3135"/>
      <c r="X27" s="3135"/>
      <c r="Y27" s="3135"/>
      <c r="Z27" s="3135"/>
      <c r="AA27" s="3135"/>
      <c r="AB27" s="3135"/>
      <c r="AC27" s="3135"/>
      <c r="AD27" s="3138"/>
    </row>
    <row r="28" spans="1:30" ht="10.5" customHeight="1" thickBot="1">
      <c r="A28" s="3119"/>
      <c r="B28" s="3134"/>
      <c r="C28" s="3153"/>
      <c r="D28" s="3177"/>
      <c r="I28" s="3135"/>
      <c r="J28" s="3159"/>
      <c r="O28" s="3135"/>
      <c r="P28" s="3135"/>
      <c r="Q28" s="3135"/>
      <c r="R28" s="3135"/>
      <c r="S28" s="3135"/>
      <c r="T28" s="3135"/>
      <c r="V28" s="3135"/>
      <c r="X28" s="3135"/>
      <c r="Y28" s="3135"/>
      <c r="Z28" s="3135"/>
      <c r="AA28" s="3135"/>
      <c r="AB28" s="3135"/>
      <c r="AC28" s="3135"/>
      <c r="AD28" s="3138"/>
    </row>
    <row r="29" spans="2:30" s="3159" customFormat="1" ht="17.1" customHeight="1" thickBot="1" thickTop="1">
      <c r="B29" s="3160"/>
      <c r="C29" s="3164"/>
      <c r="D29" s="3120"/>
      <c r="E29" s="3120"/>
      <c r="F29" s="3120"/>
      <c r="G29" s="3120"/>
      <c r="H29" s="3120"/>
      <c r="I29" s="3120"/>
      <c r="J29" s="3178" t="s">
        <v>45</v>
      </c>
      <c r="K29" s="3179">
        <f>N22*AC77</f>
        <v>39429.223314368</v>
      </c>
      <c r="L29" s="3120"/>
      <c r="S29" s="3120"/>
      <c r="T29" s="3120"/>
      <c r="U29" s="3120"/>
      <c r="W29" s="3120"/>
      <c r="AD29" s="3166"/>
    </row>
    <row r="30" spans="2:30" s="3159" customFormat="1" ht="11.25" customHeight="1" thickTop="1">
      <c r="B30" s="3160"/>
      <c r="C30" s="3164"/>
      <c r="D30" s="3161"/>
      <c r="E30" s="3176"/>
      <c r="F30" s="3161"/>
      <c r="G30" s="3161"/>
      <c r="H30" s="3161"/>
      <c r="I30" s="3161"/>
      <c r="J30" s="3161"/>
      <c r="K30" s="3161"/>
      <c r="L30" s="3161"/>
      <c r="M30" s="3161"/>
      <c r="N30" s="3161"/>
      <c r="O30" s="3161"/>
      <c r="P30" s="3161"/>
      <c r="Q30" s="3161"/>
      <c r="R30" s="3161"/>
      <c r="S30" s="3161"/>
      <c r="T30" s="3161"/>
      <c r="U30" s="3120"/>
      <c r="W30" s="3120"/>
      <c r="AD30" s="3166"/>
    </row>
    <row r="31" spans="1:30" ht="17.1" customHeight="1">
      <c r="A31" s="3119"/>
      <c r="B31" s="3134"/>
      <c r="C31" s="3157" t="s">
        <v>99</v>
      </c>
      <c r="D31" s="3177" t="s">
        <v>137</v>
      </c>
      <c r="E31" s="3180"/>
      <c r="F31" s="3135"/>
      <c r="G31" s="3135"/>
      <c r="H31" s="3135"/>
      <c r="I31" s="3135"/>
      <c r="J31" s="3135"/>
      <c r="K31" s="3135"/>
      <c r="L31" s="3135"/>
      <c r="M31" s="3135"/>
      <c r="N31" s="3135"/>
      <c r="O31" s="3135"/>
      <c r="P31" s="3135"/>
      <c r="Q31" s="3135"/>
      <c r="R31" s="3135"/>
      <c r="S31" s="3135"/>
      <c r="T31" s="3135"/>
      <c r="U31" s="3135"/>
      <c r="V31" s="3135"/>
      <c r="AD31" s="3138"/>
    </row>
    <row r="32" spans="1:30" ht="17.1" customHeight="1" thickBot="1">
      <c r="A32" s="3119"/>
      <c r="B32" s="3134"/>
      <c r="C32" s="3157"/>
      <c r="D32" s="3177"/>
      <c r="E32" s="3180"/>
      <c r="F32" s="3135"/>
      <c r="G32" s="3135"/>
      <c r="H32" s="3135"/>
      <c r="I32" s="3135"/>
      <c r="J32" s="3135"/>
      <c r="K32" s="3135"/>
      <c r="L32" s="3135"/>
      <c r="M32" s="3135"/>
      <c r="N32" s="3135"/>
      <c r="O32" s="3135"/>
      <c r="P32" s="3135"/>
      <c r="Q32" s="3135"/>
      <c r="R32" s="3135"/>
      <c r="S32" s="3135"/>
      <c r="T32" s="3135"/>
      <c r="U32" s="3135"/>
      <c r="V32" s="3135"/>
      <c r="AD32" s="3138"/>
    </row>
    <row r="33" spans="1:30" ht="33.95" customHeight="1" thickBot="1" thickTop="1">
      <c r="A33" s="3119"/>
      <c r="B33" s="3134"/>
      <c r="C33" s="84" t="s">
        <v>13</v>
      </c>
      <c r="D33" s="198" t="s">
        <v>0</v>
      </c>
      <c r="E33" s="171" t="s">
        <v>14</v>
      </c>
      <c r="F33" s="87" t="s">
        <v>15</v>
      </c>
      <c r="G33" s="199" t="s">
        <v>71</v>
      </c>
      <c r="H33" s="200" t="s">
        <v>37</v>
      </c>
      <c r="I33" s="134" t="s">
        <v>16</v>
      </c>
      <c r="J33" s="85" t="s">
        <v>17</v>
      </c>
      <c r="K33" s="850" t="s">
        <v>18</v>
      </c>
      <c r="L33" s="88" t="s">
        <v>36</v>
      </c>
      <c r="M33" s="86" t="s">
        <v>31</v>
      </c>
      <c r="N33" s="88" t="s">
        <v>100</v>
      </c>
      <c r="O33" s="88" t="s">
        <v>58</v>
      </c>
      <c r="P33" s="850" t="s">
        <v>59</v>
      </c>
      <c r="Q33" s="85" t="s">
        <v>32</v>
      </c>
      <c r="R33" s="136" t="s">
        <v>20</v>
      </c>
      <c r="S33" s="463" t="s">
        <v>21</v>
      </c>
      <c r="T33" s="464" t="s">
        <v>72</v>
      </c>
      <c r="U33" s="465"/>
      <c r="V33" s="466"/>
      <c r="W33" s="467" t="s">
        <v>101</v>
      </c>
      <c r="X33" s="468"/>
      <c r="Y33" s="469"/>
      <c r="Z33" s="470" t="s">
        <v>22</v>
      </c>
      <c r="AA33" s="471" t="s">
        <v>23</v>
      </c>
      <c r="AB33" s="89" t="s">
        <v>74</v>
      </c>
      <c r="AC33" s="121" t="s">
        <v>24</v>
      </c>
      <c r="AD33" s="3138"/>
    </row>
    <row r="34" spans="1:30" ht="17.1" customHeight="1" thickTop="1">
      <c r="A34" s="3119"/>
      <c r="B34" s="3134"/>
      <c r="C34" s="7"/>
      <c r="D34" s="472"/>
      <c r="E34" s="473"/>
      <c r="F34" s="474"/>
      <c r="G34" s="475"/>
      <c r="H34" s="476"/>
      <c r="I34" s="477"/>
      <c r="J34" s="478"/>
      <c r="K34" s="479"/>
      <c r="L34" s="7"/>
      <c r="M34" s="7"/>
      <c r="N34" s="178"/>
      <c r="O34" s="178"/>
      <c r="P34" s="7"/>
      <c r="Q34" s="175"/>
      <c r="R34" s="480"/>
      <c r="S34" s="481"/>
      <c r="T34" s="482"/>
      <c r="U34" s="483"/>
      <c r="V34" s="484"/>
      <c r="W34" s="485"/>
      <c r="X34" s="486"/>
      <c r="Y34" s="487"/>
      <c r="Z34" s="488"/>
      <c r="AA34" s="489"/>
      <c r="AB34" s="490"/>
      <c r="AC34" s="491"/>
      <c r="AD34" s="3138"/>
    </row>
    <row r="35" spans="1:30" ht="17.1" customHeight="1">
      <c r="A35" s="3119"/>
      <c r="B35" s="3134"/>
      <c r="C35" s="750" t="s">
        <v>200</v>
      </c>
      <c r="D35" s="706"/>
      <c r="E35" s="707"/>
      <c r="F35" s="748"/>
      <c r="G35" s="493"/>
      <c r="H35" s="494">
        <f>IF(G35="A",200,IF(G35="B",60,20))</f>
        <v>20</v>
      </c>
      <c r="I35" s="495">
        <f>IF(F35&gt;100,F35,100)*$F$22/100</f>
        <v>506.119</v>
      </c>
      <c r="J35" s="496"/>
      <c r="K35" s="441"/>
      <c r="L35" s="497" t="str">
        <f>IF(D35="","",(K35-J35)*24)</f>
        <v/>
      </c>
      <c r="M35" s="366" t="str">
        <f>IF(D35="","",ROUND((K35-J35)*24*60,0))</f>
        <v/>
      </c>
      <c r="N35" s="498"/>
      <c r="O35" s="499" t="str">
        <f>IF(D35="","","--")</f>
        <v/>
      </c>
      <c r="P35" s="217" t="str">
        <f>IF(D35="","","NO")</f>
        <v/>
      </c>
      <c r="Q35" s="217" t="str">
        <f>IF(D35="","",IF(OR(N35="P",N35="RP"),"--","NO"))</f>
        <v/>
      </c>
      <c r="R35" s="500" t="str">
        <f>IF(N35="P",+I35*H35*ROUND(M35/60,2)/100,"--")</f>
        <v>--</v>
      </c>
      <c r="S35" s="501" t="str">
        <f>IF(N35="RP",I35*H35*ROUND(M35/60,2)*0.01*O35/100,"--")</f>
        <v>--</v>
      </c>
      <c r="T35" s="502" t="str">
        <f>IF(AND(N35="F",Q35="NO"),IF(P35="SI",1.2,1)*I35*H35,"--")</f>
        <v>--</v>
      </c>
      <c r="U35" s="503" t="str">
        <f>IF(AND(M35&gt;10,N35="F"),IF(M35&lt;=300,ROUND(M35/60,2),5)*I35*H35*IF(P35="SI",1.2,1),"--")</f>
        <v>--</v>
      </c>
      <c r="V35" s="504" t="str">
        <f>IF(AND(N35="F",M35&gt;300),IF(P35="SI",1.2,1)*(ROUND(M35/60,2)-5)*I35*H35*0.1,"--")</f>
        <v>--</v>
      </c>
      <c r="W35" s="505" t="str">
        <f>IF(AND(N35="R",Q35="NO"),IF(P35="SI",1.2,1)*I35*H35*O35/100,"--")</f>
        <v>--</v>
      </c>
      <c r="X35" s="506" t="str">
        <f>IF(AND(M35&gt;10,N35="R"),IF(M35&lt;=300,ROUND(M35/60,2),5)*I35*H35*O35/100*IF(P35="SI",1.2,1),"--")</f>
        <v>--</v>
      </c>
      <c r="Y35" s="507" t="str">
        <f>IF(AND(N35="R",M35&gt;300),IF(P35="SI",1.2,1)*(ROUND(M35/60,2)-5)*I35*H35*O35/100*0.1,"--")</f>
        <v>--</v>
      </c>
      <c r="Z35" s="508" t="str">
        <f>IF(N35="RF",IF(P35="SI",1.2,1)*ROUND(M35/60,2)*I35*H35*0.1,"--")</f>
        <v>--</v>
      </c>
      <c r="AA35" s="509" t="str">
        <f>IF(N35="RR",IF(P35="SI",1.2,1)*ROUND(M35/60,2)*I35*H35*O35/100*0.1,"--")</f>
        <v>--</v>
      </c>
      <c r="AB35" s="510" t="str">
        <f>IF(D35="","","SI")</f>
        <v/>
      </c>
      <c r="AC35" s="16" t="str">
        <f>IF(D35="","",SUM(R35:AA35)*IF(AB35="SI",1,2))</f>
        <v/>
      </c>
      <c r="AD35" s="3138"/>
    </row>
    <row r="36" spans="1:30" ht="17.1" customHeight="1">
      <c r="A36" s="3119"/>
      <c r="B36" s="3134"/>
      <c r="C36" s="750" t="s">
        <v>201</v>
      </c>
      <c r="D36" s="7"/>
      <c r="E36" s="440"/>
      <c r="F36" s="492"/>
      <c r="G36" s="493"/>
      <c r="H36" s="494">
        <f>IF(G36="A",200,IF(G36="B",60,20))</f>
        <v>20</v>
      </c>
      <c r="I36" s="495">
        <f>IF(F36&gt;100,F36,100)*$F$19/100</f>
        <v>0</v>
      </c>
      <c r="J36" s="496"/>
      <c r="K36" s="441"/>
      <c r="L36" s="497" t="str">
        <f>IF(D36="","",(K36-J36)*24)</f>
        <v/>
      </c>
      <c r="M36" s="366" t="str">
        <f>IF(D36="","",ROUND((K36-J36)*24*60,0))</f>
        <v/>
      </c>
      <c r="N36" s="498"/>
      <c r="O36" s="499" t="str">
        <f>IF(D36="","","--")</f>
        <v/>
      </c>
      <c r="P36" s="217" t="str">
        <f>IF(D36="","","NO")</f>
        <v/>
      </c>
      <c r="Q36" s="217" t="str">
        <f>IF(D36="","",IF(OR(N36="P",N36="RP"),"--","NO"))</f>
        <v/>
      </c>
      <c r="R36" s="500" t="str">
        <f>IF(N36="P",+I36*H36*ROUND(M36/60,2)/100,"--")</f>
        <v>--</v>
      </c>
      <c r="S36" s="501" t="str">
        <f>IF(N36="RP",I36*H36*ROUND(M36/60,2)*0.01*O36/100,"--")</f>
        <v>--</v>
      </c>
      <c r="T36" s="502" t="str">
        <f>IF(AND(N36="F",Q36="NO"),IF(P36="SI",1.2,1)*I36*H36,"--")</f>
        <v>--</v>
      </c>
      <c r="U36" s="503" t="str">
        <f>IF(AND(M36&gt;10,N36="F"),IF(M36&lt;=300,ROUND(M36/60,2),5)*I36*H36*IF(P36="SI",1.2,1),"--")</f>
        <v>--</v>
      </c>
      <c r="V36" s="504" t="str">
        <f>IF(AND(N36="F",M36&gt;300),IF(P36="SI",1.2,1)*(ROUND(M36/60,2)-5)*I36*H36*0.1,"--")</f>
        <v>--</v>
      </c>
      <c r="W36" s="505" t="str">
        <f>IF(AND(N36="R",Q36="NO"),IF(P36="SI",1.2,1)*I36*H36*O36/100,"--")</f>
        <v>--</v>
      </c>
      <c r="X36" s="506" t="str">
        <f>IF(AND(M36&gt;10,N36="R"),IF(M36&lt;=300,ROUND(M36/60,2),5)*I36*H36*O36/100*IF(P36="SI",1.2,1),"--")</f>
        <v>--</v>
      </c>
      <c r="Y36" s="507" t="str">
        <f>IF(AND(N36="R",M36&gt;300),IF(P36="SI",1.2,1)*(ROUND(M36/60,2)-5)*I36*H36*O36/100*0.1,"--")</f>
        <v>--</v>
      </c>
      <c r="Z36" s="508" t="str">
        <f>IF(N36="RF",IF(P36="SI",1.2,1)*ROUND(M36/60,2)*I36*H36*0.1,"--")</f>
        <v>--</v>
      </c>
      <c r="AA36" s="509" t="str">
        <f>IF(N36="RR",IF(P36="SI",1.2,1)*ROUND(M36/60,2)*I36*H36*O36/100*0.1,"--")</f>
        <v>--</v>
      </c>
      <c r="AB36" s="510" t="str">
        <f>IF(D36="","","SI")</f>
        <v/>
      </c>
      <c r="AC36" s="16" t="str">
        <f>IF(D36="","",SUM(R36:AA36)*IF(AB36="SI",1,2))</f>
        <v/>
      </c>
      <c r="AD36" s="3138"/>
    </row>
    <row r="37" spans="1:30" ht="17.1" customHeight="1" thickBot="1">
      <c r="A37" s="3119"/>
      <c r="B37" s="3134"/>
      <c r="C37" s="588"/>
      <c r="D37" s="511"/>
      <c r="E37" s="512"/>
      <c r="F37" s="513"/>
      <c r="G37" s="514"/>
      <c r="H37" s="515"/>
      <c r="I37" s="516"/>
      <c r="J37" s="517"/>
      <c r="K37" s="517"/>
      <c r="L37" s="9"/>
      <c r="M37" s="9"/>
      <c r="N37" s="9"/>
      <c r="O37" s="518"/>
      <c r="P37" s="9"/>
      <c r="Q37" s="9"/>
      <c r="R37" s="519"/>
      <c r="S37" s="520"/>
      <c r="T37" s="521"/>
      <c r="U37" s="522"/>
      <c r="V37" s="523"/>
      <c r="W37" s="524"/>
      <c r="X37" s="525"/>
      <c r="Y37" s="526"/>
      <c r="Z37" s="527"/>
      <c r="AA37" s="528"/>
      <c r="AB37" s="529"/>
      <c r="AC37" s="530"/>
      <c r="AD37" s="3138"/>
    </row>
    <row r="38" spans="1:30" ht="17.1" customHeight="1" thickBot="1" thickTop="1">
      <c r="A38" s="3119"/>
      <c r="B38" s="3134"/>
      <c r="C38" s="451"/>
      <c r="D38" s="451"/>
      <c r="E38" s="531"/>
      <c r="F38" s="460"/>
      <c r="G38" s="532"/>
      <c r="H38" s="532"/>
      <c r="I38" s="533"/>
      <c r="J38" s="533"/>
      <c r="K38" s="533"/>
      <c r="L38" s="533"/>
      <c r="M38" s="533"/>
      <c r="N38" s="533"/>
      <c r="O38" s="534"/>
      <c r="P38" s="533"/>
      <c r="Q38" s="533"/>
      <c r="R38" s="535">
        <f aca="true" t="shared" si="0" ref="R38:AA38">SUM(R34:R37)</f>
        <v>0</v>
      </c>
      <c r="S38" s="536">
        <f t="shared" si="0"/>
        <v>0</v>
      </c>
      <c r="T38" s="537">
        <f t="shared" si="0"/>
        <v>0</v>
      </c>
      <c r="U38" s="537">
        <f t="shared" si="0"/>
        <v>0</v>
      </c>
      <c r="V38" s="537">
        <f t="shared" si="0"/>
        <v>0</v>
      </c>
      <c r="W38" s="538">
        <f t="shared" si="0"/>
        <v>0</v>
      </c>
      <c r="X38" s="538">
        <f t="shared" si="0"/>
        <v>0</v>
      </c>
      <c r="Y38" s="538">
        <f t="shared" si="0"/>
        <v>0</v>
      </c>
      <c r="Z38" s="539">
        <f t="shared" si="0"/>
        <v>0</v>
      </c>
      <c r="AA38" s="540">
        <f t="shared" si="0"/>
        <v>0</v>
      </c>
      <c r="AB38" s="541"/>
      <c r="AC38" s="542">
        <f>SUM(AC34:AC37)</f>
        <v>0</v>
      </c>
      <c r="AD38" s="3138"/>
    </row>
    <row r="39" spans="1:30" ht="13.5" customHeight="1" thickBot="1" thickTop="1">
      <c r="A39" s="3159"/>
      <c r="B39" s="3134"/>
      <c r="C39" s="3164"/>
      <c r="D39" s="3164"/>
      <c r="E39" s="3181"/>
      <c r="F39" s="3176"/>
      <c r="G39" s="3182"/>
      <c r="H39" s="3182"/>
      <c r="I39" s="3183"/>
      <c r="J39" s="3183"/>
      <c r="K39" s="3183"/>
      <c r="L39" s="3183"/>
      <c r="M39" s="3183"/>
      <c r="N39" s="3183"/>
      <c r="O39" s="3184"/>
      <c r="P39" s="3183"/>
      <c r="Q39" s="3183"/>
      <c r="R39" s="3434"/>
      <c r="S39" s="3435"/>
      <c r="T39" s="3436"/>
      <c r="U39" s="3436"/>
      <c r="V39" s="3436"/>
      <c r="W39" s="3434"/>
      <c r="X39" s="3434"/>
      <c r="Y39" s="3434"/>
      <c r="Z39" s="3434"/>
      <c r="AA39" s="3434"/>
      <c r="AB39" s="3185"/>
      <c r="AC39" s="3186"/>
      <c r="AD39" s="3187"/>
    </row>
    <row r="40" spans="1:33" s="3119" customFormat="1" ht="33.95" customHeight="1" thickBot="1" thickTop="1">
      <c r="A40" s="3118"/>
      <c r="B40" s="3188"/>
      <c r="C40" s="3189" t="s">
        <v>13</v>
      </c>
      <c r="D40" s="3190" t="s">
        <v>27</v>
      </c>
      <c r="E40" s="3191" t="s">
        <v>28</v>
      </c>
      <c r="F40" s="3192" t="s">
        <v>29</v>
      </c>
      <c r="G40" s="3193" t="s">
        <v>14</v>
      </c>
      <c r="H40" s="3194" t="s">
        <v>16</v>
      </c>
      <c r="I40" s="3195"/>
      <c r="J40" s="3191" t="s">
        <v>17</v>
      </c>
      <c r="K40" s="3191" t="s">
        <v>18</v>
      </c>
      <c r="L40" s="3190" t="s">
        <v>30</v>
      </c>
      <c r="M40" s="3190" t="s">
        <v>31</v>
      </c>
      <c r="N40" s="3196" t="s">
        <v>102</v>
      </c>
      <c r="O40" s="3191" t="s">
        <v>32</v>
      </c>
      <c r="P40" s="3197" t="s">
        <v>33</v>
      </c>
      <c r="Q40" s="3198"/>
      <c r="R40" s="3194" t="s">
        <v>34</v>
      </c>
      <c r="S40" s="3199" t="s">
        <v>20</v>
      </c>
      <c r="T40" s="3200" t="s">
        <v>103</v>
      </c>
      <c r="U40" s="3201"/>
      <c r="V40" s="3202" t="s">
        <v>22</v>
      </c>
      <c r="W40" s="3203"/>
      <c r="X40" s="3204"/>
      <c r="Y40" s="3204"/>
      <c r="Z40" s="3204"/>
      <c r="AA40" s="3205"/>
      <c r="AB40" s="3206" t="s">
        <v>74</v>
      </c>
      <c r="AC40" s="3193" t="s">
        <v>24</v>
      </c>
      <c r="AD40" s="3138"/>
      <c r="AF40" s="3120"/>
      <c r="AG40" s="3120"/>
    </row>
    <row r="41" spans="1:30" ht="17.1" customHeight="1" thickTop="1">
      <c r="A41" s="3119"/>
      <c r="B41" s="3134"/>
      <c r="C41" s="3207"/>
      <c r="D41" s="3208"/>
      <c r="E41" s="3208"/>
      <c r="F41" s="3208"/>
      <c r="G41" s="3209"/>
      <c r="H41" s="3210"/>
      <c r="I41" s="3211"/>
      <c r="J41" s="3208"/>
      <c r="K41" s="3208"/>
      <c r="L41" s="3208"/>
      <c r="M41" s="3208"/>
      <c r="N41" s="3208"/>
      <c r="O41" s="3212"/>
      <c r="P41" s="3213"/>
      <c r="Q41" s="3214"/>
      <c r="R41" s="3215"/>
      <c r="S41" s="3216"/>
      <c r="T41" s="3217"/>
      <c r="U41" s="3218"/>
      <c r="V41" s="3219"/>
      <c r="W41" s="3220"/>
      <c r="X41" s="3221"/>
      <c r="Y41" s="3221"/>
      <c r="Z41" s="3221"/>
      <c r="AA41" s="3222"/>
      <c r="AB41" s="3212"/>
      <c r="AC41" s="3223"/>
      <c r="AD41" s="3138"/>
    </row>
    <row r="42" spans="1:30" ht="17.1" customHeight="1">
      <c r="A42" s="3119"/>
      <c r="B42" s="3134"/>
      <c r="C42" s="957" t="s">
        <v>200</v>
      </c>
      <c r="D42" s="3224" t="s">
        <v>440</v>
      </c>
      <c r="E42" s="3224" t="s">
        <v>360</v>
      </c>
      <c r="F42" s="3225">
        <v>300</v>
      </c>
      <c r="G42" s="3226" t="s">
        <v>441</v>
      </c>
      <c r="H42" s="3227">
        <f>F42*$F$23</f>
        <v>417.3</v>
      </c>
      <c r="I42" s="3228"/>
      <c r="J42" s="2571">
        <v>42392.26944444444</v>
      </c>
      <c r="K42" s="2571">
        <v>42392.46111111111</v>
      </c>
      <c r="L42" s="3231">
        <f>IF(D42="","",(K42-J42)*24)</f>
        <v>4.599999999976717</v>
      </c>
      <c r="M42" s="3232">
        <f>IF(D42="","",(K42-J42)*24*60)</f>
        <v>275.999999998603</v>
      </c>
      <c r="N42" s="3233" t="s">
        <v>304</v>
      </c>
      <c r="O42" s="3234" t="str">
        <f>IF(D42="","",IF(OR(N42="P",N42="RP"),"--","NO"))</f>
        <v>--</v>
      </c>
      <c r="P42" s="3235" t="s">
        <v>361</v>
      </c>
      <c r="Q42" s="3236"/>
      <c r="R42" s="3237">
        <f>200*IF(OR(N42="P",N42="RP"),0.1,1)*IF(P42="SI",1,0.1)</f>
        <v>2</v>
      </c>
      <c r="S42" s="3238">
        <f>IF(N42="P",H42*R42*ROUND(M42/60,2),"--")</f>
        <v>3839.16</v>
      </c>
      <c r="T42" s="3239" t="str">
        <f>IF(AND(N42="F",O42="NO"),H42*R42,"--")</f>
        <v>--</v>
      </c>
      <c r="U42" s="3240" t="str">
        <f>IF(N42="F",H42*R42*ROUND(M42/60,2),"--")</f>
        <v>--</v>
      </c>
      <c r="V42" s="3241" t="str">
        <f>IF(N42="RF",H42*R42*ROUND(M42/60,2),"--")</f>
        <v>--</v>
      </c>
      <c r="W42" s="3242"/>
      <c r="X42" s="3243"/>
      <c r="Y42" s="3243"/>
      <c r="Z42" s="3243"/>
      <c r="AA42" s="3244"/>
      <c r="AB42" s="3245" t="str">
        <f>IF(D42="","","SI")</f>
        <v>SI</v>
      </c>
      <c r="AC42" s="3246">
        <f>IF(D42="","",SUM(S42:V42)*IF(AB42="SI",1,2))</f>
        <v>3839.16</v>
      </c>
      <c r="AD42" s="3138"/>
    </row>
    <row r="43" spans="1:30" ht="17.1" customHeight="1">
      <c r="A43" s="3119"/>
      <c r="B43" s="3134"/>
      <c r="C43" s="957" t="s">
        <v>201</v>
      </c>
      <c r="D43" s="3224"/>
      <c r="E43" s="3224"/>
      <c r="F43" s="3225"/>
      <c r="G43" s="3226"/>
      <c r="H43" s="3227">
        <f>F43*$F$23</f>
        <v>0</v>
      </c>
      <c r="I43" s="3228"/>
      <c r="J43" s="2571"/>
      <c r="K43" s="2571"/>
      <c r="L43" s="3231" t="str">
        <f>IF(D43="","",(K43-J43)*24)</f>
        <v/>
      </c>
      <c r="M43" s="3232" t="str">
        <f>IF(D43="","",(K43-J43)*24*60)</f>
        <v/>
      </c>
      <c r="N43" s="3233"/>
      <c r="O43" s="3234" t="str">
        <f>IF(D43="","",IF(OR(N43="P",N43="RP"),"--","NO"))</f>
        <v/>
      </c>
      <c r="P43" s="3235"/>
      <c r="Q43" s="3236"/>
      <c r="R43" s="3237">
        <f>200*IF(OR(N43="P",N43="RP"),0.1,1)*IF(P43="SI",1,0.1)</f>
        <v>20</v>
      </c>
      <c r="S43" s="3238" t="str">
        <f>IF(N43="P",H43*R43*ROUND(M43/60,2),"--")</f>
        <v>--</v>
      </c>
      <c r="T43" s="3239" t="str">
        <f>IF(AND(N43="F",O43="NO"),H43*R43,"--")</f>
        <v>--</v>
      </c>
      <c r="U43" s="3240" t="str">
        <f>IF(N43="F",H43*R43*ROUND(M43/60,2),"--")</f>
        <v>--</v>
      </c>
      <c r="V43" s="3241" t="str">
        <f>IF(N43="RF",H43*R43*ROUND(M43/60,2),"--")</f>
        <v>--</v>
      </c>
      <c r="W43" s="3242"/>
      <c r="X43" s="3243"/>
      <c r="Y43" s="3243"/>
      <c r="Z43" s="3243"/>
      <c r="AA43" s="3244"/>
      <c r="AB43" s="3245" t="str">
        <f>IF(D43="","","SI")</f>
        <v/>
      </c>
      <c r="AC43" s="3246" t="str">
        <f>IF(D43="","",SUM(S43:V43)*IF(AB43="SI",1,2))</f>
        <v/>
      </c>
      <c r="AD43" s="3138"/>
    </row>
    <row r="44" spans="1:30" ht="17.1" customHeight="1" thickBot="1">
      <c r="A44" s="3159"/>
      <c r="B44" s="3134"/>
      <c r="C44" s="3247"/>
      <c r="D44" s="3248"/>
      <c r="E44" s="3249"/>
      <c r="F44" s="3250"/>
      <c r="G44" s="3251"/>
      <c r="H44" s="3252"/>
      <c r="I44" s="3253"/>
      <c r="J44" s="3254"/>
      <c r="K44" s="3255"/>
      <c r="L44" s="3256"/>
      <c r="M44" s="3257"/>
      <c r="N44" s="3258"/>
      <c r="O44" s="3259"/>
      <c r="P44" s="3260"/>
      <c r="Q44" s="3261"/>
      <c r="R44" s="3262"/>
      <c r="S44" s="3263"/>
      <c r="T44" s="3264"/>
      <c r="U44" s="3265"/>
      <c r="V44" s="3266"/>
      <c r="W44" s="3267"/>
      <c r="X44" s="3268"/>
      <c r="Y44" s="3268"/>
      <c r="Z44" s="3268"/>
      <c r="AA44" s="3269"/>
      <c r="AB44" s="3270"/>
      <c r="AC44" s="3271"/>
      <c r="AD44" s="3187"/>
    </row>
    <row r="45" spans="1:30" ht="17.1" customHeight="1" thickBot="1" thickTop="1">
      <c r="A45" s="3159"/>
      <c r="B45" s="3134"/>
      <c r="C45" s="3272"/>
      <c r="D45" s="3180"/>
      <c r="E45" s="3180"/>
      <c r="F45" s="3273"/>
      <c r="G45" s="3274"/>
      <c r="H45" s="3184"/>
      <c r="I45" s="3156"/>
      <c r="J45" s="3275"/>
      <c r="K45" s="3276"/>
      <c r="L45" s="3277"/>
      <c r="M45" s="3278"/>
      <c r="N45" s="3279"/>
      <c r="O45" s="3280"/>
      <c r="P45" s="3281"/>
      <c r="Q45" s="3281"/>
      <c r="R45" s="3282"/>
      <c r="S45" s="3283"/>
      <c r="T45" s="3284"/>
      <c r="U45" s="3284"/>
      <c r="V45" s="3285"/>
      <c r="W45" s="3286"/>
      <c r="X45" s="3286"/>
      <c r="Y45" s="3286"/>
      <c r="Z45" s="3286"/>
      <c r="AA45" s="3286"/>
      <c r="AB45" s="3287"/>
      <c r="AC45" s="3288">
        <f>SUM(AC41:AC44)</f>
        <v>3839.16</v>
      </c>
      <c r="AD45" s="3187"/>
    </row>
    <row r="46" spans="1:30" ht="17.1" customHeight="1" thickBot="1" thickTop="1">
      <c r="A46" s="3159"/>
      <c r="B46" s="3134"/>
      <c r="C46" s="3272"/>
      <c r="D46" s="3180"/>
      <c r="E46" s="3180"/>
      <c r="F46" s="3273"/>
      <c r="G46" s="3274"/>
      <c r="H46" s="3184"/>
      <c r="I46" s="3156"/>
      <c r="J46" s="3289"/>
      <c r="K46" s="3290"/>
      <c r="L46" s="3277"/>
      <c r="M46" s="3278"/>
      <c r="N46" s="3279"/>
      <c r="O46" s="3280"/>
      <c r="P46" s="3281"/>
      <c r="Q46" s="3281"/>
      <c r="R46" s="3282"/>
      <c r="S46" s="3283"/>
      <c r="T46" s="3284"/>
      <c r="U46" s="3284"/>
      <c r="V46" s="3285"/>
      <c r="W46" s="3286"/>
      <c r="X46" s="3286"/>
      <c r="Y46" s="3286"/>
      <c r="Z46" s="3286"/>
      <c r="AA46" s="3286"/>
      <c r="AB46" s="3287"/>
      <c r="AC46" s="3291"/>
      <c r="AD46" s="3187"/>
    </row>
    <row r="47" spans="1:30" ht="33.95" customHeight="1" thickBot="1" thickTop="1">
      <c r="A47" s="3159"/>
      <c r="B47" s="3134"/>
      <c r="C47" s="3189" t="s">
        <v>13</v>
      </c>
      <c r="D47" s="3190" t="s">
        <v>27</v>
      </c>
      <c r="E47" s="3191" t="s">
        <v>28</v>
      </c>
      <c r="F47" s="3453" t="s">
        <v>14</v>
      </c>
      <c r="G47" s="3454"/>
      <c r="H47" s="3194" t="s">
        <v>16</v>
      </c>
      <c r="I47" s="3195"/>
      <c r="J47" s="3191" t="s">
        <v>17</v>
      </c>
      <c r="K47" s="3191" t="s">
        <v>18</v>
      </c>
      <c r="L47" s="3190" t="s">
        <v>30</v>
      </c>
      <c r="M47" s="3190" t="s">
        <v>31</v>
      </c>
      <c r="N47" s="3196" t="s">
        <v>102</v>
      </c>
      <c r="O47" s="3455" t="s">
        <v>32</v>
      </c>
      <c r="P47" s="3456"/>
      <c r="Q47" s="3457"/>
      <c r="R47" s="3292" t="s">
        <v>37</v>
      </c>
      <c r="S47" s="3293" t="s">
        <v>70</v>
      </c>
      <c r="T47" s="3294" t="s">
        <v>35</v>
      </c>
      <c r="U47" s="3295"/>
      <c r="V47" s="3296" t="s">
        <v>22</v>
      </c>
      <c r="W47" s="3204"/>
      <c r="X47" s="3204"/>
      <c r="Y47" s="3204"/>
      <c r="Z47" s="3204"/>
      <c r="AA47" s="3205"/>
      <c r="AB47" s="3206" t="s">
        <v>74</v>
      </c>
      <c r="AC47" s="3193" t="s">
        <v>24</v>
      </c>
      <c r="AD47" s="3187"/>
    </row>
    <row r="48" spans="1:30" ht="17.1" customHeight="1" thickTop="1">
      <c r="A48" s="3159"/>
      <c r="B48" s="3134"/>
      <c r="C48" s="3207"/>
      <c r="D48" s="3208"/>
      <c r="E48" s="3208"/>
      <c r="F48" s="3458"/>
      <c r="G48" s="3459"/>
      <c r="H48" s="3210"/>
      <c r="I48" s="3211"/>
      <c r="J48" s="3208"/>
      <c r="K48" s="3208"/>
      <c r="L48" s="3208"/>
      <c r="M48" s="3208"/>
      <c r="N48" s="3208"/>
      <c r="O48" s="3458"/>
      <c r="P48" s="3460"/>
      <c r="Q48" s="3459"/>
      <c r="R48" s="3297"/>
      <c r="S48" s="3298"/>
      <c r="T48" s="3299"/>
      <c r="U48" s="3300"/>
      <c r="V48" s="3301"/>
      <c r="W48" s="3221"/>
      <c r="X48" s="3221"/>
      <c r="Y48" s="3221"/>
      <c r="Z48" s="3221"/>
      <c r="AA48" s="3222"/>
      <c r="AB48" s="3212"/>
      <c r="AC48" s="3223"/>
      <c r="AD48" s="3187"/>
    </row>
    <row r="49" spans="1:30" ht="17.1" customHeight="1">
      <c r="A49" s="3159"/>
      <c r="B49" s="3134"/>
      <c r="C49" s="1035" t="s">
        <v>200</v>
      </c>
      <c r="D49" s="3224"/>
      <c r="E49" s="3224"/>
      <c r="F49" s="3442"/>
      <c r="G49" s="3443"/>
      <c r="H49" s="3302">
        <f>IF(F49=220,$F$24,0)</f>
        <v>0</v>
      </c>
      <c r="I49" s="3228"/>
      <c r="J49" s="3229"/>
      <c r="K49" s="3230"/>
      <c r="L49" s="3231" t="str">
        <f>IF(D49="","",(K49-J49)*24)</f>
        <v/>
      </c>
      <c r="M49" s="3232" t="str">
        <f>IF(D49="","",(K49-J49)*24*60)</f>
        <v/>
      </c>
      <c r="N49" s="3233"/>
      <c r="O49" s="3444" t="str">
        <f>IF(D49="","",IF(N49="P","--","NO"))</f>
        <v/>
      </c>
      <c r="P49" s="3445"/>
      <c r="Q49" s="3446"/>
      <c r="R49" s="3303">
        <f>IF(F49=500,200,IF(F49=132,40,100))</f>
        <v>100</v>
      </c>
      <c r="S49" s="3304" t="str">
        <f>IF(N49="P",H49*R49*ROUND(M49/60,2)*0.1,"--")</f>
        <v>--</v>
      </c>
      <c r="T49" s="3305" t="str">
        <f>IF(AND(N49="F",O49="NO"),H49*R49,"--")</f>
        <v>--</v>
      </c>
      <c r="U49" s="3306" t="str">
        <f>IF(N49="F",H49*R49*ROUND(M49/60,2),"--")</f>
        <v>--</v>
      </c>
      <c r="V49" s="3241" t="str">
        <f>IF(N49="RF",H49*R49*ROUND(M49/60,2),"--")</f>
        <v>--</v>
      </c>
      <c r="W49" s="3243"/>
      <c r="X49" s="3243"/>
      <c r="Y49" s="3243"/>
      <c r="Z49" s="3243"/>
      <c r="AA49" s="3244"/>
      <c r="AB49" s="3245" t="str">
        <f>IF(D49="","","SI")</f>
        <v/>
      </c>
      <c r="AC49" s="3307" t="str">
        <f>IF(D49="","",SUM(S49:V49)*IF(AB49="SI",1,2))</f>
        <v/>
      </c>
      <c r="AD49" s="3187"/>
    </row>
    <row r="50" spans="1:30" ht="17.1" customHeight="1">
      <c r="A50" s="3159"/>
      <c r="B50" s="3134"/>
      <c r="C50" s="957" t="s">
        <v>201</v>
      </c>
      <c r="D50" s="3224"/>
      <c r="E50" s="3224"/>
      <c r="F50" s="3442"/>
      <c r="G50" s="3443"/>
      <c r="H50" s="3302">
        <f>IF(F50=220,$F$24,0)</f>
        <v>0</v>
      </c>
      <c r="I50" s="3228"/>
      <c r="J50" s="3308"/>
      <c r="K50" s="3308"/>
      <c r="L50" s="3231" t="str">
        <f>IF(D50="","",(K50-J50)*24)</f>
        <v/>
      </c>
      <c r="M50" s="3232" t="str">
        <f>IF(D50="","",(K50-J50)*24*60)</f>
        <v/>
      </c>
      <c r="N50" s="3233"/>
      <c r="O50" s="3444" t="str">
        <f>IF(D50="","",IF(N50="P","--","NO"))</f>
        <v/>
      </c>
      <c r="P50" s="3445"/>
      <c r="Q50" s="3446"/>
      <c r="R50" s="3303">
        <f>IF(F50=500,200,IF(F50=132,40,100))</f>
        <v>100</v>
      </c>
      <c r="S50" s="3304" t="str">
        <f>IF(N50="P",H50*R50*ROUND(M50/60,2)*0.1,"--")</f>
        <v>--</v>
      </c>
      <c r="T50" s="3305" t="str">
        <f>IF(AND(N50="F",O50="NO"),H50*R50,"--")</f>
        <v>--</v>
      </c>
      <c r="U50" s="3306" t="str">
        <f>IF(N50="F",H50*R50*ROUND(M50/60,2),"--")</f>
        <v>--</v>
      </c>
      <c r="V50" s="3241" t="str">
        <f>IF(N50="RF",H50*R50*ROUND(M50/60,2),"--")</f>
        <v>--</v>
      </c>
      <c r="W50" s="3243"/>
      <c r="X50" s="3243"/>
      <c r="Y50" s="3243"/>
      <c r="Z50" s="3243"/>
      <c r="AA50" s="3244"/>
      <c r="AB50" s="3245" t="str">
        <f>IF(D50="","","SI")</f>
        <v/>
      </c>
      <c r="AC50" s="3307" t="str">
        <f>IF(D50="","",SUM(S50:V50)*IF(AB50="SI",1,2))</f>
        <v/>
      </c>
      <c r="AD50" s="3187"/>
    </row>
    <row r="51" spans="1:30" ht="17.1" customHeight="1" thickBot="1">
      <c r="A51" s="3159"/>
      <c r="B51" s="3134"/>
      <c r="C51" s="3247"/>
      <c r="D51" s="3248"/>
      <c r="E51" s="3249"/>
      <c r="F51" s="3447"/>
      <c r="G51" s="3448"/>
      <c r="H51" s="3252"/>
      <c r="I51" s="3253"/>
      <c r="J51" s="3254"/>
      <c r="K51" s="3255"/>
      <c r="L51" s="3256"/>
      <c r="M51" s="3257"/>
      <c r="N51" s="3258"/>
      <c r="O51" s="3449"/>
      <c r="P51" s="3450"/>
      <c r="Q51" s="3451"/>
      <c r="R51" s="3297"/>
      <c r="S51" s="3304"/>
      <c r="T51" s="3305"/>
      <c r="U51" s="3306"/>
      <c r="V51" s="3241"/>
      <c r="W51" s="3268"/>
      <c r="X51" s="3268"/>
      <c r="Y51" s="3268"/>
      <c r="Z51" s="3268"/>
      <c r="AA51" s="3269"/>
      <c r="AB51" s="3270"/>
      <c r="AC51" s="3307" t="str">
        <f>IF(D51="","",SUM(S51:V51)*IF(AB51="SI",1,2))</f>
        <v/>
      </c>
      <c r="AD51" s="3187"/>
    </row>
    <row r="52" spans="1:30" ht="17.1" customHeight="1" thickBot="1" thickTop="1">
      <c r="A52" s="3159"/>
      <c r="B52" s="3134"/>
      <c r="C52" s="3272"/>
      <c r="D52" s="3180"/>
      <c r="E52" s="3180"/>
      <c r="F52" s="3273"/>
      <c r="G52" s="3274"/>
      <c r="H52" s="3279"/>
      <c r="I52" s="3289"/>
      <c r="J52" s="3290"/>
      <c r="K52" s="3277"/>
      <c r="L52" s="3278"/>
      <c r="M52" s="3279"/>
      <c r="N52" s="3309"/>
      <c r="O52" s="3280"/>
      <c r="P52" s="3310"/>
      <c r="Q52" s="3311"/>
      <c r="R52" s="3312"/>
      <c r="S52" s="3312"/>
      <c r="T52" s="3312"/>
      <c r="U52" s="3287"/>
      <c r="V52" s="3287"/>
      <c r="W52" s="3287"/>
      <c r="X52" s="3287"/>
      <c r="Y52" s="3287"/>
      <c r="Z52" s="3287"/>
      <c r="AA52" s="3287"/>
      <c r="AB52" s="3287"/>
      <c r="AC52" s="3313">
        <f>SUM(AC48:AC51)</f>
        <v>0</v>
      </c>
      <c r="AD52" s="3187"/>
    </row>
    <row r="53" spans="1:30" ht="17.1" customHeight="1" thickBot="1" thickTop="1">
      <c r="A53" s="3159"/>
      <c r="B53" s="3134"/>
      <c r="C53" s="3272"/>
      <c r="D53" s="3180"/>
      <c r="E53" s="3180"/>
      <c r="F53" s="3273"/>
      <c r="G53" s="3274"/>
      <c r="H53" s="3184"/>
      <c r="I53" s="3156"/>
      <c r="J53" s="3183"/>
      <c r="K53" s="3156"/>
      <c r="L53" s="3277"/>
      <c r="M53" s="3278"/>
      <c r="N53" s="3279"/>
      <c r="O53" s="3280"/>
      <c r="P53" s="3281"/>
      <c r="Q53" s="3281"/>
      <c r="R53" s="3282"/>
      <c r="S53" s="3283"/>
      <c r="T53" s="3284"/>
      <c r="U53" s="3284"/>
      <c r="V53" s="3285"/>
      <c r="W53" s="3286"/>
      <c r="X53" s="3286"/>
      <c r="Y53" s="3286"/>
      <c r="Z53" s="3286"/>
      <c r="AA53" s="3286"/>
      <c r="AB53" s="3287"/>
      <c r="AC53" s="3291"/>
      <c r="AD53" s="3187"/>
    </row>
    <row r="54" spans="1:30" ht="49.5" customHeight="1" thickBot="1" thickTop="1">
      <c r="A54" s="3159"/>
      <c r="B54" s="3134"/>
      <c r="C54" s="3189" t="s">
        <v>13</v>
      </c>
      <c r="D54" s="3314" t="s">
        <v>27</v>
      </c>
      <c r="E54" s="3315" t="s">
        <v>28</v>
      </c>
      <c r="F54" s="3462" t="s">
        <v>241</v>
      </c>
      <c r="G54" s="3463"/>
      <c r="H54" s="3194" t="s">
        <v>16</v>
      </c>
      <c r="I54" s="3316"/>
      <c r="J54" s="3315" t="s">
        <v>17</v>
      </c>
      <c r="K54" s="3315" t="s">
        <v>18</v>
      </c>
      <c r="L54" s="3314" t="s">
        <v>36</v>
      </c>
      <c r="M54" s="3314" t="s">
        <v>31</v>
      </c>
      <c r="N54" s="3196" t="s">
        <v>19</v>
      </c>
      <c r="O54" s="3196" t="s">
        <v>58</v>
      </c>
      <c r="P54" s="3464" t="s">
        <v>32</v>
      </c>
      <c r="Q54" s="3465"/>
      <c r="R54" s="3194" t="s">
        <v>37</v>
      </c>
      <c r="S54" s="3317" t="s">
        <v>70</v>
      </c>
      <c r="T54" s="3318" t="s">
        <v>88</v>
      </c>
      <c r="U54" s="3319"/>
      <c r="V54" s="3320" t="s">
        <v>22</v>
      </c>
      <c r="W54" s="3321" t="s">
        <v>21</v>
      </c>
      <c r="Z54" s="3286"/>
      <c r="AA54" s="3286"/>
      <c r="AB54" s="3206" t="s">
        <v>74</v>
      </c>
      <c r="AC54" s="3322" t="s">
        <v>24</v>
      </c>
      <c r="AD54" s="3187"/>
    </row>
    <row r="55" spans="1:30" ht="17.1" customHeight="1" thickTop="1">
      <c r="A55" s="3159"/>
      <c r="B55" s="3134"/>
      <c r="C55" s="3323"/>
      <c r="D55" s="3324"/>
      <c r="E55" s="3324"/>
      <c r="F55" s="3466"/>
      <c r="G55" s="3467"/>
      <c r="H55" s="3325"/>
      <c r="I55" s="3326"/>
      <c r="J55" s="3327"/>
      <c r="K55" s="3327"/>
      <c r="L55" s="3328"/>
      <c r="M55" s="3328"/>
      <c r="N55" s="3324"/>
      <c r="O55" s="3329"/>
      <c r="P55" s="3466"/>
      <c r="Q55" s="3467"/>
      <c r="R55" s="3330"/>
      <c r="S55" s="3331"/>
      <c r="T55" s="3332"/>
      <c r="U55" s="3333"/>
      <c r="V55" s="3334"/>
      <c r="W55" s="3334"/>
      <c r="Z55" s="3286"/>
      <c r="AA55" s="3286"/>
      <c r="AB55" s="3335"/>
      <c r="AC55" s="3336"/>
      <c r="AD55" s="3187"/>
    </row>
    <row r="56" spans="1:30" ht="17.1" customHeight="1">
      <c r="A56" s="3159"/>
      <c r="B56" s="3134"/>
      <c r="C56" s="957" t="s">
        <v>200</v>
      </c>
      <c r="D56" s="3337"/>
      <c r="E56" s="3337"/>
      <c r="F56" s="3468"/>
      <c r="G56" s="3469"/>
      <c r="H56" s="3338">
        <f>F56*$F$23</f>
        <v>0</v>
      </c>
      <c r="I56" s="3339"/>
      <c r="J56" s="3340"/>
      <c r="K56" s="3341"/>
      <c r="L56" s="3342" t="str">
        <f>IF(D56="","",(K56-J56)*24)</f>
        <v/>
      </c>
      <c r="M56" s="3343" t="str">
        <f>IF(D56="","",ROUND((K56-J56)*24*60,0))</f>
        <v/>
      </c>
      <c r="N56" s="3344"/>
      <c r="O56" s="3345" t="str">
        <f>IF(D56="","","--")</f>
        <v/>
      </c>
      <c r="P56" s="3470"/>
      <c r="Q56" s="3471"/>
      <c r="R56" s="3346">
        <f>IF(OR(N56="P",N56="RP"),$N$24/10,$N$24)</f>
        <v>20</v>
      </c>
      <c r="S56" s="3347" t="str">
        <f>IF(N56="P",H56*R56*ROUND(M56/60,2),"--")</f>
        <v>--</v>
      </c>
      <c r="T56" s="3348" t="str">
        <f>IF(AND(N56="F",P56="NO"),H56*R56,"--")</f>
        <v>--</v>
      </c>
      <c r="U56" s="3349" t="str">
        <f>IF(N56="F",H56*R56*ROUND(M56/60,2),"--")</f>
        <v>--</v>
      </c>
      <c r="V56" s="3350" t="str">
        <f>IF(N56="RF",H56*R56*ROUND(M56/60,2),"--")</f>
        <v>--</v>
      </c>
      <c r="W56" s="3350" t="str">
        <f>IF(O56="RP",J56*R56*P56/100*ROUND(N56/60,2),"--")</f>
        <v>--</v>
      </c>
      <c r="X56" s="3351"/>
      <c r="Y56" s="3351"/>
      <c r="Z56" s="3352"/>
      <c r="AA56" s="3352"/>
      <c r="AB56" s="3353" t="str">
        <f>IF(D56="","","SI")</f>
        <v/>
      </c>
      <c r="AC56" s="3354" t="str">
        <f>IF(D56="","",SUM(S56:W56)*IF(AB56="SI",1,2)*IF(AND(O56&lt;&gt;"--",N56="RF"),O56/100,1))</f>
        <v/>
      </c>
      <c r="AD56" s="3187"/>
    </row>
    <row r="57" spans="1:30" ht="17.1" customHeight="1" thickBot="1">
      <c r="A57" s="3159"/>
      <c r="B57" s="3134"/>
      <c r="C57" s="957" t="s">
        <v>201</v>
      </c>
      <c r="D57" s="3337"/>
      <c r="E57" s="3337"/>
      <c r="F57" s="3468"/>
      <c r="G57" s="3469"/>
      <c r="H57" s="3338"/>
      <c r="I57" s="3355"/>
      <c r="J57" s="3340"/>
      <c r="K57" s="3341"/>
      <c r="L57" s="3342"/>
      <c r="M57" s="3343"/>
      <c r="N57" s="3344"/>
      <c r="O57" s="3345"/>
      <c r="P57" s="3470"/>
      <c r="Q57" s="3471"/>
      <c r="R57" s="3346"/>
      <c r="S57" s="3347"/>
      <c r="T57" s="3348"/>
      <c r="U57" s="3349"/>
      <c r="V57" s="3350"/>
      <c r="W57" s="3350"/>
      <c r="X57" s="3356"/>
      <c r="Y57" s="3356"/>
      <c r="Z57" s="3357"/>
      <c r="AA57" s="3357"/>
      <c r="AB57" s="3353"/>
      <c r="AC57" s="3354"/>
      <c r="AD57" s="3187"/>
    </row>
    <row r="58" spans="1:30" ht="17.1" customHeight="1" thickBot="1" thickTop="1">
      <c r="A58" s="3159"/>
      <c r="B58" s="3134"/>
      <c r="C58" s="3358"/>
      <c r="D58" s="3359"/>
      <c r="E58" s="3359"/>
      <c r="F58" s="3472"/>
      <c r="G58" s="3473"/>
      <c r="H58" s="3360"/>
      <c r="I58" s="3361"/>
      <c r="J58" s="3362"/>
      <c r="K58" s="3363"/>
      <c r="L58" s="3364"/>
      <c r="M58" s="3365"/>
      <c r="N58" s="3366"/>
      <c r="O58" s="3367"/>
      <c r="P58" s="3449"/>
      <c r="Q58" s="3451"/>
      <c r="R58" s="3368"/>
      <c r="S58" s="3369"/>
      <c r="T58" s="3370"/>
      <c r="U58" s="3371"/>
      <c r="V58" s="3372"/>
      <c r="W58" s="3372"/>
      <c r="X58" s="3373"/>
      <c r="Y58" s="3373"/>
      <c r="Z58" s="3268"/>
      <c r="AA58" s="3268"/>
      <c r="AB58" s="3259"/>
      <c r="AC58" s="3374"/>
      <c r="AD58" s="3187"/>
    </row>
    <row r="59" spans="1:30" ht="17.1" customHeight="1" thickBot="1" thickTop="1">
      <c r="A59" s="3159"/>
      <c r="B59" s="3134"/>
      <c r="C59" s="3272"/>
      <c r="D59" s="3180"/>
      <c r="E59" s="3180"/>
      <c r="F59" s="3273"/>
      <c r="G59" s="3274"/>
      <c r="H59" s="3184"/>
      <c r="J59" s="3289"/>
      <c r="K59" s="3290"/>
      <c r="L59" s="3277"/>
      <c r="M59" s="3278"/>
      <c r="N59" s="3279"/>
      <c r="O59" s="3280"/>
      <c r="P59" s="3281"/>
      <c r="Q59" s="3281"/>
      <c r="R59" s="3282"/>
      <c r="S59" s="3283"/>
      <c r="T59" s="3284"/>
      <c r="U59" s="3284"/>
      <c r="V59" s="3285"/>
      <c r="W59" s="3286"/>
      <c r="X59" s="3286"/>
      <c r="Y59" s="3286"/>
      <c r="Z59" s="3286"/>
      <c r="AA59" s="3286"/>
      <c r="AB59" s="3287"/>
      <c r="AC59" s="3288">
        <f>SUM(AC55:AC58)</f>
        <v>0</v>
      </c>
      <c r="AD59" s="3187"/>
    </row>
    <row r="60" spans="1:30" ht="17.1" customHeight="1" thickBot="1" thickTop="1">
      <c r="A60" s="3159"/>
      <c r="B60" s="3134"/>
      <c r="C60" s="3272"/>
      <c r="D60" s="3180"/>
      <c r="E60" s="3180"/>
      <c r="F60" s="3273"/>
      <c r="G60" s="3274"/>
      <c r="H60" s="3184"/>
      <c r="J60" s="3289"/>
      <c r="K60" s="3290"/>
      <c r="L60" s="3277"/>
      <c r="M60" s="3278"/>
      <c r="N60" s="3279"/>
      <c r="O60" s="3280"/>
      <c r="P60" s="3281"/>
      <c r="Q60" s="3281"/>
      <c r="R60" s="3282"/>
      <c r="S60" s="3283"/>
      <c r="T60" s="3284"/>
      <c r="U60" s="3284"/>
      <c r="V60" s="3285"/>
      <c r="W60" s="3286"/>
      <c r="X60" s="3286"/>
      <c r="Y60" s="3286"/>
      <c r="Z60" s="3286"/>
      <c r="AA60" s="3286"/>
      <c r="AB60" s="3287"/>
      <c r="AC60" s="3291"/>
      <c r="AD60" s="3187"/>
    </row>
    <row r="61" spans="1:30" ht="17.1" customHeight="1" thickBot="1" thickTop="1">
      <c r="A61" s="3159"/>
      <c r="B61" s="3134"/>
      <c r="C61" s="3272"/>
      <c r="D61" s="3180"/>
      <c r="E61" s="3180"/>
      <c r="F61" s="3273"/>
      <c r="G61" s="3274"/>
      <c r="H61" s="3279"/>
      <c r="I61" s="3289"/>
      <c r="J61" s="3178" t="s">
        <v>42</v>
      </c>
      <c r="K61" s="3179">
        <f>AC45++AC52+AC59</f>
        <v>3839.16</v>
      </c>
      <c r="L61" s="3278"/>
      <c r="M61" s="3279"/>
      <c r="N61" s="3375"/>
      <c r="O61" s="3281"/>
      <c r="P61" s="3310"/>
      <c r="Q61" s="3311"/>
      <c r="R61" s="3312"/>
      <c r="S61" s="3312"/>
      <c r="T61" s="3312"/>
      <c r="U61" s="3287"/>
      <c r="V61" s="3287"/>
      <c r="W61" s="3287"/>
      <c r="X61" s="3287"/>
      <c r="Y61" s="3287"/>
      <c r="Z61" s="3287"/>
      <c r="AA61" s="3287"/>
      <c r="AB61" s="3287"/>
      <c r="AC61" s="3376"/>
      <c r="AD61" s="3187"/>
    </row>
    <row r="62" spans="1:30" ht="13.5" customHeight="1" thickTop="1">
      <c r="A62" s="3159"/>
      <c r="B62" s="3160"/>
      <c r="C62" s="3164"/>
      <c r="D62" s="3377"/>
      <c r="E62" s="3378"/>
      <c r="F62" s="3379"/>
      <c r="G62" s="3380"/>
      <c r="H62" s="3380"/>
      <c r="I62" s="3378"/>
      <c r="J62" s="3381"/>
      <c r="K62" s="3381"/>
      <c r="L62" s="3378"/>
      <c r="M62" s="3378"/>
      <c r="N62" s="3378"/>
      <c r="O62" s="3382"/>
      <c r="P62" s="3378"/>
      <c r="Q62" s="3378"/>
      <c r="R62" s="3383"/>
      <c r="S62" s="3384"/>
      <c r="T62" s="3384"/>
      <c r="U62" s="3385"/>
      <c r="AC62" s="3385"/>
      <c r="AD62" s="3386"/>
    </row>
    <row r="63" spans="1:30" ht="17.1" customHeight="1">
      <c r="A63" s="3159"/>
      <c r="B63" s="3160"/>
      <c r="C63" s="3387" t="s">
        <v>104</v>
      </c>
      <c r="D63" s="3388" t="s">
        <v>138</v>
      </c>
      <c r="E63" s="3378"/>
      <c r="F63" s="3379"/>
      <c r="G63" s="3380"/>
      <c r="H63" s="3380"/>
      <c r="I63" s="3378"/>
      <c r="J63" s="3381"/>
      <c r="K63" s="3381"/>
      <c r="L63" s="3378"/>
      <c r="M63" s="3378"/>
      <c r="N63" s="3378"/>
      <c r="O63" s="3382"/>
      <c r="P63" s="3378"/>
      <c r="Q63" s="3378"/>
      <c r="R63" s="3383"/>
      <c r="S63" s="3384"/>
      <c r="T63" s="3384"/>
      <c r="U63" s="3385"/>
      <c r="AC63" s="3385"/>
      <c r="AD63" s="3386"/>
    </row>
    <row r="64" spans="1:30" ht="17.1" customHeight="1">
      <c r="A64" s="3159"/>
      <c r="B64" s="3160"/>
      <c r="C64" s="3387"/>
      <c r="D64" s="3377"/>
      <c r="E64" s="3378"/>
      <c r="F64" s="3379"/>
      <c r="G64" s="3380"/>
      <c r="H64" s="3380"/>
      <c r="I64" s="3378"/>
      <c r="J64" s="3381"/>
      <c r="K64" s="3381"/>
      <c r="L64" s="3378"/>
      <c r="M64" s="3378"/>
      <c r="N64" s="3378"/>
      <c r="O64" s="3382"/>
      <c r="P64" s="3378"/>
      <c r="Q64" s="3378"/>
      <c r="R64" s="3378"/>
      <c r="S64" s="3383"/>
      <c r="T64" s="3384"/>
      <c r="AD64" s="3386"/>
    </row>
    <row r="65" spans="1:30" ht="17.1" customHeight="1">
      <c r="A65" s="3159"/>
      <c r="B65" s="3160"/>
      <c r="C65" s="3387"/>
      <c r="D65" s="634" t="s">
        <v>0</v>
      </c>
      <c r="E65" s="533" t="s">
        <v>105</v>
      </c>
      <c r="F65" s="533" t="s">
        <v>43</v>
      </c>
      <c r="G65" s="635" t="s">
        <v>139</v>
      </c>
      <c r="H65" s="534"/>
      <c r="I65" s="533"/>
      <c r="J65"/>
      <c r="K65"/>
      <c r="L65" s="636" t="s">
        <v>140</v>
      </c>
      <c r="M65"/>
      <c r="N65"/>
      <c r="O65"/>
      <c r="P65" s="3378"/>
      <c r="Q65" s="3378"/>
      <c r="R65" s="3378"/>
      <c r="S65" s="3383"/>
      <c r="T65" s="3384"/>
      <c r="AD65" s="3386"/>
    </row>
    <row r="66" spans="1:30" ht="17.1" customHeight="1">
      <c r="A66" s="3159"/>
      <c r="B66" s="3160"/>
      <c r="C66" s="3387"/>
      <c r="D66" s="533" t="s">
        <v>450</v>
      </c>
      <c r="E66" s="640">
        <v>188.7</v>
      </c>
      <c r="F66" s="640">
        <v>500</v>
      </c>
      <c r="G66" s="641">
        <f>E66*$F$22*$N$23/100</f>
        <v>710554.635432</v>
      </c>
      <c r="H66" s="641"/>
      <c r="I66" s="641"/>
      <c r="J66" s="165"/>
      <c r="K66"/>
      <c r="L66" s="642">
        <v>262232</v>
      </c>
      <c r="M66" s="165"/>
      <c r="N66" s="643" t="str">
        <f ca="1">"(DTE "&amp;DATO!$G$14&amp;DATO!$H$14&amp;")"</f>
        <v>(DTE 0116)</v>
      </c>
      <c r="O66"/>
      <c r="P66" s="3378"/>
      <c r="Q66" s="3378"/>
      <c r="R66" s="3378"/>
      <c r="S66" s="3383"/>
      <c r="T66" s="3384"/>
      <c r="AC66" s="3403">
        <f>G66+L66</f>
        <v>972786.635432</v>
      </c>
      <c r="AD66" s="3386"/>
    </row>
    <row r="67" spans="1:30" ht="17.1" customHeight="1">
      <c r="A67" s="3159"/>
      <c r="B67" s="3160"/>
      <c r="C67" s="3387"/>
      <c r="D67" s="645"/>
      <c r="E67" s="640"/>
      <c r="F67" s="640"/>
      <c r="G67" s="641"/>
      <c r="H67" s="645"/>
      <c r="I67" s="646"/>
      <c r="J67" s="165"/>
      <c r="K67"/>
      <c r="L67" s="641"/>
      <c r="M67" s="165"/>
      <c r="N67" s="643"/>
      <c r="O67" s="647"/>
      <c r="P67" s="3378"/>
      <c r="Q67" s="3378"/>
      <c r="R67" s="3378"/>
      <c r="S67" s="3383"/>
      <c r="T67" s="3384"/>
      <c r="AD67" s="3386"/>
    </row>
    <row r="68" spans="2:30" s="3159" customFormat="1" ht="17.1" customHeight="1">
      <c r="B68" s="3160"/>
      <c r="C68" s="3164"/>
      <c r="D68" s="3389"/>
      <c r="E68" s="3390"/>
      <c r="F68" s="3390"/>
      <c r="G68" s="3391"/>
      <c r="H68" s="3389"/>
      <c r="I68" s="3392"/>
      <c r="J68" s="3149"/>
      <c r="K68" s="3120"/>
      <c r="L68" s="3391"/>
      <c r="M68" s="3149"/>
      <c r="N68" s="3393"/>
      <c r="O68" s="3394"/>
      <c r="P68" s="3120"/>
      <c r="Q68" s="3395"/>
      <c r="R68" s="3395"/>
      <c r="S68" s="3161"/>
      <c r="T68" s="3120"/>
      <c r="U68" s="3120"/>
      <c r="V68" s="3120"/>
      <c r="W68" s="3120"/>
      <c r="X68" s="3161"/>
      <c r="Y68" s="3161"/>
      <c r="Z68" s="3161"/>
      <c r="AA68" s="3161"/>
      <c r="AB68" s="3161"/>
      <c r="AC68" s="3396"/>
      <c r="AD68" s="3386"/>
    </row>
    <row r="69" spans="1:30" ht="17.1" customHeight="1">
      <c r="A69" s="3159"/>
      <c r="B69" s="3160"/>
      <c r="C69" s="3164"/>
      <c r="D69" s="3174" t="s">
        <v>451</v>
      </c>
      <c r="E69" s="3183" t="s">
        <v>120</v>
      </c>
      <c r="F69" s="3183" t="s">
        <v>43</v>
      </c>
      <c r="G69" s="3397" t="s">
        <v>143</v>
      </c>
      <c r="I69" s="3398"/>
      <c r="J69" s="3183"/>
      <c r="L69" s="3399"/>
      <c r="M69" s="3398"/>
      <c r="N69" s="3400"/>
      <c r="O69" s="3395"/>
      <c r="P69" s="3395"/>
      <c r="Q69" s="3395"/>
      <c r="R69" s="3395"/>
      <c r="S69" s="3395"/>
      <c r="AC69" s="3396"/>
      <c r="AD69" s="3386"/>
    </row>
    <row r="70" spans="1:30" ht="17.1" customHeight="1">
      <c r="A70" s="3159"/>
      <c r="B70" s="3160"/>
      <c r="C70" s="3164"/>
      <c r="D70" s="3183" t="s">
        <v>445</v>
      </c>
      <c r="E70" s="3390">
        <v>300</v>
      </c>
      <c r="F70" s="3390" t="s">
        <v>441</v>
      </c>
      <c r="G70" s="3391">
        <f>E70*F23*N23</f>
        <v>310471.2</v>
      </c>
      <c r="H70" s="3149"/>
      <c r="I70" s="3149"/>
      <c r="J70" s="3401"/>
      <c r="L70" s="3391"/>
      <c r="M70" s="3149"/>
      <c r="N70" s="3393"/>
      <c r="O70" s="3402"/>
      <c r="P70" s="3402"/>
      <c r="Q70" s="3402"/>
      <c r="R70" s="3402"/>
      <c r="S70" s="3402"/>
      <c r="AC70" s="3403">
        <f>G70+L70</f>
        <v>310471.2</v>
      </c>
      <c r="AD70" s="3386"/>
    </row>
    <row r="71" spans="1:30" ht="17.1" customHeight="1">
      <c r="A71" s="3159"/>
      <c r="B71" s="3160"/>
      <c r="C71" s="3164"/>
      <c r="D71" s="3183"/>
      <c r="E71" s="3390"/>
      <c r="F71" s="3390"/>
      <c r="G71" s="3391"/>
      <c r="H71" s="3149"/>
      <c r="I71" s="3149"/>
      <c r="J71" s="3401"/>
      <c r="L71" s="3401"/>
      <c r="M71" s="3149"/>
      <c r="N71" s="3393"/>
      <c r="O71" s="3402"/>
      <c r="P71" s="3402"/>
      <c r="Q71" s="3402"/>
      <c r="R71" s="3402"/>
      <c r="S71" s="3402"/>
      <c r="AC71" s="3403"/>
      <c r="AD71" s="3386"/>
    </row>
    <row r="72" spans="1:30" ht="17.1" customHeight="1">
      <c r="A72" s="3159"/>
      <c r="B72" s="3160"/>
      <c r="C72" s="3164"/>
      <c r="D72" s="3174" t="s">
        <v>61</v>
      </c>
      <c r="E72" s="3392" t="s">
        <v>1</v>
      </c>
      <c r="F72" s="3392"/>
      <c r="G72" s="3183" t="s">
        <v>43</v>
      </c>
      <c r="I72" s="3398"/>
      <c r="J72" s="3397" t="s">
        <v>144</v>
      </c>
      <c r="L72" s="3401"/>
      <c r="M72" s="3149"/>
      <c r="N72" s="3393"/>
      <c r="O72" s="3402"/>
      <c r="P72" s="3402"/>
      <c r="Q72" s="3402"/>
      <c r="R72" s="3402"/>
      <c r="S72" s="3402"/>
      <c r="AC72" s="3403"/>
      <c r="AD72" s="3386"/>
    </row>
    <row r="73" spans="1:30" ht="17.1" customHeight="1">
      <c r="A73" s="3159"/>
      <c r="B73" s="3160"/>
      <c r="C73" s="3164"/>
      <c r="D73" s="3183" t="s">
        <v>446</v>
      </c>
      <c r="E73" s="3474" t="s">
        <v>447</v>
      </c>
      <c r="F73" s="3474"/>
      <c r="G73" s="3390">
        <v>220</v>
      </c>
      <c r="H73" s="3149"/>
      <c r="I73" s="3149"/>
      <c r="J73" s="3391">
        <f>1*$F$24*$N$23</f>
        <v>184805.136</v>
      </c>
      <c r="L73" s="3401"/>
      <c r="M73" s="3149"/>
      <c r="N73" s="3393"/>
      <c r="O73" s="3402"/>
      <c r="P73" s="3402"/>
      <c r="Q73" s="3402"/>
      <c r="R73" s="3402"/>
      <c r="S73" s="3402"/>
      <c r="AC73" s="3404">
        <f>J73</f>
        <v>184805.136</v>
      </c>
      <c r="AD73" s="3386"/>
    </row>
    <row r="74" spans="1:30" ht="6" customHeight="1" thickBot="1">
      <c r="A74" s="3159"/>
      <c r="B74" s="3160"/>
      <c r="C74" s="3164"/>
      <c r="D74" s="3183"/>
      <c r="E74" s="3390"/>
      <c r="F74" s="3390"/>
      <c r="G74" s="3390"/>
      <c r="H74" s="3149"/>
      <c r="I74" s="3149"/>
      <c r="J74" s="3391"/>
      <c r="L74" s="3401"/>
      <c r="M74" s="3149"/>
      <c r="N74" s="3393"/>
      <c r="O74" s="3402"/>
      <c r="P74" s="3402"/>
      <c r="Q74" s="3402"/>
      <c r="R74" s="3402"/>
      <c r="S74" s="3402"/>
      <c r="AC74" s="3403"/>
      <c r="AD74" s="3386"/>
    </row>
    <row r="75" spans="1:30" ht="18" customHeight="1" thickBot="1" thickTop="1">
      <c r="A75" s="3159"/>
      <c r="B75" s="3160"/>
      <c r="C75" s="3164"/>
      <c r="D75" s="3381"/>
      <c r="E75" s="3169"/>
      <c r="F75" s="3183"/>
      <c r="G75" s="3183"/>
      <c r="H75" s="3184"/>
      <c r="J75" s="3183"/>
      <c r="L75" s="3405"/>
      <c r="M75" s="3400"/>
      <c r="N75" s="3400"/>
      <c r="O75" s="3395"/>
      <c r="P75" s="3395"/>
      <c r="Q75" s="3395"/>
      <c r="R75" s="3395"/>
      <c r="S75" s="3395"/>
      <c r="AB75" s="3406" t="s">
        <v>44</v>
      </c>
      <c r="AC75" s="3407">
        <f>SUM(AC66:AC73)</f>
        <v>1468062.971432</v>
      </c>
      <c r="AD75" s="3386"/>
    </row>
    <row r="76" spans="2:30" ht="16.5" customHeight="1" thickBot="1" thickTop="1">
      <c r="B76" s="3160"/>
      <c r="E76" s="3183"/>
      <c r="F76" s="3408"/>
      <c r="G76" s="3182"/>
      <c r="H76" s="3381"/>
      <c r="I76" s="3381"/>
      <c r="J76" s="3381"/>
      <c r="K76" s="3183"/>
      <c r="L76" s="3183"/>
      <c r="M76" s="3381"/>
      <c r="N76" s="3183"/>
      <c r="O76" s="3381"/>
      <c r="P76" s="3381"/>
      <c r="Q76" s="3381"/>
      <c r="R76" s="3381"/>
      <c r="S76" s="3381"/>
      <c r="T76" s="3381"/>
      <c r="U76" s="3381"/>
      <c r="AC76" s="3381"/>
      <c r="AD76" s="3386"/>
    </row>
    <row r="77" spans="2:30" ht="16.5" customHeight="1" thickBot="1" thickTop="1">
      <c r="B77" s="3160"/>
      <c r="C77" s="3387"/>
      <c r="D77" s="3409"/>
      <c r="E77" s="3183"/>
      <c r="F77" s="3408"/>
      <c r="G77" s="3182"/>
      <c r="H77" s="3381"/>
      <c r="I77" s="3381"/>
      <c r="J77" s="3381"/>
      <c r="K77" s="3183"/>
      <c r="L77" s="3183"/>
      <c r="M77" s="3381"/>
      <c r="N77" s="3183"/>
      <c r="O77" s="3381"/>
      <c r="P77" s="3381"/>
      <c r="Q77" s="3381"/>
      <c r="R77" s="3381"/>
      <c r="S77" s="3381"/>
      <c r="T77" s="3381"/>
      <c r="U77" s="3381"/>
      <c r="AB77" s="3406" t="s">
        <v>363</v>
      </c>
      <c r="AC77" s="3407">
        <v>985730.5828592</v>
      </c>
      <c r="AD77" s="3386"/>
    </row>
    <row r="78" spans="2:30" ht="16.5" customHeight="1" thickTop="1">
      <c r="B78" s="3160"/>
      <c r="C78" s="3387" t="s">
        <v>108</v>
      </c>
      <c r="D78" s="3409" t="s">
        <v>109</v>
      </c>
      <c r="E78" s="3183"/>
      <c r="F78" s="3408"/>
      <c r="G78" s="3182"/>
      <c r="H78" s="3381"/>
      <c r="I78" s="3381"/>
      <c r="J78" s="3381"/>
      <c r="K78" s="3183"/>
      <c r="L78" s="3183"/>
      <c r="M78" s="3381"/>
      <c r="N78" s="3183"/>
      <c r="O78" s="3381"/>
      <c r="P78" s="3381"/>
      <c r="Q78" s="3381"/>
      <c r="R78" s="3381"/>
      <c r="S78" s="3381"/>
      <c r="T78" s="3381"/>
      <c r="U78" s="3381"/>
      <c r="AC78" s="3381"/>
      <c r="AD78" s="3386"/>
    </row>
    <row r="79" spans="2:30" s="3159" customFormat="1" ht="17.1" customHeight="1">
      <c r="B79" s="3160"/>
      <c r="C79" s="3164"/>
      <c r="D79" s="3174" t="s">
        <v>110</v>
      </c>
      <c r="E79" s="3410">
        <f>10*K61*K29/AC75</f>
        <v>1031.1212797086794</v>
      </c>
      <c r="G79" s="3182"/>
      <c r="L79" s="3183"/>
      <c r="N79" s="3183"/>
      <c r="O79" s="3184"/>
      <c r="V79" s="3120"/>
      <c r="W79" s="3120"/>
      <c r="AD79" s="3386"/>
    </row>
    <row r="80" spans="2:30" s="3159" customFormat="1" ht="17.1" customHeight="1">
      <c r="B80" s="3160"/>
      <c r="C80" s="3164"/>
      <c r="E80" s="3411"/>
      <c r="F80" s="3176"/>
      <c r="G80" s="3182"/>
      <c r="J80" s="3182"/>
      <c r="K80" s="3186"/>
      <c r="L80" s="3183"/>
      <c r="M80" s="3183"/>
      <c r="N80" s="3183"/>
      <c r="O80" s="3184"/>
      <c r="P80" s="3183"/>
      <c r="Q80" s="3183"/>
      <c r="R80" s="3185"/>
      <c r="S80" s="3185"/>
      <c r="T80" s="3185"/>
      <c r="U80" s="3412"/>
      <c r="V80" s="3120"/>
      <c r="W80" s="3120"/>
      <c r="AD80" s="3386"/>
    </row>
    <row r="81" spans="2:30" ht="17.1" customHeight="1">
      <c r="B81" s="3160"/>
      <c r="C81" s="3164"/>
      <c r="D81" s="3413" t="s">
        <v>453</v>
      </c>
      <c r="E81" s="3414"/>
      <c r="F81" s="3176"/>
      <c r="G81" s="3182"/>
      <c r="H81" s="3381"/>
      <c r="I81" s="3381"/>
      <c r="O81" s="3184"/>
      <c r="P81" s="3399" t="s">
        <v>448</v>
      </c>
      <c r="R81" s="3398"/>
      <c r="S81" s="3398"/>
      <c r="T81" s="3398"/>
      <c r="U81" s="3400"/>
      <c r="AC81" s="3400"/>
      <c r="AD81" s="3386"/>
    </row>
    <row r="82" spans="2:30" ht="17.1" customHeight="1" thickBot="1">
      <c r="B82" s="3160"/>
      <c r="C82" s="3164"/>
      <c r="D82" s="3413"/>
      <c r="E82" s="3414"/>
      <c r="F82" s="3176"/>
      <c r="G82" s="3182"/>
      <c r="H82" s="3381"/>
      <c r="I82" s="3381"/>
      <c r="N82" s="3183"/>
      <c r="O82" s="3184"/>
      <c r="Q82" s="3183"/>
      <c r="R82" s="3398"/>
      <c r="S82" s="3398"/>
      <c r="T82" s="3398"/>
      <c r="U82" s="3400"/>
      <c r="AC82" s="3400"/>
      <c r="AD82" s="3386"/>
    </row>
    <row r="83" spans="2:30" s="3415" customFormat="1" ht="24" thickBot="1" thickTop="1">
      <c r="B83" s="3416"/>
      <c r="C83" s="3417"/>
      <c r="D83" s="3418"/>
      <c r="E83" s="3419"/>
      <c r="F83" s="3420"/>
      <c r="G83" s="3421"/>
      <c r="I83" s="3120"/>
      <c r="J83" s="3422" t="s">
        <v>111</v>
      </c>
      <c r="K83" s="3423">
        <f>IF(E79&gt;3*K29,K29*3,E79)</f>
        <v>1031.1212797086794</v>
      </c>
      <c r="L83" s="3424"/>
      <c r="M83" s="3461"/>
      <c r="N83" s="3461"/>
      <c r="O83" s="3461"/>
      <c r="P83" s="3425"/>
      <c r="Q83" s="3425"/>
      <c r="R83" s="3426"/>
      <c r="S83" s="3426"/>
      <c r="T83" s="3426"/>
      <c r="U83" s="3427"/>
      <c r="V83" s="3120"/>
      <c r="W83" s="3120"/>
      <c r="AC83" s="3427"/>
      <c r="AD83" s="3428"/>
    </row>
    <row r="84" spans="2:30" ht="17.1" customHeight="1" thickBot="1" thickTop="1">
      <c r="B84" s="3429"/>
      <c r="C84" s="3430"/>
      <c r="D84" s="3430"/>
      <c r="E84" s="3430"/>
      <c r="F84" s="3430"/>
      <c r="G84" s="3430"/>
      <c r="H84" s="3430"/>
      <c r="I84" s="3430"/>
      <c r="J84" s="3430"/>
      <c r="K84" s="3430"/>
      <c r="L84" s="3430"/>
      <c r="M84" s="3430"/>
      <c r="N84" s="3430"/>
      <c r="O84" s="3430"/>
      <c r="P84" s="3430"/>
      <c r="Q84" s="3430"/>
      <c r="R84" s="3430"/>
      <c r="S84" s="3430"/>
      <c r="T84" s="3430"/>
      <c r="U84" s="3430"/>
      <c r="V84" s="3431"/>
      <c r="W84" s="3431"/>
      <c r="X84" s="3431"/>
      <c r="Y84" s="3431"/>
      <c r="Z84" s="3431"/>
      <c r="AA84" s="3431"/>
      <c r="AB84" s="3431"/>
      <c r="AC84" s="3430"/>
      <c r="AD84" s="3432"/>
    </row>
    <row r="85" spans="2:23" ht="17.1" customHeight="1" thickTop="1">
      <c r="B85" s="3156"/>
      <c r="C85" s="3433"/>
      <c r="W85" s="3156"/>
    </row>
  </sheetData>
  <sheetProtection password="CC12"/>
  <mergeCells count="23">
    <mergeCell ref="M83:O83"/>
    <mergeCell ref="F54:G54"/>
    <mergeCell ref="P54:Q54"/>
    <mergeCell ref="F55:G55"/>
    <mergeCell ref="P55:Q55"/>
    <mergeCell ref="F56:G56"/>
    <mergeCell ref="P56:Q56"/>
    <mergeCell ref="F57:G57"/>
    <mergeCell ref="P57:Q57"/>
    <mergeCell ref="F58:G58"/>
    <mergeCell ref="P58:Q58"/>
    <mergeCell ref="E73:F73"/>
    <mergeCell ref="F50:G50"/>
    <mergeCell ref="O50:Q50"/>
    <mergeCell ref="F51:G51"/>
    <mergeCell ref="O51:Q51"/>
    <mergeCell ref="K24:M24"/>
    <mergeCell ref="F47:G47"/>
    <mergeCell ref="O47:Q47"/>
    <mergeCell ref="F48:G48"/>
    <mergeCell ref="O48:Q48"/>
    <mergeCell ref="F49:G49"/>
    <mergeCell ref="O49:Q49"/>
  </mergeCells>
  <printOptions horizontalCentered="1"/>
  <pageMargins left="0.17" right="0.17" top="0.6692913385826772" bottom="0.7874015748031497" header="0.35433070866141736" footer="0.5118110236220472"/>
  <pageSetup fitToHeight="1" fitToWidth="1" horizontalDpi="600" verticalDpi="600" orientation="portrait" paperSize="9" scale="41" r:id="rId4"/>
  <headerFooter alignWithMargins="0">
    <oddFooter>&amp;L&amp;"Times New Roman,Normal"&amp;8&amp;Z&amp;F</oddFooter>
  </headerFooter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0">
    <pageSetUpPr fitToPage="1"/>
  </sheetPr>
  <dimension ref="A1:AG95"/>
  <sheetViews>
    <sheetView zoomScale="70" zoomScaleNormal="70" workbookViewId="0" topLeftCell="B1">
      <selection activeCell="A48" sqref="A48"/>
    </sheetView>
  </sheetViews>
  <sheetFormatPr defaultColWidth="11.421875" defaultRowHeight="12.75"/>
  <cols>
    <col min="1" max="1" width="25.00390625" style="1546" customWidth="1"/>
    <col min="2" max="2" width="17.140625" style="1546" customWidth="1"/>
    <col min="3" max="3" width="4.7109375" style="1546" customWidth="1"/>
    <col min="4" max="4" width="30.7109375" style="1546" customWidth="1"/>
    <col min="5" max="6" width="17.57421875" style="1546" customWidth="1"/>
    <col min="7" max="7" width="15.00390625" style="1546" customWidth="1"/>
    <col min="8" max="8" width="7.7109375" style="1546" hidden="1" customWidth="1"/>
    <col min="9" max="9" width="9.7109375" style="1546" hidden="1" customWidth="1"/>
    <col min="10" max="11" width="18.7109375" style="1546" customWidth="1"/>
    <col min="12" max="12" width="11.8515625" style="1546" customWidth="1"/>
    <col min="13" max="13" width="11.57421875" style="1546" customWidth="1"/>
    <col min="14" max="14" width="9.7109375" style="1546" customWidth="1"/>
    <col min="15" max="15" width="10.57421875" style="1546" customWidth="1"/>
    <col min="16" max="16" width="8.421875" style="1546" customWidth="1"/>
    <col min="17" max="17" width="5.8515625" style="1546" customWidth="1"/>
    <col min="18" max="18" width="11.28125" style="1546" hidden="1" customWidth="1"/>
    <col min="19" max="19" width="11.8515625" style="1546" hidden="1" customWidth="1"/>
    <col min="20" max="21" width="5.28125" style="1546" hidden="1" customWidth="1"/>
    <col min="22" max="22" width="11.57421875" style="1546" hidden="1" customWidth="1"/>
    <col min="23" max="23" width="5.28125" style="1546" hidden="1" customWidth="1"/>
    <col min="24" max="24" width="11.57421875" style="1546" hidden="1" customWidth="1"/>
    <col min="25" max="25" width="11.28125" style="1546" hidden="1" customWidth="1"/>
    <col min="26" max="27" width="5.28125" style="1546" hidden="1" customWidth="1"/>
    <col min="28" max="28" width="10.57421875" style="1546" customWidth="1"/>
    <col min="29" max="29" width="19.8515625" style="1546" customWidth="1"/>
    <col min="30" max="30" width="17.7109375" style="1546" customWidth="1"/>
    <col min="31" max="31" width="4.140625" style="1546" customWidth="1"/>
    <col min="32" max="32" width="7.140625" style="1546" customWidth="1"/>
    <col min="33" max="33" width="5.28125" style="1546" customWidth="1"/>
    <col min="34" max="34" width="5.421875" style="1546" customWidth="1"/>
    <col min="35" max="35" width="4.7109375" style="1546" customWidth="1"/>
    <col min="36" max="36" width="5.28125" style="1546" customWidth="1"/>
    <col min="37" max="38" width="13.28125" style="1546" customWidth="1"/>
    <col min="39" max="39" width="6.57421875" style="1546" customWidth="1"/>
    <col min="40" max="40" width="6.421875" style="1546" customWidth="1"/>
    <col min="41" max="44" width="11.421875" style="1546" customWidth="1"/>
    <col min="45" max="45" width="12.7109375" style="1546" customWidth="1"/>
    <col min="46" max="48" width="11.421875" style="1546" customWidth="1"/>
    <col min="49" max="49" width="21.00390625" style="1546" customWidth="1"/>
    <col min="50" max="16384" width="11.421875" style="1546" customWidth="1"/>
  </cols>
  <sheetData>
    <row r="1" spans="1:30" ht="13.5">
      <c r="A1" s="1544"/>
      <c r="B1" s="1545"/>
      <c r="C1" s="1545"/>
      <c r="D1" s="1545"/>
      <c r="E1" s="1545"/>
      <c r="F1" s="1545"/>
      <c r="G1" s="1545"/>
      <c r="H1" s="1545"/>
      <c r="I1" s="1545"/>
      <c r="J1" s="1545"/>
      <c r="K1" s="1545"/>
      <c r="L1" s="1545"/>
      <c r="M1" s="1545"/>
      <c r="N1" s="1545"/>
      <c r="O1" s="1545"/>
      <c r="P1" s="1545"/>
      <c r="Q1" s="1545"/>
      <c r="R1" s="1545"/>
      <c r="S1" s="1545"/>
      <c r="T1" s="1545"/>
      <c r="U1" s="1545"/>
      <c r="V1" s="1545"/>
      <c r="AD1" s="1547"/>
    </row>
    <row r="2" spans="1:23" ht="27" customHeight="1">
      <c r="A2" s="1544"/>
      <c r="B2" s="1545"/>
      <c r="C2" s="1545"/>
      <c r="D2" s="1545"/>
      <c r="E2" s="1545"/>
      <c r="F2" s="1545"/>
      <c r="G2" s="1545"/>
      <c r="H2" s="1545"/>
      <c r="I2" s="1545"/>
      <c r="J2" s="1545"/>
      <c r="K2" s="1545"/>
      <c r="L2" s="1545"/>
      <c r="M2" s="1545"/>
      <c r="N2" s="1545"/>
      <c r="O2" s="1545"/>
      <c r="P2" s="1545"/>
      <c r="Q2" s="1545"/>
      <c r="R2" s="1545"/>
      <c r="S2" s="1545"/>
      <c r="T2" s="1545"/>
      <c r="U2" s="1545"/>
      <c r="V2" s="1545"/>
      <c r="W2" s="1545"/>
    </row>
    <row r="3" spans="1:30" s="1551" customFormat="1" ht="30.75">
      <c r="A3" s="1548"/>
      <c r="B3" s="1549" t="str">
        <f>'TOT-0116'!B2</f>
        <v>ANEXO II al Memorándum D.T.E.E. N° 231 / 2017</v>
      </c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  <c r="N3" s="1550"/>
      <c r="O3" s="1550"/>
      <c r="P3" s="1550"/>
      <c r="Q3" s="1550"/>
      <c r="R3" s="1550"/>
      <c r="S3" s="1550"/>
      <c r="T3" s="1550"/>
      <c r="U3" s="1550"/>
      <c r="V3" s="1550"/>
      <c r="W3" s="1550"/>
      <c r="AB3" s="1550"/>
      <c r="AC3" s="1550"/>
      <c r="AD3" s="1550"/>
    </row>
    <row r="4" spans="1:2" s="1554" customFormat="1" ht="11.25">
      <c r="A4" s="1552" t="s">
        <v>2</v>
      </c>
      <c r="B4" s="1553"/>
    </row>
    <row r="5" spans="1:2" s="1554" customFormat="1" ht="12" thickBot="1">
      <c r="A5" s="1552" t="s">
        <v>3</v>
      </c>
      <c r="B5" s="1552"/>
    </row>
    <row r="6" spans="1:30" ht="17.1" customHeight="1" thickTop="1">
      <c r="A6" s="1545"/>
      <c r="B6" s="1555"/>
      <c r="C6" s="1556"/>
      <c r="D6" s="1556"/>
      <c r="E6" s="1557"/>
      <c r="F6" s="1556"/>
      <c r="G6" s="1556"/>
      <c r="H6" s="1556"/>
      <c r="I6" s="1556"/>
      <c r="J6" s="1556"/>
      <c r="K6" s="1556"/>
      <c r="L6" s="1556"/>
      <c r="M6" s="1556"/>
      <c r="N6" s="1556"/>
      <c r="O6" s="1556"/>
      <c r="P6" s="1556"/>
      <c r="Q6" s="1556"/>
      <c r="R6" s="1556"/>
      <c r="S6" s="1556"/>
      <c r="T6" s="1556"/>
      <c r="U6" s="1556"/>
      <c r="V6" s="1556"/>
      <c r="W6" s="1558"/>
      <c r="X6" s="1558"/>
      <c r="Y6" s="1558"/>
      <c r="Z6" s="1558"/>
      <c r="AA6" s="1558"/>
      <c r="AB6" s="1558"/>
      <c r="AC6" s="1558"/>
      <c r="AD6" s="1559"/>
    </row>
    <row r="7" spans="1:30" ht="20.25">
      <c r="A7" s="1545"/>
      <c r="B7" s="1560"/>
      <c r="C7" s="1561"/>
      <c r="D7" s="1562" t="s">
        <v>92</v>
      </c>
      <c r="E7" s="1561"/>
      <c r="F7" s="1561"/>
      <c r="G7" s="1561"/>
      <c r="H7" s="1561"/>
      <c r="I7" s="1561"/>
      <c r="J7" s="1561"/>
      <c r="K7" s="1561"/>
      <c r="L7" s="1561"/>
      <c r="M7" s="1561"/>
      <c r="N7" s="1561"/>
      <c r="O7" s="1561"/>
      <c r="P7" s="1563"/>
      <c r="Q7" s="1563"/>
      <c r="R7" s="1561"/>
      <c r="S7" s="1561"/>
      <c r="T7" s="1561"/>
      <c r="U7" s="1561"/>
      <c r="V7" s="1561"/>
      <c r="AD7" s="1564"/>
    </row>
    <row r="8" spans="1:30" ht="17.1" customHeight="1">
      <c r="A8" s="1545"/>
      <c r="B8" s="1560"/>
      <c r="C8" s="1561"/>
      <c r="D8" s="1561"/>
      <c r="E8" s="1561"/>
      <c r="F8" s="1561"/>
      <c r="G8" s="1561"/>
      <c r="H8" s="1561"/>
      <c r="I8" s="1561"/>
      <c r="J8" s="1561"/>
      <c r="K8" s="1561"/>
      <c r="L8" s="1561"/>
      <c r="M8" s="1561"/>
      <c r="N8" s="1561"/>
      <c r="O8" s="1561"/>
      <c r="P8" s="1561"/>
      <c r="Q8" s="1561"/>
      <c r="R8" s="1561"/>
      <c r="S8" s="1561"/>
      <c r="T8" s="1561"/>
      <c r="U8" s="1561"/>
      <c r="V8" s="1561"/>
      <c r="AD8" s="1564"/>
    </row>
    <row r="9" spans="2:30" s="1565" customFormat="1" ht="20.25">
      <c r="B9" s="1566"/>
      <c r="C9" s="1567"/>
      <c r="D9" s="1562" t="s">
        <v>93</v>
      </c>
      <c r="E9" s="1567"/>
      <c r="F9" s="1567"/>
      <c r="G9" s="1567"/>
      <c r="H9" s="1567"/>
      <c r="N9" s="1567"/>
      <c r="O9" s="1567"/>
      <c r="P9" s="1568"/>
      <c r="Q9" s="1568"/>
      <c r="R9" s="1567"/>
      <c r="S9" s="1567"/>
      <c r="T9" s="1567"/>
      <c r="U9" s="1567"/>
      <c r="V9" s="1567"/>
      <c r="W9" s="1546"/>
      <c r="X9" s="1567"/>
      <c r="Y9" s="1567"/>
      <c r="Z9" s="1567"/>
      <c r="AA9" s="1567"/>
      <c r="AB9" s="1567"/>
      <c r="AC9" s="1546"/>
      <c r="AD9" s="1569"/>
    </row>
    <row r="10" spans="1:30" ht="17.1" customHeight="1">
      <c r="A10" s="1545"/>
      <c r="B10" s="1560"/>
      <c r="C10" s="1561"/>
      <c r="D10" s="1561"/>
      <c r="E10" s="1561"/>
      <c r="F10" s="1561"/>
      <c r="G10" s="1561"/>
      <c r="H10" s="1561"/>
      <c r="I10" s="1561"/>
      <c r="J10" s="1561"/>
      <c r="K10" s="1561"/>
      <c r="L10" s="1561"/>
      <c r="M10" s="1561"/>
      <c r="N10" s="1561"/>
      <c r="O10" s="1561"/>
      <c r="P10" s="1561"/>
      <c r="Q10" s="1561"/>
      <c r="R10" s="1561"/>
      <c r="S10" s="1561"/>
      <c r="T10" s="1561"/>
      <c r="U10" s="1561"/>
      <c r="V10" s="1561"/>
      <c r="AD10" s="1564"/>
    </row>
    <row r="11" spans="2:30" s="1565" customFormat="1" ht="20.25">
      <c r="B11" s="1566"/>
      <c r="C11" s="1567"/>
      <c r="D11" s="1562" t="s">
        <v>473</v>
      </c>
      <c r="E11" s="1567"/>
      <c r="F11" s="1567"/>
      <c r="G11" s="1567"/>
      <c r="H11" s="1567"/>
      <c r="N11" s="1567"/>
      <c r="O11" s="1567"/>
      <c r="P11" s="1568"/>
      <c r="Q11" s="1568"/>
      <c r="R11" s="1567"/>
      <c r="S11" s="1567"/>
      <c r="T11" s="1567"/>
      <c r="U11" s="1567"/>
      <c r="V11" s="1567"/>
      <c r="W11" s="1546"/>
      <c r="X11" s="1567"/>
      <c r="Y11" s="1567"/>
      <c r="Z11" s="1567"/>
      <c r="AA11" s="1567"/>
      <c r="AB11" s="1567"/>
      <c r="AC11" s="1546"/>
      <c r="AD11" s="1569"/>
    </row>
    <row r="12" spans="1:30" ht="17.1" customHeight="1">
      <c r="A12" s="1545"/>
      <c r="B12" s="1560"/>
      <c r="C12" s="1561"/>
      <c r="D12" s="1561"/>
      <c r="E12" s="1545"/>
      <c r="F12" s="1545"/>
      <c r="G12" s="1545"/>
      <c r="H12" s="1545"/>
      <c r="I12" s="1570"/>
      <c r="J12" s="1570"/>
      <c r="K12" s="1570"/>
      <c r="L12" s="1570"/>
      <c r="M12" s="1570"/>
      <c r="N12" s="1570"/>
      <c r="O12" s="1570"/>
      <c r="P12" s="1570"/>
      <c r="Q12" s="1570"/>
      <c r="R12" s="1561"/>
      <c r="S12" s="1561"/>
      <c r="T12" s="1561"/>
      <c r="U12" s="1561"/>
      <c r="V12" s="1561"/>
      <c r="AD12" s="1564"/>
    </row>
    <row r="13" spans="2:30" s="1565" customFormat="1" ht="19.5">
      <c r="B13" s="1571" t="str">
        <f>'TOT-0116'!B14</f>
        <v>Desde el 01 al 31 de enero de 2016</v>
      </c>
      <c r="C13" s="1572"/>
      <c r="D13" s="1573"/>
      <c r="E13" s="1573"/>
      <c r="F13" s="1573"/>
      <c r="G13" s="1573"/>
      <c r="H13" s="1573"/>
      <c r="I13" s="1574"/>
      <c r="J13" s="1575"/>
      <c r="K13" s="1574"/>
      <c r="L13" s="1574"/>
      <c r="M13" s="1574"/>
      <c r="N13" s="1574"/>
      <c r="O13" s="1574"/>
      <c r="P13" s="1574"/>
      <c r="Q13" s="1574"/>
      <c r="R13" s="1574"/>
      <c r="S13" s="1574"/>
      <c r="T13" s="1574"/>
      <c r="U13" s="1576"/>
      <c r="V13" s="1576"/>
      <c r="W13" s="1546"/>
      <c r="X13" s="1577"/>
      <c r="Y13" s="1577"/>
      <c r="Z13" s="1577"/>
      <c r="AA13" s="1577"/>
      <c r="AB13" s="1576"/>
      <c r="AC13" s="1575"/>
      <c r="AD13" s="1578"/>
    </row>
    <row r="14" spans="1:30" ht="17.1" customHeight="1">
      <c r="A14" s="1545"/>
      <c r="B14" s="1560"/>
      <c r="C14" s="1561"/>
      <c r="D14" s="1561"/>
      <c r="E14" s="1579"/>
      <c r="F14" s="1579"/>
      <c r="G14" s="1561"/>
      <c r="H14" s="1561"/>
      <c r="I14" s="1561"/>
      <c r="J14" s="1580"/>
      <c r="K14" s="1561"/>
      <c r="L14" s="1561"/>
      <c r="M14" s="1561"/>
      <c r="N14" s="1545"/>
      <c r="O14" s="1545"/>
      <c r="P14" s="1561"/>
      <c r="Q14" s="1561"/>
      <c r="R14" s="1561"/>
      <c r="S14" s="1561"/>
      <c r="T14" s="1561"/>
      <c r="U14" s="1561"/>
      <c r="V14" s="1561"/>
      <c r="AD14" s="1564"/>
    </row>
    <row r="15" spans="1:30" ht="17.1" customHeight="1">
      <c r="A15" s="1545"/>
      <c r="B15" s="1560"/>
      <c r="C15" s="1561"/>
      <c r="D15" s="1561"/>
      <c r="E15" s="1579"/>
      <c r="F15" s="1579"/>
      <c r="G15" s="1561"/>
      <c r="H15" s="1561"/>
      <c r="I15" s="1581"/>
      <c r="J15" s="1561"/>
      <c r="K15" s="1582"/>
      <c r="M15" s="1561"/>
      <c r="N15" s="1545"/>
      <c r="O15" s="1545"/>
      <c r="P15" s="1561"/>
      <c r="Q15" s="1561"/>
      <c r="R15" s="1561"/>
      <c r="S15" s="1561"/>
      <c r="T15" s="1561"/>
      <c r="U15" s="1561"/>
      <c r="V15" s="1561"/>
      <c r="AD15" s="1564"/>
    </row>
    <row r="16" spans="1:30" ht="17.1" customHeight="1">
      <c r="A16" s="1545"/>
      <c r="B16" s="1560"/>
      <c r="C16" s="1561"/>
      <c r="D16" s="1561"/>
      <c r="E16" s="1579"/>
      <c r="F16" s="1579"/>
      <c r="G16" s="1561"/>
      <c r="H16" s="1561"/>
      <c r="I16" s="1581"/>
      <c r="J16" s="1561"/>
      <c r="K16" s="1582"/>
      <c r="M16" s="1561"/>
      <c r="N16" s="1545"/>
      <c r="O16" s="1545"/>
      <c r="P16" s="1561"/>
      <c r="Q16" s="1561"/>
      <c r="R16" s="1561"/>
      <c r="S16" s="1561"/>
      <c r="T16" s="1561"/>
      <c r="U16" s="1561"/>
      <c r="V16" s="1561"/>
      <c r="AD16" s="1564"/>
    </row>
    <row r="17" spans="1:30" ht="17.1" customHeight="1">
      <c r="A17" s="1545"/>
      <c r="B17" s="1560"/>
      <c r="C17" s="1583" t="s">
        <v>94</v>
      </c>
      <c r="D17" s="1584" t="s">
        <v>95</v>
      </c>
      <c r="E17" s="1579"/>
      <c r="F17" s="1579"/>
      <c r="G17" s="1561"/>
      <c r="H17" s="1561"/>
      <c r="I17" s="1561"/>
      <c r="J17" s="1580"/>
      <c r="K17" s="1561"/>
      <c r="L17" s="1561"/>
      <c r="M17" s="1561"/>
      <c r="N17" s="1545"/>
      <c r="O17" s="1545"/>
      <c r="P17" s="1561"/>
      <c r="Q17" s="1561"/>
      <c r="R17" s="1561"/>
      <c r="S17" s="1561"/>
      <c r="T17" s="1561"/>
      <c r="U17" s="1561"/>
      <c r="V17" s="1561"/>
      <c r="AD17" s="1564"/>
    </row>
    <row r="18" spans="2:30" s="1585" customFormat="1" ht="17.1" customHeight="1">
      <c r="B18" s="1586"/>
      <c r="C18" s="1587"/>
      <c r="D18" s="1588"/>
      <c r="E18" s="1589"/>
      <c r="F18" s="1590"/>
      <c r="G18" s="1587"/>
      <c r="H18" s="1587"/>
      <c r="I18" s="1587"/>
      <c r="J18" s="1591"/>
      <c r="K18" s="1587"/>
      <c r="L18" s="1587"/>
      <c r="M18" s="1587"/>
      <c r="P18" s="1587"/>
      <c r="Q18" s="1587"/>
      <c r="R18" s="1587"/>
      <c r="S18" s="1587"/>
      <c r="T18" s="1587"/>
      <c r="U18" s="1587"/>
      <c r="V18" s="1587"/>
      <c r="W18" s="1546"/>
      <c r="AD18" s="1592"/>
    </row>
    <row r="19" spans="2:30" s="1585" customFormat="1" ht="17.1" customHeight="1">
      <c r="B19" s="1586"/>
      <c r="C19" s="1587"/>
      <c r="D19" s="1593" t="s">
        <v>96</v>
      </c>
      <c r="F19" s="1594">
        <v>506.119</v>
      </c>
      <c r="G19" s="1593" t="s">
        <v>97</v>
      </c>
      <c r="H19" s="1587"/>
      <c r="I19" s="1587"/>
      <c r="J19" s="1595"/>
      <c r="K19" s="1596" t="s">
        <v>40</v>
      </c>
      <c r="L19" s="1597">
        <v>0.025</v>
      </c>
      <c r="R19" s="1587"/>
      <c r="S19" s="1587"/>
      <c r="T19" s="1587"/>
      <c r="U19" s="1587"/>
      <c r="V19" s="1587"/>
      <c r="W19" s="1546"/>
      <c r="AD19" s="1592"/>
    </row>
    <row r="20" spans="2:30" s="1585" customFormat="1" ht="17.1" customHeight="1">
      <c r="B20" s="1586"/>
      <c r="C20" s="1587"/>
      <c r="D20" s="1593" t="s">
        <v>112</v>
      </c>
      <c r="F20" s="1594">
        <v>1.391</v>
      </c>
      <c r="G20" s="1593" t="s">
        <v>113</v>
      </c>
      <c r="H20" s="1587"/>
      <c r="I20" s="1587"/>
      <c r="J20" s="1587"/>
      <c r="K20" s="1588" t="s">
        <v>38</v>
      </c>
      <c r="L20" s="1587">
        <f>MID(B13,16,2)*24</f>
        <v>744</v>
      </c>
      <c r="M20" s="1587" t="s">
        <v>39</v>
      </c>
      <c r="N20" s="1587"/>
      <c r="O20" s="1587"/>
      <c r="P20" s="1598"/>
      <c r="Q20" s="1587"/>
      <c r="R20" s="1587"/>
      <c r="S20" s="1587"/>
      <c r="T20" s="1587"/>
      <c r="U20" s="1587"/>
      <c r="V20" s="1587"/>
      <c r="W20" s="1546"/>
      <c r="AD20" s="1592"/>
    </row>
    <row r="21" spans="2:30" s="1585" customFormat="1" ht="17.1" customHeight="1">
      <c r="B21" s="1586"/>
      <c r="C21" s="1587"/>
      <c r="D21" s="1593" t="s">
        <v>114</v>
      </c>
      <c r="F21" s="1594">
        <v>220.831</v>
      </c>
      <c r="G21" s="1593" t="s">
        <v>115</v>
      </c>
      <c r="H21" s="1587"/>
      <c r="I21" s="1587"/>
      <c r="J21" s="1587"/>
      <c r="K21" s="1599"/>
      <c r="L21" s="1600"/>
      <c r="M21" s="1587"/>
      <c r="N21" s="1587"/>
      <c r="O21" s="1587"/>
      <c r="P21" s="1598"/>
      <c r="Q21" s="1587"/>
      <c r="R21" s="1587"/>
      <c r="S21" s="1587"/>
      <c r="T21" s="1587"/>
      <c r="U21" s="1587"/>
      <c r="V21" s="1587"/>
      <c r="W21" s="1546"/>
      <c r="AD21" s="1592"/>
    </row>
    <row r="22" spans="2:30" s="1585" customFormat="1" ht="17.1" customHeight="1">
      <c r="B22" s="1586"/>
      <c r="C22" s="1587"/>
      <c r="D22" s="1593" t="s">
        <v>116</v>
      </c>
      <c r="F22" s="1594">
        <v>276.033</v>
      </c>
      <c r="G22" s="1593" t="s">
        <v>115</v>
      </c>
      <c r="H22" s="1587"/>
      <c r="I22" s="1587"/>
      <c r="J22" s="1587"/>
      <c r="K22" s="1599"/>
      <c r="L22" s="1600"/>
      <c r="M22" s="1587"/>
      <c r="N22" s="1587"/>
      <c r="O22" s="1587"/>
      <c r="P22" s="1598"/>
      <c r="Q22" s="1587"/>
      <c r="R22" s="1587"/>
      <c r="S22" s="1587"/>
      <c r="T22" s="1587"/>
      <c r="U22" s="1587"/>
      <c r="V22" s="1587"/>
      <c r="W22" s="1546"/>
      <c r="AD22" s="1592"/>
    </row>
    <row r="23" spans="2:30" s="1585" customFormat="1" ht="8.25" customHeight="1">
      <c r="B23" s="1586"/>
      <c r="C23" s="1587"/>
      <c r="D23" s="1587"/>
      <c r="E23" s="1601"/>
      <c r="F23" s="1587"/>
      <c r="G23" s="1587"/>
      <c r="H23" s="1587"/>
      <c r="I23" s="1587"/>
      <c r="J23" s="1587"/>
      <c r="K23" s="1587"/>
      <c r="L23" s="1587"/>
      <c r="M23" s="1587"/>
      <c r="N23" s="1587"/>
      <c r="O23" s="1587"/>
      <c r="P23" s="1587"/>
      <c r="Q23" s="1587"/>
      <c r="R23" s="1587"/>
      <c r="S23" s="1587"/>
      <c r="T23" s="1587"/>
      <c r="U23" s="1587"/>
      <c r="V23" s="1587"/>
      <c r="W23" s="1546"/>
      <c r="AD23" s="1592"/>
    </row>
    <row r="24" spans="1:30" ht="17.1" customHeight="1">
      <c r="A24" s="1545"/>
      <c r="B24" s="1560"/>
      <c r="C24" s="1583" t="s">
        <v>98</v>
      </c>
      <c r="D24" s="1602" t="s">
        <v>358</v>
      </c>
      <c r="I24" s="1561"/>
      <c r="J24" s="1585"/>
      <c r="O24" s="1561"/>
      <c r="P24" s="1561"/>
      <c r="Q24" s="1561"/>
      <c r="R24" s="1561"/>
      <c r="S24" s="1561"/>
      <c r="T24" s="1561"/>
      <c r="V24" s="1561"/>
      <c r="X24" s="1561"/>
      <c r="Y24" s="1561"/>
      <c r="Z24" s="1561"/>
      <c r="AA24" s="1561"/>
      <c r="AB24" s="1561"/>
      <c r="AC24" s="1561"/>
      <c r="AD24" s="1564"/>
    </row>
    <row r="25" spans="1:30" ht="10.5" customHeight="1" thickBot="1">
      <c r="A25" s="1545"/>
      <c r="B25" s="1560"/>
      <c r="C25" s="1579"/>
      <c r="D25" s="1602"/>
      <c r="I25" s="1561"/>
      <c r="J25" s="1585"/>
      <c r="O25" s="1561"/>
      <c r="P25" s="1561"/>
      <c r="Q25" s="1561"/>
      <c r="R25" s="1561"/>
      <c r="S25" s="1561"/>
      <c r="T25" s="1561"/>
      <c r="V25" s="1561"/>
      <c r="X25" s="1561"/>
      <c r="Y25" s="1561"/>
      <c r="Z25" s="1561"/>
      <c r="AA25" s="1561"/>
      <c r="AB25" s="1561"/>
      <c r="AC25" s="1561"/>
      <c r="AD25" s="1564"/>
    </row>
    <row r="26" spans="2:30" s="1585" customFormat="1" ht="17.1" customHeight="1" thickBot="1" thickTop="1">
      <c r="B26" s="1586"/>
      <c r="C26" s="1590"/>
      <c r="D26" s="1546"/>
      <c r="E26" s="1546"/>
      <c r="F26" s="1546"/>
      <c r="G26" s="1546"/>
      <c r="H26" s="1546"/>
      <c r="I26" s="1546"/>
      <c r="J26" s="1603" t="s">
        <v>45</v>
      </c>
      <c r="K26" s="1604">
        <f>L19*AC88</f>
        <v>113212.39659399999</v>
      </c>
      <c r="L26" s="1546"/>
      <c r="S26" s="1546"/>
      <c r="T26" s="1546"/>
      <c r="U26" s="1546"/>
      <c r="W26" s="1546"/>
      <c r="AD26" s="1592"/>
    </row>
    <row r="27" spans="2:30" s="1585" customFormat="1" ht="11.25" customHeight="1" thickTop="1">
      <c r="B27" s="1586"/>
      <c r="C27" s="1590"/>
      <c r="D27" s="1587"/>
      <c r="E27" s="1601"/>
      <c r="F27" s="1587"/>
      <c r="G27" s="1587"/>
      <c r="H27" s="1587"/>
      <c r="I27" s="1587"/>
      <c r="J27" s="1587"/>
      <c r="K27" s="1587"/>
      <c r="L27" s="1587"/>
      <c r="M27" s="1587"/>
      <c r="N27" s="1587"/>
      <c r="O27" s="1587"/>
      <c r="P27" s="1587"/>
      <c r="Q27" s="1587"/>
      <c r="R27" s="1587"/>
      <c r="S27" s="1587"/>
      <c r="T27" s="1587"/>
      <c r="U27" s="1546"/>
      <c r="W27" s="1546"/>
      <c r="AD27" s="1592"/>
    </row>
    <row r="28" spans="1:30" ht="17.1" customHeight="1">
      <c r="A28" s="1545"/>
      <c r="B28" s="1560"/>
      <c r="C28" s="1583" t="s">
        <v>99</v>
      </c>
      <c r="D28" s="1602" t="s">
        <v>137</v>
      </c>
      <c r="E28" s="1605"/>
      <c r="F28" s="1561"/>
      <c r="G28" s="1561"/>
      <c r="H28" s="1561"/>
      <c r="I28" s="1561"/>
      <c r="J28" s="1561"/>
      <c r="K28" s="1561"/>
      <c r="L28" s="1561"/>
      <c r="M28" s="1561"/>
      <c r="N28" s="1561"/>
      <c r="O28" s="1561"/>
      <c r="P28" s="1561"/>
      <c r="Q28" s="1561"/>
      <c r="R28" s="1561"/>
      <c r="S28" s="1561"/>
      <c r="T28" s="1561"/>
      <c r="U28" s="1561"/>
      <c r="V28" s="1561"/>
      <c r="AD28" s="1564"/>
    </row>
    <row r="29" spans="1:30" ht="21.75" customHeight="1" thickBot="1">
      <c r="A29" s="1545"/>
      <c r="B29" s="1560"/>
      <c r="C29" s="1561"/>
      <c r="D29" s="1561"/>
      <c r="E29" s="1605"/>
      <c r="F29" s="1561"/>
      <c r="G29" s="1561"/>
      <c r="H29" s="1561"/>
      <c r="I29" s="1561"/>
      <c r="J29" s="1561"/>
      <c r="K29" s="1561"/>
      <c r="L29" s="1561"/>
      <c r="M29" s="1561"/>
      <c r="N29" s="1561"/>
      <c r="O29" s="1561"/>
      <c r="P29" s="1561"/>
      <c r="Q29" s="1561"/>
      <c r="R29" s="1561"/>
      <c r="S29" s="1561"/>
      <c r="T29" s="1561"/>
      <c r="U29" s="1561"/>
      <c r="V29" s="1561"/>
      <c r="AD29" s="1564"/>
    </row>
    <row r="30" spans="2:31" s="1545" customFormat="1" ht="33.95" customHeight="1" thickBot="1" thickTop="1">
      <c r="B30" s="1560"/>
      <c r="C30" s="1606" t="s">
        <v>13</v>
      </c>
      <c r="D30" s="1607" t="s">
        <v>0</v>
      </c>
      <c r="E30" s="1608" t="s">
        <v>14</v>
      </c>
      <c r="F30" s="1609" t="s">
        <v>15</v>
      </c>
      <c r="G30" s="1610" t="s">
        <v>71</v>
      </c>
      <c r="H30" s="1611" t="s">
        <v>37</v>
      </c>
      <c r="I30" s="1612" t="s">
        <v>16</v>
      </c>
      <c r="J30" s="1613" t="s">
        <v>17</v>
      </c>
      <c r="K30" s="1614" t="s">
        <v>18</v>
      </c>
      <c r="L30" s="1615" t="s">
        <v>36</v>
      </c>
      <c r="M30" s="1616" t="s">
        <v>31</v>
      </c>
      <c r="N30" s="1615" t="s">
        <v>100</v>
      </c>
      <c r="O30" s="1615" t="s">
        <v>58</v>
      </c>
      <c r="P30" s="1614" t="s">
        <v>59</v>
      </c>
      <c r="Q30" s="1613" t="s">
        <v>32</v>
      </c>
      <c r="R30" s="1617" t="s">
        <v>20</v>
      </c>
      <c r="S30" s="1618" t="s">
        <v>21</v>
      </c>
      <c r="T30" s="1619" t="s">
        <v>72</v>
      </c>
      <c r="U30" s="1620"/>
      <c r="V30" s="1621"/>
      <c r="W30" s="1622" t="s">
        <v>101</v>
      </c>
      <c r="X30" s="1623"/>
      <c r="Y30" s="1624"/>
      <c r="Z30" s="1625" t="s">
        <v>22</v>
      </c>
      <c r="AA30" s="1626" t="s">
        <v>23</v>
      </c>
      <c r="AB30" s="1627" t="s">
        <v>74</v>
      </c>
      <c r="AC30" s="1628" t="s">
        <v>24</v>
      </c>
      <c r="AD30" s="1629"/>
      <c r="AE30" s="1546"/>
    </row>
    <row r="31" spans="1:30" ht="17.1" customHeight="1" thickTop="1">
      <c r="A31" s="1545"/>
      <c r="B31" s="1560"/>
      <c r="C31" s="1630"/>
      <c r="D31" s="1631"/>
      <c r="E31" s="1632"/>
      <c r="F31" s="1633"/>
      <c r="G31" s="1634"/>
      <c r="H31" s="1635"/>
      <c r="I31" s="1636"/>
      <c r="J31" s="1637"/>
      <c r="K31" s="1638"/>
      <c r="L31" s="1630"/>
      <c r="M31" s="1630"/>
      <c r="N31" s="1639"/>
      <c r="O31" s="1639"/>
      <c r="P31" s="1630"/>
      <c r="Q31" s="1640"/>
      <c r="R31" s="1641"/>
      <c r="S31" s="1642"/>
      <c r="T31" s="1643"/>
      <c r="U31" s="1644"/>
      <c r="V31" s="1645"/>
      <c r="W31" s="1646"/>
      <c r="X31" s="1647"/>
      <c r="Y31" s="1648"/>
      <c r="Z31" s="1649"/>
      <c r="AA31" s="1650"/>
      <c r="AB31" s="1651"/>
      <c r="AC31" s="1652"/>
      <c r="AD31" s="1564"/>
    </row>
    <row r="32" spans="1:30" ht="17.1" customHeight="1">
      <c r="A32" s="1545"/>
      <c r="B32" s="1560"/>
      <c r="C32" s="957" t="s">
        <v>200</v>
      </c>
      <c r="D32" s="7" t="s">
        <v>317</v>
      </c>
      <c r="E32" s="440">
        <v>500</v>
      </c>
      <c r="F32" s="492">
        <v>506</v>
      </c>
      <c r="G32" s="493" t="s">
        <v>303</v>
      </c>
      <c r="H32" s="1657">
        <f>IF(G32="A",200,IF(G32="B",60,20))</f>
        <v>20</v>
      </c>
      <c r="I32" s="1658">
        <f>IF(F32&gt;100,F32,100)*$F$19/100</f>
        <v>2560.96214</v>
      </c>
      <c r="J32" s="496">
        <v>42389.04652777778</v>
      </c>
      <c r="K32" s="441">
        <v>42389.25</v>
      </c>
      <c r="L32" s="1661">
        <f>IF(D32="","",(K32-J32)*24)</f>
        <v>4.883333333360497</v>
      </c>
      <c r="M32" s="1662">
        <f>IF(D32="","",ROUND((K32-J32)*24*60,0))</f>
        <v>293</v>
      </c>
      <c r="N32" s="1663" t="s">
        <v>308</v>
      </c>
      <c r="O32" s="1664" t="str">
        <f>IF(D32="","","--")</f>
        <v>--</v>
      </c>
      <c r="P32" s="1665" t="str">
        <f>IF(D32="","","NO")</f>
        <v>NO</v>
      </c>
      <c r="Q32" s="1665" t="s">
        <v>213</v>
      </c>
      <c r="R32" s="1666" t="str">
        <f>IF(N32="P",+I32*H32*ROUND(M32/60,2)/100,"--")</f>
        <v>--</v>
      </c>
      <c r="S32" s="1667" t="str">
        <f>IF(N32="RP",I32*H32*ROUND(M32/60,2)*0.01*O32/100,"--")</f>
        <v>--</v>
      </c>
      <c r="T32" s="1668" t="str">
        <f>IF(AND(N32="F",Q32="NO"),IF(P32="SI",1.2,1)*I32*H32,"--")</f>
        <v>--</v>
      </c>
      <c r="U32" s="1669">
        <f>IF(AND(M32&gt;10,N32="F"),IF(M32&lt;=300,ROUND(M32/60,2),5)*I32*H32*IF(P32="SI",1.2,1),"--")</f>
        <v>249949.904864</v>
      </c>
      <c r="V32" s="1670" t="str">
        <f>IF(AND(N32="F",M32&gt;300),IF(P32="SI",1.2,1)*(ROUND(M32/60,2)-5)*I32*H32*0.1,"--")</f>
        <v>--</v>
      </c>
      <c r="W32" s="1671" t="str">
        <f>IF(AND(N32="R",Q32="NO"),IF(P32="SI",1.2,1)*I32*H32*O32/100,"--")</f>
        <v>--</v>
      </c>
      <c r="X32" s="1672" t="str">
        <f>IF(AND(M32&gt;10,N32="R"),IF(M32&lt;=300,ROUND(M32/60,2),5)*I32*H32*O32/100*IF(P32="SI",1.2,1),"--")</f>
        <v>--</v>
      </c>
      <c r="Y32" s="1673" t="str">
        <f>IF(AND(N32="R",M32&gt;300),IF(P32="SI",1.2,1)*(ROUND(M32/60,2)-5)*I32*H32*O32/100*0.1,"--")</f>
        <v>--</v>
      </c>
      <c r="Z32" s="1674" t="str">
        <f>IF(N32="RF",IF(P32="SI",1.2,1)*ROUND(M32/60,2)*I32*H32*0.1,"--")</f>
        <v>--</v>
      </c>
      <c r="AA32" s="1675" t="str">
        <f>IF(N32="RR",IF(P32="SI",1.2,1)*ROUND(M32/60,2)*I32*H32*O32/100*0.1,"--")</f>
        <v>--</v>
      </c>
      <c r="AB32" s="1676" t="str">
        <f>IF(D32="","","SI")</f>
        <v>SI</v>
      </c>
      <c r="AC32" s="1677">
        <f>IF(D32="","",SUM(R32:AA32)*IF(AB32="SI",1,2))</f>
        <v>249949.904864</v>
      </c>
      <c r="AD32" s="1564"/>
    </row>
    <row r="33" spans="1:30" ht="17.1" customHeight="1">
      <c r="A33" s="1545"/>
      <c r="B33" s="1560"/>
      <c r="C33" s="957" t="s">
        <v>201</v>
      </c>
      <c r="D33" s="1653"/>
      <c r="E33" s="1654"/>
      <c r="F33" s="1655"/>
      <c r="G33" s="1656"/>
      <c r="H33" s="1657">
        <f>IF(G33="A",200,IF(G33="B",60,20))</f>
        <v>20</v>
      </c>
      <c r="I33" s="1658">
        <f>IF(F33&gt;100,F33,100)*$F$19/100</f>
        <v>506.119</v>
      </c>
      <c r="J33" s="1659"/>
      <c r="K33" s="1660"/>
      <c r="L33" s="1661" t="str">
        <f>IF(D33="","",(K33-J33)*24)</f>
        <v/>
      </c>
      <c r="M33" s="1662" t="str">
        <f>IF(D33="","",ROUND((K33-J33)*24*60,0))</f>
        <v/>
      </c>
      <c r="N33" s="1663"/>
      <c r="O33" s="1664" t="str">
        <f>IF(D33="","","--")</f>
        <v/>
      </c>
      <c r="P33" s="1665" t="str">
        <f>IF(D33="","","NO")</f>
        <v/>
      </c>
      <c r="Q33" s="1665" t="str">
        <f>IF(D33="","",IF(OR(N33="P",N33="RP"),"--","NO"))</f>
        <v/>
      </c>
      <c r="R33" s="1666" t="str">
        <f>IF(N33="P",+I33*H33*ROUND(M33/60,2)/100,"--")</f>
        <v>--</v>
      </c>
      <c r="S33" s="1667" t="str">
        <f>IF(N33="RP",I33*H33*ROUND(M33/60,2)*0.01*O33/100,"--")</f>
        <v>--</v>
      </c>
      <c r="T33" s="1668" t="str">
        <f>IF(AND(N33="F",Q33="NO"),IF(P33="SI",1.2,1)*I33*H33,"--")</f>
        <v>--</v>
      </c>
      <c r="U33" s="1669" t="str">
        <f>IF(AND(M33&gt;10,N33="F"),IF(M33&lt;=300,ROUND(M33/60,2),5)*I33*H33*IF(P33="SI",1.2,1),"--")</f>
        <v>--</v>
      </c>
      <c r="V33" s="1670" t="str">
        <f>IF(AND(N33="F",M33&gt;300),IF(P33="SI",1.2,1)*(ROUND(M33/60,2)-5)*I33*H33*0.1,"--")</f>
        <v>--</v>
      </c>
      <c r="W33" s="1671" t="str">
        <f>IF(AND(N33="R",Q33="NO"),IF(P33="SI",1.2,1)*I33*H33*O33/100,"--")</f>
        <v>--</v>
      </c>
      <c r="X33" s="1672" t="str">
        <f>IF(AND(M33&gt;10,N33="R"),IF(M33&lt;=300,ROUND(M33/60,2),5)*I33*H33*O33/100*IF(P33="SI",1.2,1),"--")</f>
        <v>--</v>
      </c>
      <c r="Y33" s="1673" t="str">
        <f>IF(AND(N33="R",M33&gt;300),IF(P33="SI",1.2,1)*(ROUND(M33/60,2)-5)*I33*H33*O33/100*0.1,"--")</f>
        <v>--</v>
      </c>
      <c r="Z33" s="1674" t="str">
        <f>IF(N33="RF",IF(P33="SI",1.2,1)*ROUND(M33/60,2)*I33*H33*0.1,"--")</f>
        <v>--</v>
      </c>
      <c r="AA33" s="1675" t="str">
        <f>IF(N33="RR",IF(P33="SI",1.2,1)*ROUND(M33/60,2)*I33*H33*O33/100*0.1,"--")</f>
        <v>--</v>
      </c>
      <c r="AB33" s="1676" t="str">
        <f>IF(D33="","","SI")</f>
        <v/>
      </c>
      <c r="AC33" s="1677" t="str">
        <f>IF(D33="","",SUM(R33:AA33)*IF(AB33="SI",1,2))</f>
        <v/>
      </c>
      <c r="AD33" s="1564"/>
    </row>
    <row r="34" spans="1:30" ht="17.1" customHeight="1">
      <c r="A34" s="1545"/>
      <c r="B34" s="1560"/>
      <c r="C34" s="957" t="s">
        <v>202</v>
      </c>
      <c r="D34" s="1653"/>
      <c r="E34" s="1654"/>
      <c r="F34" s="1655"/>
      <c r="G34" s="1656"/>
      <c r="H34" s="1657">
        <f>IF(G34="A",200,IF(G34="B",60,20))</f>
        <v>20</v>
      </c>
      <c r="I34" s="1658">
        <f>IF(F34&gt;100,F34,100)*$F$19/100</f>
        <v>506.119</v>
      </c>
      <c r="J34" s="1659"/>
      <c r="K34" s="1660"/>
      <c r="L34" s="1661" t="str">
        <f>IF(D34="","",(K34-J34)*24)</f>
        <v/>
      </c>
      <c r="M34" s="1662" t="str">
        <f>IF(D34="","",ROUND((K34-J34)*24*60,0))</f>
        <v/>
      </c>
      <c r="N34" s="1663"/>
      <c r="O34" s="1664" t="str">
        <f>IF(D34="","","--")</f>
        <v/>
      </c>
      <c r="P34" s="1665" t="str">
        <f>IF(D34="","","NO")</f>
        <v/>
      </c>
      <c r="Q34" s="1665" t="str">
        <f>IF(D34="","",IF(OR(N34="P",N34="RP"),"--","NO"))</f>
        <v/>
      </c>
      <c r="R34" s="1666" t="str">
        <f>IF(N34="P",+I34*H34*ROUND(M34/60,2)/100,"--")</f>
        <v>--</v>
      </c>
      <c r="S34" s="1667" t="str">
        <f>IF(N34="RP",I34*H34*ROUND(M34/60,2)*0.01*O34/100,"--")</f>
        <v>--</v>
      </c>
      <c r="T34" s="1668" t="str">
        <f>IF(AND(N34="F",Q34="NO"),IF(P34="SI",1.2,1)*I34*H34,"--")</f>
        <v>--</v>
      </c>
      <c r="U34" s="1669" t="str">
        <f>IF(AND(M34&gt;10,N34="F"),IF(M34&lt;=300,ROUND(M34/60,2),5)*I34*H34*IF(P34="SI",1.2,1),"--")</f>
        <v>--</v>
      </c>
      <c r="V34" s="1670" t="str">
        <f>IF(AND(N34="F",M34&gt;300),IF(P34="SI",1.2,1)*(ROUND(M34/60,2)-5)*I34*H34*0.1,"--")</f>
        <v>--</v>
      </c>
      <c r="W34" s="1671" t="str">
        <f>IF(AND(N34="R",Q34="NO"),IF(P34="SI",1.2,1)*I34*H34*O34/100,"--")</f>
        <v>--</v>
      </c>
      <c r="X34" s="1672" t="str">
        <f>IF(AND(M34&gt;10,N34="R"),IF(M34&lt;=300,ROUND(M34/60,2),5)*I34*H34*O34/100*IF(P34="SI",1.2,1),"--")</f>
        <v>--</v>
      </c>
      <c r="Y34" s="1673" t="str">
        <f>IF(AND(N34="R",M34&gt;300),IF(P34="SI",1.2,1)*(ROUND(M34/60,2)-5)*I34*H34*O34/100*0.1,"--")</f>
        <v>--</v>
      </c>
      <c r="Z34" s="1674" t="str">
        <f>IF(N34="RF",IF(P34="SI",1.2,1)*ROUND(M34/60,2)*I34*H34*0.1,"--")</f>
        <v>--</v>
      </c>
      <c r="AA34" s="1675" t="str">
        <f>IF(N34="RR",IF(P34="SI",1.2,1)*ROUND(M34/60,2)*I34*H34*O34/100*0.1,"--")</f>
        <v>--</v>
      </c>
      <c r="AB34" s="1676" t="str">
        <f>IF(D34="","","SI")</f>
        <v/>
      </c>
      <c r="AC34" s="1677" t="str">
        <f>IF(D34="","",SUM(R34:AA34)*IF(AB34="SI",1,2))</f>
        <v/>
      </c>
      <c r="AD34" s="1564"/>
    </row>
    <row r="35" spans="1:30" ht="17.1" customHeight="1">
      <c r="A35" s="1545"/>
      <c r="B35" s="1560"/>
      <c r="C35" s="957" t="s">
        <v>203</v>
      </c>
      <c r="D35" s="1653"/>
      <c r="E35" s="1654"/>
      <c r="F35" s="1655"/>
      <c r="G35" s="1656"/>
      <c r="H35" s="1657">
        <f>IF(G35="A",200,IF(G35="B",60,20))</f>
        <v>20</v>
      </c>
      <c r="I35" s="1658">
        <f>IF(F35&gt;100,F35,100)*$F$19/100</f>
        <v>506.119</v>
      </c>
      <c r="J35" s="1659"/>
      <c r="K35" s="1660"/>
      <c r="L35" s="1661" t="str">
        <f>IF(D35="","",(K35-J35)*24)</f>
        <v/>
      </c>
      <c r="M35" s="1662" t="str">
        <f>IF(D35="","",ROUND((K35-J35)*24*60,0))</f>
        <v/>
      </c>
      <c r="N35" s="1663"/>
      <c r="O35" s="1664" t="str">
        <f>IF(D35="","","--")</f>
        <v/>
      </c>
      <c r="P35" s="1665" t="str">
        <f>IF(D35="","","NO")</f>
        <v/>
      </c>
      <c r="Q35" s="1665" t="str">
        <f>IF(D35="","",IF(OR(N35="P",N35="RP"),"--","NO"))</f>
        <v/>
      </c>
      <c r="R35" s="1666" t="str">
        <f>IF(N35="P",+I35*H35*ROUND(M35/60,2)/100,"--")</f>
        <v>--</v>
      </c>
      <c r="S35" s="1667" t="str">
        <f>IF(N35="RP",I35*H35*ROUND(M35/60,2)*0.01*O35/100,"--")</f>
        <v>--</v>
      </c>
      <c r="T35" s="1668" t="str">
        <f>IF(AND(N35="F",Q35="NO"),IF(P35="SI",1.2,1)*I35*H35,"--")</f>
        <v>--</v>
      </c>
      <c r="U35" s="1669" t="str">
        <f>IF(AND(M35&gt;10,N35="F"),IF(M35&lt;=300,ROUND(M35/60,2),5)*I35*H35*IF(P35="SI",1.2,1),"--")</f>
        <v>--</v>
      </c>
      <c r="V35" s="1670" t="str">
        <f>IF(AND(N35="F",M35&gt;300),IF(P35="SI",1.2,1)*(ROUND(M35/60,2)-5)*I35*H35*0.1,"--")</f>
        <v>--</v>
      </c>
      <c r="W35" s="1671" t="str">
        <f>IF(AND(N35="R",Q35="NO"),IF(P35="SI",1.2,1)*I35*H35*O35/100,"--")</f>
        <v>--</v>
      </c>
      <c r="X35" s="1672" t="str">
        <f>IF(AND(M35&gt;10,N35="R"),IF(M35&lt;=300,ROUND(M35/60,2),5)*I35*H35*O35/100*IF(P35="SI",1.2,1),"--")</f>
        <v>--</v>
      </c>
      <c r="Y35" s="1673" t="str">
        <f>IF(AND(N35="R",M35&gt;300),IF(P35="SI",1.2,1)*(ROUND(M35/60,2)-5)*I35*H35*O35/100*0.1,"--")</f>
        <v>--</v>
      </c>
      <c r="Z35" s="1674" t="str">
        <f>IF(N35="RF",IF(P35="SI",1.2,1)*ROUND(M35/60,2)*I35*H35*0.1,"--")</f>
        <v>--</v>
      </c>
      <c r="AA35" s="1675" t="str">
        <f>IF(N35="RR",IF(P35="SI",1.2,1)*ROUND(M35/60,2)*I35*H35*O35/100*0.1,"--")</f>
        <v>--</v>
      </c>
      <c r="AB35" s="1676" t="str">
        <f>IF(D35="","","SI")</f>
        <v/>
      </c>
      <c r="AC35" s="1677" t="str">
        <f>IF(D35="","",SUM(R35:AA35)*IF(AB35="SI",1,2))</f>
        <v/>
      </c>
      <c r="AD35" s="1678"/>
    </row>
    <row r="36" spans="1:30" ht="17.1" customHeight="1" thickBot="1">
      <c r="A36" s="1585"/>
      <c r="B36" s="1560"/>
      <c r="C36" s="1679"/>
      <c r="D36" s="1680"/>
      <c r="E36" s="1681"/>
      <c r="F36" s="1682"/>
      <c r="G36" s="1683"/>
      <c r="H36" s="1684"/>
      <c r="I36" s="1685"/>
      <c r="J36" s="1686"/>
      <c r="K36" s="1686"/>
      <c r="L36" s="1687"/>
      <c r="M36" s="1687"/>
      <c r="N36" s="1687"/>
      <c r="O36" s="1688"/>
      <c r="P36" s="1687"/>
      <c r="Q36" s="1687"/>
      <c r="R36" s="1689"/>
      <c r="S36" s="1690"/>
      <c r="T36" s="1691"/>
      <c r="U36" s="1692"/>
      <c r="V36" s="1693"/>
      <c r="W36" s="1694"/>
      <c r="X36" s="1695"/>
      <c r="Y36" s="1696"/>
      <c r="Z36" s="1697"/>
      <c r="AA36" s="1698"/>
      <c r="AB36" s="1699"/>
      <c r="AC36" s="1700"/>
      <c r="AD36" s="1678"/>
    </row>
    <row r="37" spans="1:30" ht="17.1" customHeight="1" thickBot="1" thickTop="1">
      <c r="A37" s="1585"/>
      <c r="B37" s="1560"/>
      <c r="C37" s="1590"/>
      <c r="D37" s="1590"/>
      <c r="E37" s="1701"/>
      <c r="F37" s="1601"/>
      <c r="G37" s="1702"/>
      <c r="H37" s="1702"/>
      <c r="I37" s="1703"/>
      <c r="J37" s="1703"/>
      <c r="K37" s="1703"/>
      <c r="L37" s="1703"/>
      <c r="M37" s="1703"/>
      <c r="N37" s="1703"/>
      <c r="O37" s="1704"/>
      <c r="P37" s="1703"/>
      <c r="Q37" s="1703"/>
      <c r="R37" s="1705">
        <f aca="true" t="shared" si="0" ref="R37:AA37">SUM(R31:R36)</f>
        <v>0</v>
      </c>
      <c r="S37" s="1706">
        <f t="shared" si="0"/>
        <v>0</v>
      </c>
      <c r="T37" s="1707">
        <f t="shared" si="0"/>
        <v>0</v>
      </c>
      <c r="U37" s="1707">
        <f t="shared" si="0"/>
        <v>249949.904864</v>
      </c>
      <c r="V37" s="1707">
        <f t="shared" si="0"/>
        <v>0</v>
      </c>
      <c r="W37" s="1708">
        <f t="shared" si="0"/>
        <v>0</v>
      </c>
      <c r="X37" s="1708">
        <f t="shared" si="0"/>
        <v>0</v>
      </c>
      <c r="Y37" s="1708">
        <f t="shared" si="0"/>
        <v>0</v>
      </c>
      <c r="Z37" s="1709">
        <f t="shared" si="0"/>
        <v>0</v>
      </c>
      <c r="AA37" s="1710">
        <f t="shared" si="0"/>
        <v>0</v>
      </c>
      <c r="AB37" s="1711"/>
      <c r="AC37" s="1712">
        <f>SUM(AC31:AC36)</f>
        <v>249949.904864</v>
      </c>
      <c r="AD37" s="1678"/>
    </row>
    <row r="38" spans="1:30" ht="13.5" customHeight="1" thickBot="1" thickTop="1">
      <c r="A38" s="1585"/>
      <c r="B38" s="1560"/>
      <c r="C38" s="1590"/>
      <c r="D38" s="1590"/>
      <c r="E38" s="1701"/>
      <c r="F38" s="1601"/>
      <c r="G38" s="1702"/>
      <c r="H38" s="1702"/>
      <c r="I38" s="1703"/>
      <c r="J38" s="1703"/>
      <c r="K38" s="1703"/>
      <c r="L38" s="1703"/>
      <c r="M38" s="1703"/>
      <c r="N38" s="1703"/>
      <c r="O38" s="1704"/>
      <c r="P38" s="1703"/>
      <c r="Q38" s="1703"/>
      <c r="R38" s="1713"/>
      <c r="S38" s="1714"/>
      <c r="T38" s="1715"/>
      <c r="U38" s="1715"/>
      <c r="V38" s="1715"/>
      <c r="W38" s="1713"/>
      <c r="X38" s="1713"/>
      <c r="Y38" s="1713"/>
      <c r="Z38" s="1713"/>
      <c r="AA38" s="1713"/>
      <c r="AB38" s="1716"/>
      <c r="AC38" s="1717"/>
      <c r="AD38" s="1678"/>
    </row>
    <row r="39" spans="1:33" s="1545" customFormat="1" ht="33.95" customHeight="1" thickBot="1" thickTop="1">
      <c r="A39" s="1544"/>
      <c r="B39" s="1718"/>
      <c r="C39" s="1719" t="s">
        <v>13</v>
      </c>
      <c r="D39" s="1720" t="s">
        <v>27</v>
      </c>
      <c r="E39" s="1721" t="s">
        <v>28</v>
      </c>
      <c r="F39" s="1722" t="s">
        <v>29</v>
      </c>
      <c r="G39" s="1628" t="s">
        <v>14</v>
      </c>
      <c r="H39" s="1723" t="s">
        <v>16</v>
      </c>
      <c r="I39" s="1724"/>
      <c r="J39" s="1721" t="s">
        <v>17</v>
      </c>
      <c r="K39" s="1721" t="s">
        <v>18</v>
      </c>
      <c r="L39" s="1720" t="s">
        <v>30</v>
      </c>
      <c r="M39" s="1720" t="s">
        <v>31</v>
      </c>
      <c r="N39" s="1615" t="s">
        <v>102</v>
      </c>
      <c r="O39" s="1721" t="s">
        <v>32</v>
      </c>
      <c r="P39" s="1725" t="s">
        <v>33</v>
      </c>
      <c r="Q39" s="1726"/>
      <c r="R39" s="1723" t="s">
        <v>34</v>
      </c>
      <c r="S39" s="1727" t="s">
        <v>20</v>
      </c>
      <c r="T39" s="1728" t="s">
        <v>103</v>
      </c>
      <c r="U39" s="1729"/>
      <c r="V39" s="1730" t="s">
        <v>22</v>
      </c>
      <c r="W39" s="1731"/>
      <c r="X39" s="1732"/>
      <c r="Y39" s="1732"/>
      <c r="Z39" s="1732"/>
      <c r="AA39" s="1733"/>
      <c r="AB39" s="1734" t="s">
        <v>74</v>
      </c>
      <c r="AC39" s="1628" t="s">
        <v>24</v>
      </c>
      <c r="AD39" s="1564"/>
      <c r="AF39" s="1546"/>
      <c r="AG39" s="1546"/>
    </row>
    <row r="40" spans="1:30" ht="17.1" customHeight="1" thickTop="1">
      <c r="A40" s="1545"/>
      <c r="B40" s="1560"/>
      <c r="C40" s="1630"/>
      <c r="D40" s="1735"/>
      <c r="E40" s="1735"/>
      <c r="F40" s="1735"/>
      <c r="G40" s="1736"/>
      <c r="H40" s="1737"/>
      <c r="I40" s="1738"/>
      <c r="J40" s="1735"/>
      <c r="K40" s="1735"/>
      <c r="L40" s="1735"/>
      <c r="M40" s="1735"/>
      <c r="N40" s="1735"/>
      <c r="O40" s="1739"/>
      <c r="P40" s="3502"/>
      <c r="Q40" s="3505"/>
      <c r="R40" s="1740"/>
      <c r="S40" s="1741"/>
      <c r="T40" s="1742"/>
      <c r="U40" s="1743"/>
      <c r="V40" s="1744"/>
      <c r="W40" s="1745"/>
      <c r="X40" s="1746"/>
      <c r="Y40" s="1746"/>
      <c r="Z40" s="1746"/>
      <c r="AA40" s="1747"/>
      <c r="AB40" s="1739"/>
      <c r="AC40" s="1748"/>
      <c r="AD40" s="1564"/>
    </row>
    <row r="41" spans="1:30" ht="17.1" customHeight="1">
      <c r="A41" s="1545"/>
      <c r="B41" s="1560"/>
      <c r="C41" s="957" t="s">
        <v>200</v>
      </c>
      <c r="D41" s="1749"/>
      <c r="E41" s="1750"/>
      <c r="F41" s="1751"/>
      <c r="G41" s="1752"/>
      <c r="H41" s="1753">
        <f>F41*$F$20</f>
        <v>0</v>
      </c>
      <c r="I41" s="1754"/>
      <c r="J41" s="983"/>
      <c r="K41" s="983"/>
      <c r="L41" s="1755" t="str">
        <f>IF(D41="","",(K41-J41)*24)</f>
        <v/>
      </c>
      <c r="M41" s="1756" t="str">
        <f>IF(D41="","",(K41-J41)*24*60)</f>
        <v/>
      </c>
      <c r="N41" s="1757"/>
      <c r="O41" s="1758" t="str">
        <f>IF(D41="","",IF(OR(N41="P",N41="RP"),"--","NO"))</f>
        <v/>
      </c>
      <c r="P41" s="3484"/>
      <c r="Q41" s="3485"/>
      <c r="R41" s="1759">
        <f>200*IF(P41="SI",1,0.1)*IF(N41="P",0.1,1)</f>
        <v>20</v>
      </c>
      <c r="S41" s="1760" t="str">
        <f>IF(N41="P",H41*R41*ROUND(M41/60,2),"--")</f>
        <v>--</v>
      </c>
      <c r="T41" s="1761" t="str">
        <f>IF(AND(N41="F",O41="NO"),H41*R41,"--")</f>
        <v>--</v>
      </c>
      <c r="U41" s="1762" t="str">
        <f>IF(N41="F",H41*R41*ROUND(M41/60,2),"--")</f>
        <v>--</v>
      </c>
      <c r="V41" s="1763" t="str">
        <f>IF(N41="RF",H41*R41*ROUND(M41/60,2),"--")</f>
        <v>--</v>
      </c>
      <c r="W41" s="1764"/>
      <c r="X41" s="1765"/>
      <c r="Y41" s="1765"/>
      <c r="Z41" s="1765"/>
      <c r="AA41" s="1766"/>
      <c r="AB41" s="1767" t="str">
        <f>IF(D41="","","SI")</f>
        <v/>
      </c>
      <c r="AC41" s="1768" t="str">
        <f>IF(D41="","",SUM(S41:V41)*IF(AB41="SI",1,2))</f>
        <v/>
      </c>
      <c r="AD41" s="1564"/>
    </row>
    <row r="42" spans="1:30" ht="17.1" customHeight="1">
      <c r="A42" s="1545"/>
      <c r="B42" s="1560"/>
      <c r="C42" s="957" t="s">
        <v>201</v>
      </c>
      <c r="D42" s="1769"/>
      <c r="E42" s="1770"/>
      <c r="F42" s="1771"/>
      <c r="G42" s="1772"/>
      <c r="H42" s="1753">
        <f>F42*$F$20</f>
        <v>0</v>
      </c>
      <c r="I42" s="1754"/>
      <c r="J42" s="1773"/>
      <c r="K42" s="1773"/>
      <c r="L42" s="1755" t="str">
        <f>IF(D42="","",(K42-J42)*24)</f>
        <v/>
      </c>
      <c r="M42" s="1756" t="str">
        <f>IF(D42="","",(K42-J42)*24*60)</f>
        <v/>
      </c>
      <c r="N42" s="1757"/>
      <c r="O42" s="1758" t="str">
        <f>IF(D42="","",IF(OR(N42="P",N42="RP"),"--","NO"))</f>
        <v/>
      </c>
      <c r="P42" s="3484" t="str">
        <f>IF(D42="","","NO")</f>
        <v/>
      </c>
      <c r="Q42" s="3485"/>
      <c r="R42" s="1759">
        <f>200*IF(P42="SI",1,0.1)*IF(N42="P",0.1,1)</f>
        <v>20</v>
      </c>
      <c r="S42" s="1760" t="str">
        <f>IF(N42="P",H42*R42*ROUND(M42/60,2),"--")</f>
        <v>--</v>
      </c>
      <c r="T42" s="1761" t="str">
        <f>IF(AND(N42="F",O42="NO"),H42*R42,"--")</f>
        <v>--</v>
      </c>
      <c r="U42" s="1762" t="str">
        <f>IF(N42="F",H42*R42*ROUND(M42/60,2),"--")</f>
        <v>--</v>
      </c>
      <c r="V42" s="1763" t="str">
        <f>IF(N42="RF",H42*R42*ROUND(M42/60,2),"--")</f>
        <v>--</v>
      </c>
      <c r="W42" s="1764"/>
      <c r="X42" s="1765"/>
      <c r="Y42" s="1765"/>
      <c r="Z42" s="1765"/>
      <c r="AA42" s="1766"/>
      <c r="AB42" s="1767" t="str">
        <f>IF(D42="","","SI")</f>
        <v/>
      </c>
      <c r="AC42" s="1768" t="str">
        <f>IF(D42="","",SUM(S42:V42)*IF(AB42="SI",1,2))</f>
        <v/>
      </c>
      <c r="AD42" s="1564"/>
    </row>
    <row r="43" spans="1:30" ht="17.1" customHeight="1">
      <c r="A43" s="1545"/>
      <c r="B43" s="1560"/>
      <c r="C43" s="957" t="s">
        <v>202</v>
      </c>
      <c r="D43" s="1769"/>
      <c r="E43" s="1770"/>
      <c r="F43" s="1771"/>
      <c r="G43" s="1772"/>
      <c r="H43" s="1753">
        <f>F43*$F$20</f>
        <v>0</v>
      </c>
      <c r="I43" s="1754"/>
      <c r="J43" s="1773"/>
      <c r="K43" s="1773"/>
      <c r="L43" s="1755" t="str">
        <f>IF(D43="","",(K43-J43)*24)</f>
        <v/>
      </c>
      <c r="M43" s="1756" t="str">
        <f>IF(D43="","",(K43-J43)*24*60)</f>
        <v/>
      </c>
      <c r="N43" s="1757"/>
      <c r="O43" s="1758" t="str">
        <f>IF(D43="","",IF(OR(N43="P",N43="RP"),"--","NO"))</f>
        <v/>
      </c>
      <c r="P43" s="3484" t="str">
        <f>IF(D43="","","NO")</f>
        <v/>
      </c>
      <c r="Q43" s="3485"/>
      <c r="R43" s="1759">
        <f>200*IF(P43="SI",1,0.1)*IF(N43="P",0.1,1)</f>
        <v>20</v>
      </c>
      <c r="S43" s="1760" t="str">
        <f>IF(N43="P",H43*R43*ROUND(M43/60,2),"--")</f>
        <v>--</v>
      </c>
      <c r="T43" s="1761" t="str">
        <f>IF(AND(N43="F",O43="NO"),H43*R43,"--")</f>
        <v>--</v>
      </c>
      <c r="U43" s="1762" t="str">
        <f>IF(N43="F",H43*R43*ROUND(M43/60,2),"--")</f>
        <v>--</v>
      </c>
      <c r="V43" s="1763" t="str">
        <f>IF(N43="RF",H43*R43*ROUND(M43/60,2),"--")</f>
        <v>--</v>
      </c>
      <c r="W43" s="1764"/>
      <c r="X43" s="1765"/>
      <c r="Y43" s="1765"/>
      <c r="Z43" s="1765"/>
      <c r="AA43" s="1766"/>
      <c r="AB43" s="1767" t="str">
        <f>IF(D43="","","SI")</f>
        <v/>
      </c>
      <c r="AC43" s="1768" t="str">
        <f>IF(D43="","",SUM(S43:V43)*IF(AB43="SI",1,2))</f>
        <v/>
      </c>
      <c r="AD43" s="1564"/>
    </row>
    <row r="44" spans="1:30" ht="17.1" customHeight="1" thickBot="1">
      <c r="A44" s="1585"/>
      <c r="B44" s="1560"/>
      <c r="C44" s="1679"/>
      <c r="D44" s="1774"/>
      <c r="E44" s="1775"/>
      <c r="F44" s="1776"/>
      <c r="G44" s="1777"/>
      <c r="H44" s="1778"/>
      <c r="I44" s="1779"/>
      <c r="J44" s="1780"/>
      <c r="K44" s="1781"/>
      <c r="L44" s="1782"/>
      <c r="M44" s="1783"/>
      <c r="N44" s="1784"/>
      <c r="O44" s="1687"/>
      <c r="P44" s="3477"/>
      <c r="Q44" s="3478"/>
      <c r="R44" s="1785"/>
      <c r="S44" s="1786"/>
      <c r="T44" s="1787"/>
      <c r="U44" s="1788"/>
      <c r="V44" s="1789"/>
      <c r="W44" s="1790"/>
      <c r="X44" s="1791"/>
      <c r="Y44" s="1791"/>
      <c r="Z44" s="1791"/>
      <c r="AA44" s="1792"/>
      <c r="AB44" s="1793"/>
      <c r="AC44" s="1794"/>
      <c r="AD44" s="1678"/>
    </row>
    <row r="45" spans="1:30" ht="17.1" customHeight="1" thickBot="1" thickTop="1">
      <c r="A45" s="1585"/>
      <c r="B45" s="1560"/>
      <c r="C45" s="1795"/>
      <c r="D45" s="1605"/>
      <c r="E45" s="1605"/>
      <c r="F45" s="1796"/>
      <c r="G45" s="1797"/>
      <c r="H45" s="1798"/>
      <c r="I45" s="1799"/>
      <c r="J45" s="1800"/>
      <c r="K45" s="1801"/>
      <c r="L45" s="1802"/>
      <c r="M45" s="1798"/>
      <c r="N45" s="1803"/>
      <c r="O45" s="1804"/>
      <c r="P45" s="1805"/>
      <c r="Q45" s="1806"/>
      <c r="R45" s="1807"/>
      <c r="S45" s="1807"/>
      <c r="T45" s="1807"/>
      <c r="U45" s="1808"/>
      <c r="V45" s="1808"/>
      <c r="W45" s="1808"/>
      <c r="X45" s="1808"/>
      <c r="Y45" s="1808"/>
      <c r="Z45" s="1808"/>
      <c r="AA45" s="1808"/>
      <c r="AB45" s="1808"/>
      <c r="AC45" s="1809">
        <f>SUM(AC40:AC44)</f>
        <v>0</v>
      </c>
      <c r="AD45" s="1678"/>
    </row>
    <row r="46" spans="1:30" ht="13.5" customHeight="1" thickBot="1" thickTop="1">
      <c r="A46" s="1585"/>
      <c r="B46" s="1560"/>
      <c r="C46" s="1590"/>
      <c r="D46" s="1590"/>
      <c r="E46" s="1590"/>
      <c r="F46" s="1590"/>
      <c r="G46" s="1590"/>
      <c r="H46" s="1590"/>
      <c r="I46" s="1590"/>
      <c r="J46" s="1590"/>
      <c r="K46" s="1590"/>
      <c r="L46" s="1590"/>
      <c r="M46" s="1590"/>
      <c r="N46" s="1590"/>
      <c r="O46" s="1590"/>
      <c r="P46" s="1590"/>
      <c r="Q46" s="1590"/>
      <c r="R46" s="1590"/>
      <c r="S46" s="1590"/>
      <c r="T46" s="1590"/>
      <c r="U46" s="1590"/>
      <c r="V46" s="1590"/>
      <c r="W46" s="1590"/>
      <c r="X46" s="1590"/>
      <c r="Y46" s="1590"/>
      <c r="Z46" s="1590"/>
      <c r="AA46" s="1590"/>
      <c r="AB46" s="1590"/>
      <c r="AC46" s="1590"/>
      <c r="AD46" s="1678"/>
    </row>
    <row r="47" spans="1:33" s="1545" customFormat="1" ht="33.95" customHeight="1" thickBot="1" thickTop="1">
      <c r="A47" s="1544"/>
      <c r="B47" s="1718"/>
      <c r="C47" s="1719" t="s">
        <v>13</v>
      </c>
      <c r="D47" s="1720" t="s">
        <v>27</v>
      </c>
      <c r="E47" s="3507" t="s">
        <v>28</v>
      </c>
      <c r="F47" s="3508"/>
      <c r="G47" s="1810" t="s">
        <v>14</v>
      </c>
      <c r="H47" s="1723" t="s">
        <v>16</v>
      </c>
      <c r="I47" s="1724"/>
      <c r="J47" s="1721" t="s">
        <v>17</v>
      </c>
      <c r="K47" s="1721" t="s">
        <v>18</v>
      </c>
      <c r="L47" s="1720" t="s">
        <v>30</v>
      </c>
      <c r="M47" s="1720" t="s">
        <v>31</v>
      </c>
      <c r="N47" s="1615" t="s">
        <v>102</v>
      </c>
      <c r="O47" s="3507" t="s">
        <v>32</v>
      </c>
      <c r="P47" s="3509"/>
      <c r="Q47" s="3510"/>
      <c r="R47" s="1612" t="s">
        <v>37</v>
      </c>
      <c r="S47" s="1811" t="s">
        <v>70</v>
      </c>
      <c r="T47" s="1812" t="s">
        <v>35</v>
      </c>
      <c r="U47" s="1813"/>
      <c r="V47" s="1814" t="s">
        <v>22</v>
      </c>
      <c r="W47" s="1732"/>
      <c r="X47" s="1732"/>
      <c r="Y47" s="1732"/>
      <c r="Z47" s="1732"/>
      <c r="AA47" s="1733"/>
      <c r="AB47" s="1734" t="s">
        <v>74</v>
      </c>
      <c r="AC47" s="1628" t="s">
        <v>24</v>
      </c>
      <c r="AD47" s="1564"/>
      <c r="AF47" s="1546"/>
      <c r="AG47" s="1546"/>
    </row>
    <row r="48" spans="1:30" ht="17.1" customHeight="1" thickTop="1">
      <c r="A48" s="1545"/>
      <c r="B48" s="1560"/>
      <c r="C48" s="1630"/>
      <c r="D48" s="1735"/>
      <c r="E48" s="3502"/>
      <c r="F48" s="3503"/>
      <c r="G48" s="1815"/>
      <c r="H48" s="1737"/>
      <c r="I48" s="1738"/>
      <c r="J48" s="1735"/>
      <c r="K48" s="1735"/>
      <c r="L48" s="1735"/>
      <c r="M48" s="1735"/>
      <c r="N48" s="1735"/>
      <c r="O48" s="3502"/>
      <c r="P48" s="3504"/>
      <c r="Q48" s="3505"/>
      <c r="R48" s="1816"/>
      <c r="S48" s="1817"/>
      <c r="T48" s="1818"/>
      <c r="U48" s="1819"/>
      <c r="V48" s="1820"/>
      <c r="W48" s="1746"/>
      <c r="X48" s="1746"/>
      <c r="Y48" s="1746"/>
      <c r="Z48" s="1746"/>
      <c r="AA48" s="1747"/>
      <c r="AB48" s="1739"/>
      <c r="AC48" s="1748"/>
      <c r="AD48" s="1564"/>
    </row>
    <row r="49" spans="1:30" ht="15">
      <c r="A49" s="1545"/>
      <c r="B49" s="1560"/>
      <c r="C49" s="1035" t="s">
        <v>200</v>
      </c>
      <c r="D49" s="1821"/>
      <c r="E49" s="3490"/>
      <c r="F49" s="3506"/>
      <c r="G49" s="1822"/>
      <c r="H49" s="1753">
        <f>IF(G49=132,$F$21,IF(G49=500,$F$22,0))</f>
        <v>0</v>
      </c>
      <c r="I49" s="1754"/>
      <c r="J49" s="1823"/>
      <c r="K49" s="1824"/>
      <c r="L49" s="1755"/>
      <c r="M49" s="1756"/>
      <c r="N49" s="1757"/>
      <c r="O49" s="3492"/>
      <c r="P49" s="3493"/>
      <c r="Q49" s="3494"/>
      <c r="R49" s="1816">
        <f>IF(G49=500,200,IF(G49=132,40,0))</f>
        <v>0</v>
      </c>
      <c r="S49" s="1825" t="str">
        <f>IF(N49="P",H49*R49*ROUND(M49/60,2)*0.1,"--")</f>
        <v>--</v>
      </c>
      <c r="T49" s="1826" t="str">
        <f>IF(AND(N49="F",O49="NO"),H49*R49,"--")</f>
        <v>--</v>
      </c>
      <c r="U49" s="1827" t="str">
        <f>IF(N49="F",H49*R49*ROUND(M49/60,2),"--")</f>
        <v>--</v>
      </c>
      <c r="V49" s="1763" t="str">
        <f>IF(N49="RF",H49*R49*ROUND(M49/60,2),"--")</f>
        <v>--</v>
      </c>
      <c r="W49" s="1765"/>
      <c r="X49" s="1765"/>
      <c r="Y49" s="1765"/>
      <c r="Z49" s="1765"/>
      <c r="AA49" s="1766"/>
      <c r="AB49" s="1767"/>
      <c r="AC49" s="1828" t="str">
        <f>IF(D49="","",SUM(S49:V49)*IF(AB49="SI",1,2))</f>
        <v/>
      </c>
      <c r="AD49" s="1678"/>
    </row>
    <row r="50" spans="1:30" ht="17.1" customHeight="1">
      <c r="A50" s="1545"/>
      <c r="B50" s="1560"/>
      <c r="C50" s="957" t="s">
        <v>201</v>
      </c>
      <c r="D50" s="1821"/>
      <c r="E50" s="3490"/>
      <c r="F50" s="3506"/>
      <c r="G50" s="1822"/>
      <c r="H50" s="1753">
        <f>IF(G50=132,$F$21,IF(G50=500,$F$22,0))</f>
        <v>0</v>
      </c>
      <c r="I50" s="1754"/>
      <c r="J50" s="1823"/>
      <c r="K50" s="1824"/>
      <c r="L50" s="1755"/>
      <c r="M50" s="1756"/>
      <c r="N50" s="1757"/>
      <c r="O50" s="3492"/>
      <c r="P50" s="3493"/>
      <c r="Q50" s="3494"/>
      <c r="R50" s="1816">
        <f>IF(G50=500,200,IF(G50=132,40,0))</f>
        <v>0</v>
      </c>
      <c r="S50" s="1825" t="str">
        <f>IF(N50="P",H50*R50*ROUND(M50/60,2)*0.1,"--")</f>
        <v>--</v>
      </c>
      <c r="T50" s="1826" t="str">
        <f>IF(AND(N50="F",O50="NO"),H50*R50,"--")</f>
        <v>--</v>
      </c>
      <c r="U50" s="1827" t="str">
        <f>IF(N50="F",H50*R50*ROUND(M50/60,2),"--")</f>
        <v>--</v>
      </c>
      <c r="V50" s="1763" t="str">
        <f>IF(N50="RF",H50*R50*ROUND(M50/60,2),"--")</f>
        <v>--</v>
      </c>
      <c r="W50" s="1765"/>
      <c r="X50" s="1765"/>
      <c r="Y50" s="1765"/>
      <c r="Z50" s="1765"/>
      <c r="AA50" s="1766"/>
      <c r="AB50" s="1767"/>
      <c r="AC50" s="1828" t="str">
        <f>IF(D50="","",SUM(S50:V50)*IF(AB50="SI",1,2))</f>
        <v/>
      </c>
      <c r="AD50" s="1564"/>
    </row>
    <row r="51" spans="1:30" ht="17.1" customHeight="1">
      <c r="A51" s="1545"/>
      <c r="B51" s="1560"/>
      <c r="C51" s="957" t="s">
        <v>202</v>
      </c>
      <c r="D51" s="1829"/>
      <c r="E51" s="3490"/>
      <c r="F51" s="3491"/>
      <c r="G51" s="1830"/>
      <c r="H51" s="1753">
        <f>IF(G51=132,$F$21,IF(G51=500,$F$22,0))</f>
        <v>0</v>
      </c>
      <c r="I51" s="1754"/>
      <c r="J51" s="1831"/>
      <c r="K51" s="1832"/>
      <c r="L51" s="1755" t="str">
        <f>IF(D51="","",(K51-J51)*24)</f>
        <v/>
      </c>
      <c r="M51" s="1756" t="str">
        <f>IF(D51="","",(K51-J51)*24*60)</f>
        <v/>
      </c>
      <c r="N51" s="1757"/>
      <c r="O51" s="3492" t="str">
        <f>IF(D51="","",IF(N51="P","--","NO"))</f>
        <v/>
      </c>
      <c r="P51" s="3493"/>
      <c r="Q51" s="3494"/>
      <c r="R51" s="1816">
        <f>IF(G51=500,200,IF(G51=132,40,0))</f>
        <v>0</v>
      </c>
      <c r="S51" s="1825" t="str">
        <f>IF(N51="P",H51*R51*ROUND(M51/60,2)*0.1,"--")</f>
        <v>--</v>
      </c>
      <c r="T51" s="1826" t="str">
        <f>IF(AND(N51="F",O51="NO"),H51*R51,"--")</f>
        <v>--</v>
      </c>
      <c r="U51" s="1827" t="str">
        <f>IF(N51="F",H51*R51*ROUND(M51/60,2),"--")</f>
        <v>--</v>
      </c>
      <c r="V51" s="1763" t="str">
        <f>IF(N51="RF",H51*R51*ROUND(M51/60,2),"--")</f>
        <v>--</v>
      </c>
      <c r="W51" s="1765"/>
      <c r="X51" s="1765"/>
      <c r="Y51" s="1765"/>
      <c r="Z51" s="1765"/>
      <c r="AA51" s="1766"/>
      <c r="AB51" s="1767" t="str">
        <f>IF(D51="","","SI")</f>
        <v/>
      </c>
      <c r="AC51" s="1828" t="str">
        <f>IF(D51="","",SUM(S51:V51)*IF(AB51="SI",1,2))</f>
        <v/>
      </c>
      <c r="AD51" s="1564"/>
    </row>
    <row r="52" spans="1:30" ht="17.1" customHeight="1" thickBot="1">
      <c r="A52" s="1585"/>
      <c r="B52" s="1560"/>
      <c r="C52" s="1679"/>
      <c r="D52" s="1774"/>
      <c r="E52" s="3495"/>
      <c r="F52" s="3496"/>
      <c r="G52" s="1833"/>
      <c r="H52" s="1778"/>
      <c r="I52" s="1779"/>
      <c r="J52" s="1780"/>
      <c r="K52" s="1781"/>
      <c r="L52" s="1782"/>
      <c r="M52" s="1783"/>
      <c r="N52" s="1784"/>
      <c r="O52" s="3477"/>
      <c r="P52" s="3497"/>
      <c r="Q52" s="3478"/>
      <c r="R52" s="1816"/>
      <c r="S52" s="1825"/>
      <c r="T52" s="1826"/>
      <c r="U52" s="1827"/>
      <c r="V52" s="1763"/>
      <c r="W52" s="1791"/>
      <c r="X52" s="1791"/>
      <c r="Y52" s="1791"/>
      <c r="Z52" s="1791"/>
      <c r="AA52" s="1792"/>
      <c r="AB52" s="1793"/>
      <c r="AC52" s="1828" t="str">
        <f>IF(D52="","",SUM(S52:V52)*IF(AB52="SI",1,2))</f>
        <v/>
      </c>
      <c r="AD52" s="1678"/>
    </row>
    <row r="53" spans="1:30" ht="17.1" customHeight="1" thickBot="1" thickTop="1">
      <c r="A53" s="1585"/>
      <c r="B53" s="1560"/>
      <c r="C53" s="1795"/>
      <c r="D53" s="1605"/>
      <c r="E53" s="1605"/>
      <c r="F53" s="1796"/>
      <c r="G53" s="1797"/>
      <c r="H53" s="1798"/>
      <c r="I53" s="1799"/>
      <c r="J53" s="1800"/>
      <c r="K53" s="1801"/>
      <c r="L53" s="1802"/>
      <c r="M53" s="1798"/>
      <c r="N53" s="1803"/>
      <c r="O53" s="1804"/>
      <c r="P53" s="1834"/>
      <c r="Q53" s="1835"/>
      <c r="R53" s="1836"/>
      <c r="S53" s="1836"/>
      <c r="T53" s="1836"/>
      <c r="U53" s="1837"/>
      <c r="V53" s="1837"/>
      <c r="W53" s="1837"/>
      <c r="X53" s="1837"/>
      <c r="Y53" s="1837"/>
      <c r="Z53" s="1837"/>
      <c r="AA53" s="1837"/>
      <c r="AB53" s="1837"/>
      <c r="AC53" s="1809">
        <f>ROUND(SUM(AC48:AC52),2)</f>
        <v>0</v>
      </c>
      <c r="AD53" s="1678"/>
    </row>
    <row r="54" spans="1:30" ht="17.1" customHeight="1" thickBot="1" thickTop="1">
      <c r="A54" s="1585"/>
      <c r="B54" s="1560"/>
      <c r="C54" s="1795"/>
      <c r="D54" s="1605"/>
      <c r="E54" s="1605"/>
      <c r="F54" s="1796"/>
      <c r="G54" s="1797"/>
      <c r="H54" s="1798"/>
      <c r="I54" s="1799"/>
      <c r="J54" s="1800"/>
      <c r="K54" s="1801"/>
      <c r="L54" s="1802"/>
      <c r="M54" s="1798"/>
      <c r="N54" s="1803"/>
      <c r="O54" s="1804"/>
      <c r="P54" s="1834"/>
      <c r="Q54" s="1835"/>
      <c r="R54" s="1836"/>
      <c r="S54" s="1836"/>
      <c r="T54" s="1836"/>
      <c r="U54" s="1837"/>
      <c r="V54" s="1837"/>
      <c r="W54" s="1837"/>
      <c r="X54" s="1837"/>
      <c r="Y54" s="1837"/>
      <c r="Z54" s="1837"/>
      <c r="AA54" s="1837"/>
      <c r="AB54" s="1837"/>
      <c r="AC54" s="1838"/>
      <c r="AD54" s="1678"/>
    </row>
    <row r="55" spans="1:30" ht="43.5" customHeight="1" thickBot="1" thickTop="1">
      <c r="A55" s="1585"/>
      <c r="B55" s="1586"/>
      <c r="C55" s="1719" t="s">
        <v>13</v>
      </c>
      <c r="D55" s="1720" t="s">
        <v>27</v>
      </c>
      <c r="E55" s="1613" t="s">
        <v>28</v>
      </c>
      <c r="F55" s="3498" t="s">
        <v>241</v>
      </c>
      <c r="G55" s="3499"/>
      <c r="H55" s="1723" t="s">
        <v>16</v>
      </c>
      <c r="I55" s="1839"/>
      <c r="J55" s="1613" t="s">
        <v>17</v>
      </c>
      <c r="K55" s="1613" t="s">
        <v>18</v>
      </c>
      <c r="L55" s="1616" t="s">
        <v>36</v>
      </c>
      <c r="M55" s="1616" t="s">
        <v>31</v>
      </c>
      <c r="N55" s="1615" t="s">
        <v>19</v>
      </c>
      <c r="O55" s="1615" t="s">
        <v>58</v>
      </c>
      <c r="P55" s="3500" t="s">
        <v>32</v>
      </c>
      <c r="Q55" s="3501"/>
      <c r="R55" s="1840" t="s">
        <v>37</v>
      </c>
      <c r="S55" s="1841" t="s">
        <v>70</v>
      </c>
      <c r="T55" s="1842" t="s">
        <v>237</v>
      </c>
      <c r="U55" s="1843"/>
      <c r="V55" s="1844" t="s">
        <v>238</v>
      </c>
      <c r="W55" s="1845"/>
      <c r="X55" s="1846" t="s">
        <v>22</v>
      </c>
      <c r="Y55" s="1847" t="s">
        <v>21</v>
      </c>
      <c r="Z55" s="1839"/>
      <c r="AA55" s="1839"/>
      <c r="AB55" s="1734" t="s">
        <v>74</v>
      </c>
      <c r="AC55" s="1848" t="s">
        <v>24</v>
      </c>
      <c r="AD55" s="1849"/>
    </row>
    <row r="56" spans="1:30" ht="17.1" customHeight="1" thickTop="1">
      <c r="A56" s="1585"/>
      <c r="B56" s="1586"/>
      <c r="C56" s="1850"/>
      <c r="D56" s="1851"/>
      <c r="E56" s="1851"/>
      <c r="F56" s="3486"/>
      <c r="G56" s="3487"/>
      <c r="H56" s="1852"/>
      <c r="I56" s="1839"/>
      <c r="J56" s="1853"/>
      <c r="K56" s="1853"/>
      <c r="L56" s="1854"/>
      <c r="M56" s="1854"/>
      <c r="N56" s="1851"/>
      <c r="O56" s="1855"/>
      <c r="P56" s="3486"/>
      <c r="Q56" s="3487"/>
      <c r="R56" s="1856"/>
      <c r="S56" s="1857"/>
      <c r="T56" s="1858"/>
      <c r="U56" s="1859"/>
      <c r="V56" s="1860"/>
      <c r="W56" s="1861"/>
      <c r="X56" s="1862"/>
      <c r="Y56" s="1862"/>
      <c r="Z56" s="1839"/>
      <c r="AA56" s="1839"/>
      <c r="AB56" s="1863"/>
      <c r="AC56" s="1864"/>
      <c r="AD56" s="1849"/>
    </row>
    <row r="57" spans="1:30" ht="17.1" customHeight="1">
      <c r="A57" s="1585"/>
      <c r="B57" s="1586"/>
      <c r="C57" s="1035" t="s">
        <v>200</v>
      </c>
      <c r="D57" s="1865"/>
      <c r="E57" s="1865"/>
      <c r="F57" s="3488"/>
      <c r="G57" s="3489"/>
      <c r="H57" s="1866">
        <f>F57*$F$20</f>
        <v>0</v>
      </c>
      <c r="I57" s="1839"/>
      <c r="J57" s="1867"/>
      <c r="K57" s="1868"/>
      <c r="L57" s="1869" t="str">
        <f aca="true" t="shared" si="1" ref="L57:L65">IF(D57="","",(K57-J57)*24)</f>
        <v/>
      </c>
      <c r="M57" s="1870" t="str">
        <f aca="true" t="shared" si="2" ref="M57:M65">IF(D57="","",ROUND((K57-J57)*24*60,0))</f>
        <v/>
      </c>
      <c r="N57" s="1871"/>
      <c r="O57" s="1664" t="str">
        <f aca="true" t="shared" si="3" ref="O57:O65">IF(D57="","","--")</f>
        <v/>
      </c>
      <c r="P57" s="3484" t="str">
        <f>IF(D57="","",IF(OR(N57="P",N57="RP"),"--","NO"))</f>
        <v/>
      </c>
      <c r="Q57" s="3485"/>
      <c r="R57" s="1872">
        <f aca="true" t="shared" si="4" ref="R57:R64">IF(OR(N57="P",N57="RP"),20/10,20)</f>
        <v>20</v>
      </c>
      <c r="S57" s="1873" t="str">
        <f aca="true" t="shared" si="5" ref="S57:S64">IF(N57="P",H57*R57*ROUND(M57/60,2),"--")</f>
        <v>--</v>
      </c>
      <c r="T57" s="1874" t="str">
        <f aca="true" t="shared" si="6" ref="T57:T64">IF(AND(N57="F",P57="NO"),H57*R57,"--")</f>
        <v>--</v>
      </c>
      <c r="U57" s="1875" t="str">
        <f aca="true" t="shared" si="7" ref="U57:U64">IF(N57="F",H57*R57*ROUND(M57/60,2),"--")</f>
        <v>--</v>
      </c>
      <c r="V57" s="1876" t="str">
        <f aca="true" t="shared" si="8" ref="V57:V64">IF(AND(N57="R",P57="NO"),H57*R57*O57/100,"--")</f>
        <v>--</v>
      </c>
      <c r="W57" s="1877" t="str">
        <f aca="true" t="shared" si="9" ref="W57:W64">IF(N57="R",H57*R57*O57/100*ROUND(M57/60,2),"--")</f>
        <v>--</v>
      </c>
      <c r="X57" s="1878" t="str">
        <f aca="true" t="shared" si="10" ref="X57:X64">IF(N57="RF",H57*R57*ROUND(M57/60,2),"--")</f>
        <v>--</v>
      </c>
      <c r="Y57" s="1879" t="str">
        <f aca="true" t="shared" si="11" ref="Y57:Y64">IF(N57="RP",H57*R57*O57/100*ROUND(M57/60,2),"--")</f>
        <v>--</v>
      </c>
      <c r="Z57" s="1839"/>
      <c r="AA57" s="1839"/>
      <c r="AB57" s="1880" t="str">
        <f aca="true" t="shared" si="12" ref="AB57:AB64">IF(D57="","","SI")</f>
        <v/>
      </c>
      <c r="AC57" s="1881" t="str">
        <f aca="true" t="shared" si="13" ref="AC57:AC64">IF(D57="","",SUM(S57:Y57)*IF(AB57="SI",1,2)*IF(AND(O57&lt;&gt;"--",N57="RF"),O57/100,1))</f>
        <v/>
      </c>
      <c r="AD57" s="1849"/>
    </row>
    <row r="58" spans="2:30" s="1585" customFormat="1" ht="17.1" customHeight="1">
      <c r="B58" s="1586"/>
      <c r="C58" s="957" t="s">
        <v>201</v>
      </c>
      <c r="D58" s="1882"/>
      <c r="E58" s="1882"/>
      <c r="F58" s="3482"/>
      <c r="G58" s="3483"/>
      <c r="H58" s="1866">
        <f>F58*$F$20</f>
        <v>0</v>
      </c>
      <c r="I58" s="1839"/>
      <c r="J58" s="1883"/>
      <c r="K58" s="1884"/>
      <c r="L58" s="1885" t="str">
        <f t="shared" si="1"/>
        <v/>
      </c>
      <c r="M58" s="1662" t="str">
        <f t="shared" si="2"/>
        <v/>
      </c>
      <c r="N58" s="1886"/>
      <c r="O58" s="1664" t="str">
        <f t="shared" si="3"/>
        <v/>
      </c>
      <c r="P58" s="3484" t="str">
        <f>IF(D58="","",IF(OR(N58="P",N58="RP"),"--","NO"))</f>
        <v/>
      </c>
      <c r="Q58" s="3485"/>
      <c r="R58" s="1872">
        <f t="shared" si="4"/>
        <v>20</v>
      </c>
      <c r="S58" s="1873" t="str">
        <f t="shared" si="5"/>
        <v>--</v>
      </c>
      <c r="T58" s="1874" t="str">
        <f t="shared" si="6"/>
        <v>--</v>
      </c>
      <c r="U58" s="1875" t="str">
        <f t="shared" si="7"/>
        <v>--</v>
      </c>
      <c r="V58" s="1876" t="str">
        <f t="shared" si="8"/>
        <v>--</v>
      </c>
      <c r="W58" s="1877" t="str">
        <f t="shared" si="9"/>
        <v>--</v>
      </c>
      <c r="X58" s="1878" t="str">
        <f t="shared" si="10"/>
        <v>--</v>
      </c>
      <c r="Y58" s="1887" t="str">
        <f t="shared" si="11"/>
        <v>--</v>
      </c>
      <c r="Z58" s="1839"/>
      <c r="AA58" s="1839"/>
      <c r="AB58" s="1665" t="str">
        <f t="shared" si="12"/>
        <v/>
      </c>
      <c r="AC58" s="1828" t="str">
        <f t="shared" si="13"/>
        <v/>
      </c>
      <c r="AD58" s="1849"/>
    </row>
    <row r="59" spans="2:30" s="1585" customFormat="1" ht="17.1" customHeight="1">
      <c r="B59" s="1586"/>
      <c r="C59" s="957" t="s">
        <v>202</v>
      </c>
      <c r="D59" s="1888"/>
      <c r="E59" s="1889"/>
      <c r="F59" s="3482"/>
      <c r="G59" s="3483"/>
      <c r="H59" s="1890">
        <f>F59*$F$21</f>
        <v>0</v>
      </c>
      <c r="I59" s="1839"/>
      <c r="J59" s="1891"/>
      <c r="K59" s="1892"/>
      <c r="L59" s="1885" t="str">
        <f t="shared" si="1"/>
        <v/>
      </c>
      <c r="M59" s="1662" t="str">
        <f t="shared" si="2"/>
        <v/>
      </c>
      <c r="N59" s="1886"/>
      <c r="O59" s="1664" t="str">
        <f t="shared" si="3"/>
        <v/>
      </c>
      <c r="P59" s="3484" t="str">
        <f aca="true" t="shared" si="14" ref="P59:P64">IF(D59="","",IF(OR(N59="P",N59="RP"),"--","NO"))</f>
        <v/>
      </c>
      <c r="Q59" s="3485"/>
      <c r="R59" s="1872">
        <f t="shared" si="4"/>
        <v>20</v>
      </c>
      <c r="S59" s="1893" t="str">
        <f t="shared" si="5"/>
        <v>--</v>
      </c>
      <c r="T59" s="1874" t="str">
        <f t="shared" si="6"/>
        <v>--</v>
      </c>
      <c r="U59" s="1875" t="str">
        <f t="shared" si="7"/>
        <v>--</v>
      </c>
      <c r="V59" s="1876" t="str">
        <f t="shared" si="8"/>
        <v>--</v>
      </c>
      <c r="W59" s="1877" t="str">
        <f t="shared" si="9"/>
        <v>--</v>
      </c>
      <c r="X59" s="1878" t="str">
        <f t="shared" si="10"/>
        <v>--</v>
      </c>
      <c r="Y59" s="1887" t="str">
        <f t="shared" si="11"/>
        <v>--</v>
      </c>
      <c r="Z59" s="1839"/>
      <c r="AA59" s="1839"/>
      <c r="AB59" s="1665" t="str">
        <f t="shared" si="12"/>
        <v/>
      </c>
      <c r="AC59" s="1828" t="str">
        <f t="shared" si="13"/>
        <v/>
      </c>
      <c r="AD59" s="1849"/>
    </row>
    <row r="60" spans="2:30" s="1585" customFormat="1" ht="17.1" customHeight="1">
      <c r="B60" s="1586"/>
      <c r="C60" s="957" t="s">
        <v>203</v>
      </c>
      <c r="D60" s="1888"/>
      <c r="E60" s="1889"/>
      <c r="F60" s="3482"/>
      <c r="G60" s="3483"/>
      <c r="H60" s="1890">
        <f>F60*$F$20</f>
        <v>0</v>
      </c>
      <c r="I60" s="1839"/>
      <c r="J60" s="1891"/>
      <c r="K60" s="1892"/>
      <c r="L60" s="1885" t="str">
        <f t="shared" si="1"/>
        <v/>
      </c>
      <c r="M60" s="1662" t="str">
        <f t="shared" si="2"/>
        <v/>
      </c>
      <c r="N60" s="1886"/>
      <c r="O60" s="1664" t="str">
        <f t="shared" si="3"/>
        <v/>
      </c>
      <c r="P60" s="3484" t="str">
        <f t="shared" si="14"/>
        <v/>
      </c>
      <c r="Q60" s="3485"/>
      <c r="R60" s="1872">
        <f t="shared" si="4"/>
        <v>20</v>
      </c>
      <c r="S60" s="1893" t="str">
        <f t="shared" si="5"/>
        <v>--</v>
      </c>
      <c r="T60" s="1874" t="str">
        <f t="shared" si="6"/>
        <v>--</v>
      </c>
      <c r="U60" s="1875" t="str">
        <f t="shared" si="7"/>
        <v>--</v>
      </c>
      <c r="V60" s="1876" t="str">
        <f t="shared" si="8"/>
        <v>--</v>
      </c>
      <c r="W60" s="1877" t="str">
        <f t="shared" si="9"/>
        <v>--</v>
      </c>
      <c r="X60" s="1878" t="str">
        <f t="shared" si="10"/>
        <v>--</v>
      </c>
      <c r="Y60" s="1887" t="str">
        <f t="shared" si="11"/>
        <v>--</v>
      </c>
      <c r="Z60" s="1839"/>
      <c r="AA60" s="1839"/>
      <c r="AB60" s="1665" t="str">
        <f t="shared" si="12"/>
        <v/>
      </c>
      <c r="AC60" s="1828" t="str">
        <f t="shared" si="13"/>
        <v/>
      </c>
      <c r="AD60" s="1849"/>
    </row>
    <row r="61" spans="2:30" s="1585" customFormat="1" ht="17.1" customHeight="1">
      <c r="B61" s="1586"/>
      <c r="C61" s="957" t="s">
        <v>204</v>
      </c>
      <c r="D61" s="1888"/>
      <c r="E61" s="1889"/>
      <c r="F61" s="3482"/>
      <c r="G61" s="3483"/>
      <c r="H61" s="1890">
        <f>F61*$F$21</f>
        <v>0</v>
      </c>
      <c r="I61" s="1839"/>
      <c r="J61" s="1891"/>
      <c r="K61" s="1892"/>
      <c r="L61" s="1885" t="str">
        <f t="shared" si="1"/>
        <v/>
      </c>
      <c r="M61" s="1662" t="str">
        <f t="shared" si="2"/>
        <v/>
      </c>
      <c r="N61" s="1886"/>
      <c r="O61" s="1664" t="str">
        <f t="shared" si="3"/>
        <v/>
      </c>
      <c r="P61" s="3484" t="str">
        <f t="shared" si="14"/>
        <v/>
      </c>
      <c r="Q61" s="3485"/>
      <c r="R61" s="1872">
        <f t="shared" si="4"/>
        <v>20</v>
      </c>
      <c r="S61" s="1893" t="str">
        <f t="shared" si="5"/>
        <v>--</v>
      </c>
      <c r="T61" s="1874" t="str">
        <f t="shared" si="6"/>
        <v>--</v>
      </c>
      <c r="U61" s="1875" t="str">
        <f t="shared" si="7"/>
        <v>--</v>
      </c>
      <c r="V61" s="1876" t="str">
        <f t="shared" si="8"/>
        <v>--</v>
      </c>
      <c r="W61" s="1877" t="str">
        <f t="shared" si="9"/>
        <v>--</v>
      </c>
      <c r="X61" s="1878" t="str">
        <f t="shared" si="10"/>
        <v>--</v>
      </c>
      <c r="Y61" s="1887" t="str">
        <f t="shared" si="11"/>
        <v>--</v>
      </c>
      <c r="Z61" s="1839"/>
      <c r="AA61" s="1839"/>
      <c r="AB61" s="1665" t="str">
        <f t="shared" si="12"/>
        <v/>
      </c>
      <c r="AC61" s="1828" t="str">
        <f t="shared" si="13"/>
        <v/>
      </c>
      <c r="AD61" s="1849"/>
    </row>
    <row r="62" spans="1:30" ht="17.1" customHeight="1">
      <c r="A62" s="1585"/>
      <c r="B62" s="1586"/>
      <c r="C62" s="957" t="s">
        <v>205</v>
      </c>
      <c r="D62" s="1888"/>
      <c r="E62" s="1889"/>
      <c r="F62" s="3482"/>
      <c r="G62" s="3483"/>
      <c r="H62" s="1890">
        <f>F62*$F$21</f>
        <v>0</v>
      </c>
      <c r="I62" s="1839"/>
      <c r="J62" s="1891"/>
      <c r="K62" s="1892"/>
      <c r="L62" s="1885" t="str">
        <f t="shared" si="1"/>
        <v/>
      </c>
      <c r="M62" s="1662" t="str">
        <f t="shared" si="2"/>
        <v/>
      </c>
      <c r="N62" s="1886"/>
      <c r="O62" s="1664" t="str">
        <f t="shared" si="3"/>
        <v/>
      </c>
      <c r="P62" s="3484" t="str">
        <f t="shared" si="14"/>
        <v/>
      </c>
      <c r="Q62" s="3485"/>
      <c r="R62" s="1872">
        <f t="shared" si="4"/>
        <v>20</v>
      </c>
      <c r="S62" s="1893" t="str">
        <f t="shared" si="5"/>
        <v>--</v>
      </c>
      <c r="T62" s="1874" t="str">
        <f t="shared" si="6"/>
        <v>--</v>
      </c>
      <c r="U62" s="1875" t="str">
        <f t="shared" si="7"/>
        <v>--</v>
      </c>
      <c r="V62" s="1876" t="str">
        <f t="shared" si="8"/>
        <v>--</v>
      </c>
      <c r="W62" s="1877" t="str">
        <f t="shared" si="9"/>
        <v>--</v>
      </c>
      <c r="X62" s="1878" t="str">
        <f t="shared" si="10"/>
        <v>--</v>
      </c>
      <c r="Y62" s="1887" t="str">
        <f t="shared" si="11"/>
        <v>--</v>
      </c>
      <c r="Z62" s="1839"/>
      <c r="AA62" s="1839"/>
      <c r="AB62" s="1665" t="str">
        <f t="shared" si="12"/>
        <v/>
      </c>
      <c r="AC62" s="1828" t="str">
        <f t="shared" si="13"/>
        <v/>
      </c>
      <c r="AD62" s="1849"/>
    </row>
    <row r="63" spans="1:30" ht="17.1" customHeight="1">
      <c r="A63" s="1585"/>
      <c r="B63" s="1586"/>
      <c r="C63" s="957" t="s">
        <v>206</v>
      </c>
      <c r="D63" s="1888"/>
      <c r="E63" s="1889"/>
      <c r="F63" s="3482"/>
      <c r="G63" s="3483"/>
      <c r="H63" s="1890">
        <f>F63*$F$21</f>
        <v>0</v>
      </c>
      <c r="I63" s="1839"/>
      <c r="J63" s="1891"/>
      <c r="K63" s="1892"/>
      <c r="L63" s="1885" t="str">
        <f t="shared" si="1"/>
        <v/>
      </c>
      <c r="M63" s="1662" t="str">
        <f t="shared" si="2"/>
        <v/>
      </c>
      <c r="N63" s="1886"/>
      <c r="O63" s="1664" t="str">
        <f t="shared" si="3"/>
        <v/>
      </c>
      <c r="P63" s="3484" t="str">
        <f t="shared" si="14"/>
        <v/>
      </c>
      <c r="Q63" s="3485"/>
      <c r="R63" s="1872">
        <f t="shared" si="4"/>
        <v>20</v>
      </c>
      <c r="S63" s="1893" t="str">
        <f t="shared" si="5"/>
        <v>--</v>
      </c>
      <c r="T63" s="1874" t="str">
        <f t="shared" si="6"/>
        <v>--</v>
      </c>
      <c r="U63" s="1875" t="str">
        <f t="shared" si="7"/>
        <v>--</v>
      </c>
      <c r="V63" s="1876" t="str">
        <f t="shared" si="8"/>
        <v>--</v>
      </c>
      <c r="W63" s="1877" t="str">
        <f t="shared" si="9"/>
        <v>--</v>
      </c>
      <c r="X63" s="1878" t="str">
        <f t="shared" si="10"/>
        <v>--</v>
      </c>
      <c r="Y63" s="1887" t="str">
        <f t="shared" si="11"/>
        <v>--</v>
      </c>
      <c r="Z63" s="1839"/>
      <c r="AA63" s="1839"/>
      <c r="AB63" s="1665" t="str">
        <f t="shared" si="12"/>
        <v/>
      </c>
      <c r="AC63" s="1828" t="str">
        <f t="shared" si="13"/>
        <v/>
      </c>
      <c r="AD63" s="1849"/>
    </row>
    <row r="64" spans="1:30" ht="17.1" customHeight="1">
      <c r="A64" s="1585"/>
      <c r="B64" s="1586"/>
      <c r="C64" s="957" t="s">
        <v>207</v>
      </c>
      <c r="D64" s="1888"/>
      <c r="E64" s="1889"/>
      <c r="F64" s="3482"/>
      <c r="G64" s="3483"/>
      <c r="H64" s="1890">
        <f>F64*$F$21</f>
        <v>0</v>
      </c>
      <c r="I64" s="1839"/>
      <c r="J64" s="1891"/>
      <c r="K64" s="1892"/>
      <c r="L64" s="1885" t="str">
        <f t="shared" si="1"/>
        <v/>
      </c>
      <c r="M64" s="1662" t="str">
        <f t="shared" si="2"/>
        <v/>
      </c>
      <c r="N64" s="1886"/>
      <c r="O64" s="1664" t="str">
        <f t="shared" si="3"/>
        <v/>
      </c>
      <c r="P64" s="3484" t="str">
        <f t="shared" si="14"/>
        <v/>
      </c>
      <c r="Q64" s="3485"/>
      <c r="R64" s="1872">
        <f t="shared" si="4"/>
        <v>20</v>
      </c>
      <c r="S64" s="1893" t="str">
        <f t="shared" si="5"/>
        <v>--</v>
      </c>
      <c r="T64" s="1874" t="str">
        <f t="shared" si="6"/>
        <v>--</v>
      </c>
      <c r="U64" s="1875" t="str">
        <f t="shared" si="7"/>
        <v>--</v>
      </c>
      <c r="V64" s="1876" t="str">
        <f t="shared" si="8"/>
        <v>--</v>
      </c>
      <c r="W64" s="1877" t="str">
        <f t="shared" si="9"/>
        <v>--</v>
      </c>
      <c r="X64" s="1878" t="str">
        <f t="shared" si="10"/>
        <v>--</v>
      </c>
      <c r="Y64" s="1887" t="str">
        <f t="shared" si="11"/>
        <v>--</v>
      </c>
      <c r="Z64" s="1839"/>
      <c r="AA64" s="1839"/>
      <c r="AB64" s="1665" t="str">
        <f t="shared" si="12"/>
        <v/>
      </c>
      <c r="AC64" s="1828" t="str">
        <f t="shared" si="13"/>
        <v/>
      </c>
      <c r="AD64" s="1849"/>
    </row>
    <row r="65" spans="1:30" ht="17.1" customHeight="1" thickBot="1">
      <c r="A65" s="1585"/>
      <c r="B65" s="1586"/>
      <c r="C65" s="1894"/>
      <c r="D65" s="1895"/>
      <c r="E65" s="1896"/>
      <c r="F65" s="3475"/>
      <c r="G65" s="3476"/>
      <c r="H65" s="1890">
        <f>F65*$F$21</f>
        <v>0</v>
      </c>
      <c r="I65" s="1839"/>
      <c r="J65" s="1897"/>
      <c r="K65" s="1898"/>
      <c r="L65" s="1899" t="str">
        <f t="shared" si="1"/>
        <v/>
      </c>
      <c r="M65" s="1900" t="str">
        <f t="shared" si="2"/>
        <v/>
      </c>
      <c r="N65" s="1901"/>
      <c r="O65" s="1902" t="str">
        <f t="shared" si="3"/>
        <v/>
      </c>
      <c r="P65" s="3477"/>
      <c r="Q65" s="3478"/>
      <c r="R65" s="1903"/>
      <c r="S65" s="1904"/>
      <c r="T65" s="1905"/>
      <c r="U65" s="1906"/>
      <c r="V65" s="1907"/>
      <c r="W65" s="1908"/>
      <c r="X65" s="1909"/>
      <c r="Y65" s="1910"/>
      <c r="Z65" s="1791"/>
      <c r="AA65" s="1791"/>
      <c r="AB65" s="1687"/>
      <c r="AC65" s="1911"/>
      <c r="AD65" s="1849"/>
    </row>
    <row r="66" spans="1:30" ht="17.1" customHeight="1" thickBot="1" thickTop="1">
      <c r="A66" s="1585"/>
      <c r="B66" s="1586"/>
      <c r="C66" s="1795"/>
      <c r="D66" s="1605"/>
      <c r="E66" s="1837"/>
      <c r="F66" s="1837"/>
      <c r="G66" s="1837"/>
      <c r="H66" s="1837"/>
      <c r="I66" s="1837"/>
      <c r="J66" s="1837"/>
      <c r="K66" s="1837"/>
      <c r="L66" s="1837"/>
      <c r="M66" s="1837"/>
      <c r="N66" s="1837"/>
      <c r="O66" s="1837"/>
      <c r="P66" s="1837"/>
      <c r="Q66" s="1837"/>
      <c r="R66" s="1837"/>
      <c r="S66" s="1837"/>
      <c r="T66" s="1837"/>
      <c r="U66" s="1837"/>
      <c r="V66" s="1837"/>
      <c r="W66" s="1837"/>
      <c r="X66" s="1837"/>
      <c r="Y66" s="1837"/>
      <c r="Z66" s="1837"/>
      <c r="AA66" s="1837"/>
      <c r="AB66" s="1837"/>
      <c r="AC66" s="1809">
        <f>SUM(AC56:AC65)</f>
        <v>0</v>
      </c>
      <c r="AD66" s="1849"/>
    </row>
    <row r="67" spans="1:30" ht="17.1" customHeight="1" thickBot="1" thickTop="1">
      <c r="A67" s="1585"/>
      <c r="B67" s="1586"/>
      <c r="C67" s="1795"/>
      <c r="D67" s="1605"/>
      <c r="E67" s="1837"/>
      <c r="F67" s="1837"/>
      <c r="G67" s="1837"/>
      <c r="H67" s="1837"/>
      <c r="I67" s="1837"/>
      <c r="J67" s="1837"/>
      <c r="K67" s="1837"/>
      <c r="L67" s="1837"/>
      <c r="M67" s="1837"/>
      <c r="N67" s="1837"/>
      <c r="O67" s="1837"/>
      <c r="P67" s="1837"/>
      <c r="Q67" s="1837"/>
      <c r="R67" s="1837"/>
      <c r="S67" s="1837"/>
      <c r="T67" s="1837"/>
      <c r="U67" s="1837"/>
      <c r="V67" s="1837"/>
      <c r="W67" s="1837"/>
      <c r="X67" s="1837"/>
      <c r="Y67" s="1837"/>
      <c r="Z67" s="1837"/>
      <c r="AA67" s="1837"/>
      <c r="AB67" s="1837"/>
      <c r="AC67" s="1912"/>
      <c r="AD67" s="1849"/>
    </row>
    <row r="68" spans="1:30" ht="17.1" customHeight="1" thickBot="1" thickTop="1">
      <c r="A68" s="1585"/>
      <c r="B68" s="1560"/>
      <c r="C68" s="1795"/>
      <c r="D68" s="1605"/>
      <c r="E68" s="1605"/>
      <c r="F68" s="1796"/>
      <c r="G68" s="1797"/>
      <c r="H68" s="1798"/>
      <c r="I68" s="1799"/>
      <c r="J68" s="1603" t="s">
        <v>42</v>
      </c>
      <c r="K68" s="1604">
        <f>+AC45+AC37+AC53+AC66</f>
        <v>249949.904864</v>
      </c>
      <c r="L68" s="1802"/>
      <c r="M68" s="1798"/>
      <c r="N68" s="1913"/>
      <c r="O68" s="1914"/>
      <c r="P68" s="1834"/>
      <c r="Q68" s="1835"/>
      <c r="R68" s="1836"/>
      <c r="S68" s="1836"/>
      <c r="T68" s="1836"/>
      <c r="U68" s="1837"/>
      <c r="V68" s="1837"/>
      <c r="W68" s="1837"/>
      <c r="X68" s="1837"/>
      <c r="Y68" s="1837"/>
      <c r="Z68" s="1837"/>
      <c r="AA68" s="1837"/>
      <c r="AB68" s="1837"/>
      <c r="AC68" s="1915"/>
      <c r="AD68" s="1678"/>
    </row>
    <row r="69" spans="1:30" ht="13.5" customHeight="1" thickTop="1">
      <c r="A69" s="1585"/>
      <c r="B69" s="1586"/>
      <c r="C69" s="1590"/>
      <c r="D69" s="1916"/>
      <c r="E69" s="1917"/>
      <c r="F69" s="1918"/>
      <c r="G69" s="1919"/>
      <c r="H69" s="1919"/>
      <c r="I69" s="1917"/>
      <c r="J69" s="1920"/>
      <c r="K69" s="1920"/>
      <c r="L69" s="1917"/>
      <c r="M69" s="1917"/>
      <c r="N69" s="1917"/>
      <c r="O69" s="1921"/>
      <c r="P69" s="1917"/>
      <c r="Q69" s="1917"/>
      <c r="R69" s="1922"/>
      <c r="S69" s="1923"/>
      <c r="T69" s="1923"/>
      <c r="U69" s="1924"/>
      <c r="AC69" s="1924"/>
      <c r="AD69" s="1849"/>
    </row>
    <row r="70" spans="1:30" ht="17.1" customHeight="1">
      <c r="A70" s="1585"/>
      <c r="B70" s="1586"/>
      <c r="C70" s="1925" t="s">
        <v>104</v>
      </c>
      <c r="D70" s="1926" t="s">
        <v>138</v>
      </c>
      <c r="E70" s="1917"/>
      <c r="F70" s="1918"/>
      <c r="G70" s="1919"/>
      <c r="H70" s="1919"/>
      <c r="I70" s="1917"/>
      <c r="J70" s="1920"/>
      <c r="K70" s="1920"/>
      <c r="L70" s="1917"/>
      <c r="M70" s="1917"/>
      <c r="N70" s="1917"/>
      <c r="O70" s="1921"/>
      <c r="P70" s="1917"/>
      <c r="Q70" s="1917"/>
      <c r="R70" s="1922"/>
      <c r="S70" s="1923"/>
      <c r="T70" s="1923"/>
      <c r="U70" s="1924"/>
      <c r="AC70" s="1924"/>
      <c r="AD70" s="1849"/>
    </row>
    <row r="71" spans="1:30" ht="17.1" customHeight="1">
      <c r="A71" s="1585"/>
      <c r="B71" s="1586"/>
      <c r="C71" s="1925"/>
      <c r="D71" s="1916"/>
      <c r="E71" s="1917"/>
      <c r="F71" s="1918"/>
      <c r="G71" s="1919"/>
      <c r="H71" s="1919"/>
      <c r="I71" s="1917"/>
      <c r="J71" s="1920"/>
      <c r="K71" s="1920"/>
      <c r="L71" s="1917"/>
      <c r="M71" s="1917"/>
      <c r="N71" s="1917"/>
      <c r="O71" s="1921"/>
      <c r="P71" s="1917"/>
      <c r="Q71" s="1917"/>
      <c r="R71" s="1917"/>
      <c r="S71" s="1922"/>
      <c r="T71" s="1923"/>
      <c r="AD71" s="1849"/>
    </row>
    <row r="72" spans="2:30" s="1585" customFormat="1" ht="17.1" customHeight="1">
      <c r="B72" s="1586"/>
      <c r="C72" s="1590"/>
      <c r="D72" s="1927" t="s">
        <v>0</v>
      </c>
      <c r="E72" s="1703" t="s">
        <v>105</v>
      </c>
      <c r="F72" s="1703" t="s">
        <v>43</v>
      </c>
      <c r="G72" s="1928" t="s">
        <v>139</v>
      </c>
      <c r="H72" s="1704"/>
      <c r="I72" s="1703"/>
      <c r="J72" s="1546"/>
      <c r="K72" s="1546"/>
      <c r="L72" s="1929" t="s">
        <v>140</v>
      </c>
      <c r="M72" s="1546"/>
      <c r="N72" s="1546"/>
      <c r="O72" s="1546"/>
      <c r="P72" s="1546"/>
      <c r="Q72" s="1930"/>
      <c r="R72" s="1930"/>
      <c r="S72" s="1587"/>
      <c r="T72" s="1546"/>
      <c r="U72" s="1546"/>
      <c r="V72" s="1546"/>
      <c r="W72" s="1546"/>
      <c r="X72" s="1587"/>
      <c r="Y72" s="1587"/>
      <c r="Z72" s="1587"/>
      <c r="AA72" s="1587"/>
      <c r="AB72" s="1587"/>
      <c r="AC72" s="1931" t="s">
        <v>142</v>
      </c>
      <c r="AD72" s="1849"/>
    </row>
    <row r="73" spans="2:30" s="1585" customFormat="1" ht="17.1" customHeight="1">
      <c r="B73" s="1586"/>
      <c r="C73" s="1590"/>
      <c r="D73" s="1703" t="s">
        <v>117</v>
      </c>
      <c r="E73" s="1932">
        <v>506</v>
      </c>
      <c r="F73" s="1932">
        <v>500</v>
      </c>
      <c r="G73" s="1933">
        <f>E73*$F$19*$L$20/100</f>
        <v>1905355.83216</v>
      </c>
      <c r="H73" s="1933"/>
      <c r="I73" s="1933"/>
      <c r="J73" s="1575"/>
      <c r="K73" s="1546"/>
      <c r="L73" s="1934">
        <v>733957</v>
      </c>
      <c r="M73" s="1575"/>
      <c r="N73" s="643" t="str">
        <f ca="1">"(DTE "&amp;DATO!$G$14&amp;DATO!$H$14&amp;")"</f>
        <v>(DTE 0116)</v>
      </c>
      <c r="O73" s="1546"/>
      <c r="P73" s="1546"/>
      <c r="Q73" s="1930"/>
      <c r="R73" s="1930"/>
      <c r="S73" s="1587"/>
      <c r="T73" s="1546"/>
      <c r="U73" s="1546"/>
      <c r="V73" s="1546"/>
      <c r="W73" s="1546"/>
      <c r="X73" s="1587"/>
      <c r="Y73" s="1587"/>
      <c r="Z73" s="1587"/>
      <c r="AA73" s="1587"/>
      <c r="AB73" s="1935"/>
      <c r="AC73" s="1936">
        <f>L73+G73</f>
        <v>2639312.8321599998</v>
      </c>
      <c r="AD73" s="1849"/>
    </row>
    <row r="74" spans="2:30" s="1585" customFormat="1" ht="17.1" customHeight="1">
      <c r="B74" s="1586"/>
      <c r="C74" s="1590"/>
      <c r="D74" s="1937" t="s">
        <v>118</v>
      </c>
      <c r="E74" s="1932">
        <v>85</v>
      </c>
      <c r="F74" s="1932">
        <v>500</v>
      </c>
      <c r="G74" s="1933">
        <f>E74*$F$19*$L$20/100</f>
        <v>320069.6556</v>
      </c>
      <c r="H74" s="1937"/>
      <c r="I74" s="1938"/>
      <c r="J74" s="1575"/>
      <c r="K74" s="1546"/>
      <c r="L74" s="1933">
        <v>23841</v>
      </c>
      <c r="M74" s="1575"/>
      <c r="N74" s="643" t="str">
        <f ca="1">"(DTE "&amp;DATO!$G$14&amp;DATO!$H$14&amp;")"</f>
        <v>(DTE 0116)</v>
      </c>
      <c r="O74" s="1939"/>
      <c r="P74" s="1546"/>
      <c r="Q74" s="1930"/>
      <c r="R74" s="1930"/>
      <c r="S74" s="1587"/>
      <c r="T74" s="1546"/>
      <c r="U74" s="1546"/>
      <c r="V74" s="1546"/>
      <c r="W74" s="1546"/>
      <c r="X74" s="1587"/>
      <c r="Y74" s="1587"/>
      <c r="Z74" s="1587"/>
      <c r="AA74" s="1587"/>
      <c r="AB74" s="1587"/>
      <c r="AC74" s="1936">
        <f>L74+G74</f>
        <v>343910.6556</v>
      </c>
      <c r="AD74" s="1849"/>
    </row>
    <row r="75" spans="2:30" s="1585" customFormat="1" ht="17.1" customHeight="1">
      <c r="B75" s="1586"/>
      <c r="C75" s="1590"/>
      <c r="E75" s="1595"/>
      <c r="F75" s="1703"/>
      <c r="G75" s="1704"/>
      <c r="H75" s="1546"/>
      <c r="I75" s="1703"/>
      <c r="J75" s="1703"/>
      <c r="K75" s="1546"/>
      <c r="L75" s="1936"/>
      <c r="M75" s="1940"/>
      <c r="N75" s="1940"/>
      <c r="O75" s="1930"/>
      <c r="P75" s="1930"/>
      <c r="Q75" s="1930"/>
      <c r="R75" s="1930"/>
      <c r="S75" s="1587"/>
      <c r="T75" s="1546"/>
      <c r="U75" s="1546"/>
      <c r="V75" s="1546"/>
      <c r="W75" s="1546"/>
      <c r="X75" s="1587"/>
      <c r="Y75" s="1587"/>
      <c r="Z75" s="1587"/>
      <c r="AA75" s="1587"/>
      <c r="AB75" s="1587"/>
      <c r="AC75" s="1936"/>
      <c r="AD75" s="1849"/>
    </row>
    <row r="76" spans="1:30" ht="17.1" customHeight="1">
      <c r="A76" s="1585"/>
      <c r="B76" s="1586"/>
      <c r="C76" s="1590"/>
      <c r="D76" s="1927" t="s">
        <v>119</v>
      </c>
      <c r="E76" s="1703" t="s">
        <v>120</v>
      </c>
      <c r="F76" s="1703" t="s">
        <v>43</v>
      </c>
      <c r="G76" s="1928" t="s">
        <v>143</v>
      </c>
      <c r="I76" s="1941"/>
      <c r="J76" s="1703"/>
      <c r="L76" s="1929" t="s">
        <v>141</v>
      </c>
      <c r="M76" s="1941"/>
      <c r="N76" s="1940"/>
      <c r="O76" s="1930"/>
      <c r="P76" s="1930"/>
      <c r="Q76" s="1930"/>
      <c r="R76" s="1930"/>
      <c r="S76" s="1930"/>
      <c r="AC76" s="1936"/>
      <c r="AD76" s="1849"/>
    </row>
    <row r="77" spans="1:30" ht="17.1" customHeight="1">
      <c r="A77" s="1585"/>
      <c r="B77" s="1586"/>
      <c r="C77" s="1590"/>
      <c r="D77" s="1703" t="s">
        <v>121</v>
      </c>
      <c r="E77" s="1932">
        <v>300</v>
      </c>
      <c r="F77" s="1932" t="s">
        <v>122</v>
      </c>
      <c r="G77" s="1933">
        <f>E77*F20*L20</f>
        <v>310471.2</v>
      </c>
      <c r="H77" s="1575"/>
      <c r="I77" s="1575"/>
      <c r="J77" s="1934"/>
      <c r="L77" s="1934">
        <v>0</v>
      </c>
      <c r="M77" s="1575"/>
      <c r="N77" s="643" t="str">
        <f ca="1">"(DTE "&amp;DATO!$G$14&amp;DATO!$H$14&amp;")"</f>
        <v>(DTE 0116)</v>
      </c>
      <c r="O77" s="1942"/>
      <c r="P77" s="1942"/>
      <c r="Q77" s="1942"/>
      <c r="R77" s="1942"/>
      <c r="S77" s="1942"/>
      <c r="AC77" s="1943">
        <f>G77</f>
        <v>310471.2</v>
      </c>
      <c r="AD77" s="1849"/>
    </row>
    <row r="78" spans="1:30" ht="17.1" customHeight="1">
      <c r="A78" s="1585"/>
      <c r="B78" s="1586"/>
      <c r="C78" s="1590"/>
      <c r="D78" s="1703"/>
      <c r="E78" s="1932"/>
      <c r="F78" s="1932"/>
      <c r="G78" s="1933"/>
      <c r="H78" s="1575"/>
      <c r="I78" s="1575"/>
      <c r="J78" s="1934"/>
      <c r="L78" s="1934"/>
      <c r="M78" s="1575"/>
      <c r="N78" s="1944"/>
      <c r="O78" s="1942"/>
      <c r="P78" s="1942"/>
      <c r="Q78" s="1942"/>
      <c r="R78" s="1942"/>
      <c r="S78" s="1942"/>
      <c r="AC78" s="1943"/>
      <c r="AD78" s="1849"/>
    </row>
    <row r="79" spans="1:30" ht="17.1" customHeight="1">
      <c r="A79" s="1585"/>
      <c r="B79" s="1586"/>
      <c r="C79" s="1590"/>
      <c r="D79" s="1927" t="s">
        <v>61</v>
      </c>
      <c r="E79" s="1938" t="s">
        <v>1</v>
      </c>
      <c r="F79" s="1938"/>
      <c r="G79" s="1703" t="s">
        <v>43</v>
      </c>
      <c r="I79" s="1941"/>
      <c r="J79" s="1928" t="s">
        <v>144</v>
      </c>
      <c r="L79" s="1929"/>
      <c r="M79" s="1941"/>
      <c r="N79" s="1940"/>
      <c r="O79" s="1930"/>
      <c r="P79" s="1930"/>
      <c r="Q79" s="1930"/>
      <c r="R79" s="1930"/>
      <c r="S79" s="1930"/>
      <c r="AC79" s="1936"/>
      <c r="AD79" s="1849"/>
    </row>
    <row r="80" spans="1:30" ht="17.1" customHeight="1">
      <c r="A80" s="1585"/>
      <c r="B80" s="1586"/>
      <c r="C80" s="1590"/>
      <c r="D80" s="1703" t="s">
        <v>123</v>
      </c>
      <c r="E80" s="1945" t="s">
        <v>124</v>
      </c>
      <c r="F80" s="1946"/>
      <c r="G80" s="1932">
        <v>132</v>
      </c>
      <c r="H80" s="1575"/>
      <c r="I80" s="1575"/>
      <c r="J80" s="1933">
        <f>F21*L20*3</f>
        <v>492894.792</v>
      </c>
      <c r="L80" s="1934"/>
      <c r="M80" s="1575"/>
      <c r="N80" s="1944"/>
      <c r="O80" s="1942"/>
      <c r="P80" s="1942"/>
      <c r="Q80" s="1942"/>
      <c r="R80" s="1942"/>
      <c r="S80" s="1942"/>
      <c r="AC80" s="1943">
        <f>J80</f>
        <v>492894.792</v>
      </c>
      <c r="AD80" s="1849"/>
    </row>
    <row r="81" spans="1:30" ht="17.1" customHeight="1">
      <c r="A81" s="1585"/>
      <c r="B81" s="1586"/>
      <c r="C81" s="1590"/>
      <c r="D81" s="1703" t="s">
        <v>123</v>
      </c>
      <c r="E81" s="1945" t="s">
        <v>373</v>
      </c>
      <c r="F81" s="1946"/>
      <c r="G81" s="1932">
        <v>500</v>
      </c>
      <c r="H81" s="1575"/>
      <c r="I81" s="1575"/>
      <c r="J81" s="1933">
        <f>F22*L20*2</f>
        <v>410737.10400000005</v>
      </c>
      <c r="L81" s="1934"/>
      <c r="M81" s="1575"/>
      <c r="N81" s="1944"/>
      <c r="O81" s="1942"/>
      <c r="P81" s="1942"/>
      <c r="Q81" s="1942"/>
      <c r="R81" s="1942"/>
      <c r="S81" s="1942"/>
      <c r="AC81" s="1943">
        <f>J81</f>
        <v>410737.10400000005</v>
      </c>
      <c r="AD81" s="1849"/>
    </row>
    <row r="82" spans="1:30" ht="7.5" customHeight="1">
      <c r="A82" s="1585"/>
      <c r="B82" s="1586"/>
      <c r="C82" s="1590"/>
      <c r="D82" s="1703"/>
      <c r="E82" s="1945"/>
      <c r="F82" s="1946"/>
      <c r="G82" s="1932"/>
      <c r="H82" s="1575"/>
      <c r="I82" s="1575"/>
      <c r="J82" s="1933"/>
      <c r="L82" s="1934"/>
      <c r="M82" s="1575"/>
      <c r="N82" s="1944"/>
      <c r="O82" s="1942"/>
      <c r="P82" s="1942"/>
      <c r="Q82" s="1942"/>
      <c r="R82" s="1942"/>
      <c r="S82" s="1942"/>
      <c r="AC82" s="1943"/>
      <c r="AD82" s="1849"/>
    </row>
    <row r="83" spans="1:30" ht="17.1" customHeight="1">
      <c r="A83" s="1585"/>
      <c r="B83" s="1586"/>
      <c r="C83" s="1590"/>
      <c r="D83" s="1927" t="s">
        <v>61</v>
      </c>
      <c r="E83" s="1703" t="s">
        <v>374</v>
      </c>
      <c r="F83" s="1946"/>
      <c r="G83" s="1928" t="s">
        <v>375</v>
      </c>
      <c r="H83" s="1575"/>
      <c r="I83" s="1575"/>
      <c r="J83" s="1933"/>
      <c r="L83" s="1934"/>
      <c r="M83" s="1575"/>
      <c r="N83" s="1944"/>
      <c r="O83" s="1942"/>
      <c r="P83" s="1942"/>
      <c r="Q83" s="1942"/>
      <c r="R83" s="1942"/>
      <c r="S83" s="1942"/>
      <c r="AC83" s="1943"/>
      <c r="AD83" s="1849"/>
    </row>
    <row r="84" spans="1:30" ht="17.1" customHeight="1">
      <c r="A84" s="1585"/>
      <c r="B84" s="1586"/>
      <c r="C84" s="1590"/>
      <c r="D84" s="1947" t="s">
        <v>123</v>
      </c>
      <c r="E84" s="1948">
        <v>160</v>
      </c>
      <c r="F84" s="1949"/>
      <c r="G84" s="3479">
        <f>E84*$F$20*$L$20</f>
        <v>165584.64</v>
      </c>
      <c r="H84" s="3479"/>
      <c r="I84" s="3479"/>
      <c r="J84" s="1933"/>
      <c r="L84" s="1934"/>
      <c r="M84" s="1575"/>
      <c r="N84" s="1944"/>
      <c r="O84" s="1942"/>
      <c r="P84" s="1942"/>
      <c r="Q84" s="1942"/>
      <c r="R84" s="1942"/>
      <c r="S84" s="1942"/>
      <c r="AC84" s="1943">
        <f>G84</f>
        <v>165584.64</v>
      </c>
      <c r="AD84" s="1849"/>
    </row>
    <row r="85" spans="1:30" ht="17.1" customHeight="1">
      <c r="A85" s="1585"/>
      <c r="B85" s="1586"/>
      <c r="C85" s="1590"/>
      <c r="D85" s="1947" t="s">
        <v>376</v>
      </c>
      <c r="E85" s="1948">
        <v>160</v>
      </c>
      <c r="F85" s="1950"/>
      <c r="G85" s="3480">
        <f>E85*$F$20*$L$20</f>
        <v>165584.64</v>
      </c>
      <c r="H85" s="3480"/>
      <c r="I85" s="3480"/>
      <c r="J85" s="1933"/>
      <c r="L85" s="1934"/>
      <c r="M85" s="1575"/>
      <c r="N85" s="1944"/>
      <c r="O85" s="1942"/>
      <c r="P85" s="1942"/>
      <c r="Q85" s="1942"/>
      <c r="R85" s="1942"/>
      <c r="S85" s="1942"/>
      <c r="AC85" s="1951">
        <f>G85</f>
        <v>165584.64</v>
      </c>
      <c r="AD85" s="1849"/>
    </row>
    <row r="86" spans="1:30" ht="17.1" customHeight="1">
      <c r="A86" s="1585"/>
      <c r="B86" s="1586"/>
      <c r="C86" s="1590"/>
      <c r="D86" s="1703"/>
      <c r="E86" s="1945"/>
      <c r="F86" s="1946"/>
      <c r="G86" s="3481">
        <f>SUM(G84:I85)</f>
        <v>331169.28</v>
      </c>
      <c r="H86" s="3481"/>
      <c r="I86" s="3481"/>
      <c r="J86" s="1933"/>
      <c r="L86" s="1934"/>
      <c r="M86" s="1575"/>
      <c r="N86" s="1944"/>
      <c r="O86" s="1942"/>
      <c r="P86" s="1942"/>
      <c r="Q86" s="1942"/>
      <c r="R86" s="1942"/>
      <c r="S86" s="1942"/>
      <c r="AC86" s="1943"/>
      <c r="AD86" s="1849"/>
    </row>
    <row r="87" spans="1:30" ht="6.75" customHeight="1" thickBot="1">
      <c r="A87" s="1585"/>
      <c r="B87" s="1586"/>
      <c r="C87" s="1590"/>
      <c r="D87" s="1920"/>
      <c r="E87" s="1595"/>
      <c r="F87" s="1703"/>
      <c r="G87" s="1703"/>
      <c r="H87" s="1704"/>
      <c r="J87" s="1703"/>
      <c r="L87" s="1952"/>
      <c r="M87" s="1940"/>
      <c r="N87" s="1940"/>
      <c r="O87" s="1930"/>
      <c r="P87" s="1930"/>
      <c r="Q87" s="1930"/>
      <c r="R87" s="1930"/>
      <c r="S87" s="1930"/>
      <c r="AA87" s="1582"/>
      <c r="AD87" s="1849"/>
    </row>
    <row r="88" spans="2:30" ht="17.1" customHeight="1" thickBot="1" thickTop="1">
      <c r="B88" s="1586"/>
      <c r="C88" s="1925" t="s">
        <v>108</v>
      </c>
      <c r="D88" s="1953" t="s">
        <v>109</v>
      </c>
      <c r="E88" s="1703"/>
      <c r="F88" s="1954"/>
      <c r="G88" s="1702"/>
      <c r="H88" s="1920"/>
      <c r="I88" s="1920"/>
      <c r="J88" s="1920"/>
      <c r="K88" s="1703"/>
      <c r="L88" s="1703"/>
      <c r="M88" s="1920"/>
      <c r="N88" s="1703"/>
      <c r="O88" s="1920"/>
      <c r="P88" s="1920"/>
      <c r="Q88" s="1920"/>
      <c r="R88" s="1920"/>
      <c r="S88" s="1920"/>
      <c r="T88" s="1920"/>
      <c r="U88" s="1920"/>
      <c r="AB88" s="1603" t="s">
        <v>44</v>
      </c>
      <c r="AC88" s="1604">
        <f>SUM(AC73:AC85)</f>
        <v>4528495.863759999</v>
      </c>
      <c r="AD88" s="1849"/>
    </row>
    <row r="89" spans="2:30" s="1585" customFormat="1" ht="17.1" customHeight="1" thickTop="1">
      <c r="B89" s="1586"/>
      <c r="C89" s="1590"/>
      <c r="D89" s="1927" t="s">
        <v>110</v>
      </c>
      <c r="E89" s="1955">
        <f>10*K68*K26/AC88</f>
        <v>62487.47621600002</v>
      </c>
      <c r="G89" s="1702"/>
      <c r="L89" s="1703"/>
      <c r="N89" s="1703"/>
      <c r="O89" s="1704"/>
      <c r="V89" s="1546"/>
      <c r="W89" s="1546"/>
      <c r="AD89" s="1849"/>
    </row>
    <row r="90" spans="2:30" s="1585" customFormat="1" ht="17.1" customHeight="1">
      <c r="B90" s="1586"/>
      <c r="C90" s="1590"/>
      <c r="E90" s="1956"/>
      <c r="F90" s="1601"/>
      <c r="G90" s="1702"/>
      <c r="J90" s="1702"/>
      <c r="K90" s="1717"/>
      <c r="L90" s="1703"/>
      <c r="M90" s="1703"/>
      <c r="N90" s="1703"/>
      <c r="O90" s="1704"/>
      <c r="P90" s="1703"/>
      <c r="Q90" s="1703"/>
      <c r="R90" s="1716"/>
      <c r="S90" s="1716"/>
      <c r="T90" s="1716"/>
      <c r="U90" s="1957"/>
      <c r="V90" s="1546"/>
      <c r="W90" s="1546"/>
      <c r="AC90" s="1957"/>
      <c r="AD90" s="1849"/>
    </row>
    <row r="91" spans="2:30" ht="17.1" customHeight="1">
      <c r="B91" s="1586"/>
      <c r="C91" s="1590"/>
      <c r="D91" s="1958" t="s">
        <v>298</v>
      </c>
      <c r="E91" s="1959"/>
      <c r="F91" s="1601"/>
      <c r="G91" s="1702"/>
      <c r="H91" s="1920"/>
      <c r="I91" s="1920"/>
      <c r="N91" s="1703"/>
      <c r="O91" s="1704"/>
      <c r="P91" s="1703"/>
      <c r="Q91" s="1703"/>
      <c r="R91" s="1941"/>
      <c r="S91" s="1941"/>
      <c r="T91" s="1941"/>
      <c r="U91" s="1940"/>
      <c r="AC91" s="1940"/>
      <c r="AD91" s="1849"/>
    </row>
    <row r="92" spans="2:30" ht="17.1" customHeight="1" thickBot="1">
      <c r="B92" s="1586"/>
      <c r="C92" s="1590"/>
      <c r="D92" s="1958"/>
      <c r="E92" s="1959"/>
      <c r="F92" s="1601"/>
      <c r="G92" s="1702"/>
      <c r="H92" s="1920"/>
      <c r="I92" s="1920"/>
      <c r="N92" s="1703"/>
      <c r="O92" s="1704"/>
      <c r="P92" s="1703"/>
      <c r="Q92" s="1703"/>
      <c r="R92" s="1941"/>
      <c r="S92" s="1941"/>
      <c r="T92" s="1941"/>
      <c r="U92" s="1940"/>
      <c r="AC92" s="1940"/>
      <c r="AD92" s="1849"/>
    </row>
    <row r="93" spans="2:30" s="1960" customFormat="1" ht="21" thickBot="1" thickTop="1">
      <c r="B93" s="1961"/>
      <c r="C93" s="1962"/>
      <c r="D93" s="1963"/>
      <c r="E93" s="1964"/>
      <c r="F93" s="1965"/>
      <c r="G93" s="1966"/>
      <c r="I93" s="1546"/>
      <c r="J93" s="1967" t="s">
        <v>111</v>
      </c>
      <c r="K93" s="1968">
        <f>IF(E89&gt;3*K26,K26*3,E89)</f>
        <v>62487.47621600002</v>
      </c>
      <c r="M93" s="1969"/>
      <c r="N93" s="1970"/>
      <c r="O93" s="1971"/>
      <c r="P93" s="1969"/>
      <c r="Q93" s="1969"/>
      <c r="R93" s="1972"/>
      <c r="S93" s="1972"/>
      <c r="T93" s="1972"/>
      <c r="U93" s="1973"/>
      <c r="V93" s="1546"/>
      <c r="W93" s="1546"/>
      <c r="AC93" s="1973"/>
      <c r="AD93" s="1974"/>
    </row>
    <row r="94" spans="2:30" ht="17.1" customHeight="1" thickBot="1" thickTop="1">
      <c r="B94" s="1975"/>
      <c r="C94" s="1976"/>
      <c r="D94" s="1976"/>
      <c r="E94" s="1976"/>
      <c r="F94" s="1976"/>
      <c r="G94" s="1976"/>
      <c r="H94" s="1976"/>
      <c r="I94" s="1976"/>
      <c r="J94" s="1976"/>
      <c r="K94" s="1976"/>
      <c r="L94" s="1976"/>
      <c r="M94" s="1976"/>
      <c r="N94" s="1976"/>
      <c r="O94" s="1976"/>
      <c r="P94" s="1976"/>
      <c r="Q94" s="1976"/>
      <c r="R94" s="1976"/>
      <c r="S94" s="1976"/>
      <c r="T94" s="1976"/>
      <c r="U94" s="1976"/>
      <c r="V94" s="1977"/>
      <c r="W94" s="1977"/>
      <c r="X94" s="1977"/>
      <c r="Y94" s="1977"/>
      <c r="Z94" s="1977"/>
      <c r="AA94" s="1977"/>
      <c r="AB94" s="1977"/>
      <c r="AC94" s="1976"/>
      <c r="AD94" s="1978"/>
    </row>
    <row r="95" spans="2:23" ht="17.1" customHeight="1" thickTop="1">
      <c r="B95" s="1582"/>
      <c r="C95" s="1979"/>
      <c r="W95" s="1582"/>
    </row>
  </sheetData>
  <sheetProtection password="CC12"/>
  <mergeCells count="42">
    <mergeCell ref="E47:F47"/>
    <mergeCell ref="O47:Q47"/>
    <mergeCell ref="P40:Q40"/>
    <mergeCell ref="P41:Q41"/>
    <mergeCell ref="P42:Q42"/>
    <mergeCell ref="P43:Q43"/>
    <mergeCell ref="P44:Q44"/>
    <mergeCell ref="E48:F48"/>
    <mergeCell ref="O48:Q48"/>
    <mergeCell ref="E49:F49"/>
    <mergeCell ref="O49:Q49"/>
    <mergeCell ref="E50:F50"/>
    <mergeCell ref="O50:Q50"/>
    <mergeCell ref="E51:F51"/>
    <mergeCell ref="O51:Q51"/>
    <mergeCell ref="E52:F52"/>
    <mergeCell ref="O52:Q52"/>
    <mergeCell ref="F55:G55"/>
    <mergeCell ref="P55:Q55"/>
    <mergeCell ref="F56:G56"/>
    <mergeCell ref="P56:Q56"/>
    <mergeCell ref="F57:G57"/>
    <mergeCell ref="P57:Q57"/>
    <mergeCell ref="F58:G58"/>
    <mergeCell ref="P58:Q58"/>
    <mergeCell ref="F59:G59"/>
    <mergeCell ref="P59:Q59"/>
    <mergeCell ref="F60:G60"/>
    <mergeCell ref="P60:Q60"/>
    <mergeCell ref="F61:G61"/>
    <mergeCell ref="P61:Q61"/>
    <mergeCell ref="F62:G62"/>
    <mergeCell ref="P62:Q62"/>
    <mergeCell ref="F63:G63"/>
    <mergeCell ref="P63:Q63"/>
    <mergeCell ref="F64:G64"/>
    <mergeCell ref="P64:Q64"/>
    <mergeCell ref="F65:G65"/>
    <mergeCell ref="P65:Q65"/>
    <mergeCell ref="G84:I84"/>
    <mergeCell ref="G85:I85"/>
    <mergeCell ref="G86:I86"/>
  </mergeCells>
  <printOptions horizontalCentered="1"/>
  <pageMargins left="0.17" right="0.17" top="0.5905511811023623" bottom="0.5905511811023623" header="0.31496062992125984" footer="0.31496062992125984"/>
  <pageSetup fitToHeight="1" fitToWidth="1" horizontalDpi="600" verticalDpi="600" orientation="portrait" paperSize="9" scale="37" r:id="rId4"/>
  <headerFooter alignWithMargins="0">
    <oddFooter>&amp;L&amp;"Times New Roman,Normal"&amp;8&amp;Z&amp;F</oddFooter>
  </headerFooter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9">
    <pageSetUpPr fitToPage="1"/>
  </sheetPr>
  <dimension ref="A1:AG99"/>
  <sheetViews>
    <sheetView zoomScale="70" zoomScaleNormal="70" workbookViewId="0" topLeftCell="B64">
      <selection activeCell="A48" sqref="A48"/>
    </sheetView>
  </sheetViews>
  <sheetFormatPr defaultColWidth="11.421875" defaultRowHeight="12.75"/>
  <cols>
    <col min="1" max="1" width="25.421875" style="1982" customWidth="1"/>
    <col min="2" max="2" width="15.57421875" style="1982" customWidth="1"/>
    <col min="3" max="3" width="4.7109375" style="1982" customWidth="1"/>
    <col min="4" max="4" width="30.7109375" style="1982" customWidth="1"/>
    <col min="5" max="5" width="27.140625" style="1982" customWidth="1"/>
    <col min="6" max="6" width="15.00390625" style="1982" customWidth="1"/>
    <col min="7" max="7" width="14.7109375" style="1982" customWidth="1"/>
    <col min="8" max="8" width="7.00390625" style="1982" hidden="1" customWidth="1"/>
    <col min="9" max="9" width="8.421875" style="1982" hidden="1" customWidth="1"/>
    <col min="10" max="11" width="18.7109375" style="1982" customWidth="1"/>
    <col min="12" max="12" width="14.28125" style="1982" customWidth="1"/>
    <col min="13" max="13" width="10.7109375" style="1982" customWidth="1"/>
    <col min="14" max="14" width="9.7109375" style="1982" customWidth="1"/>
    <col min="15" max="15" width="10.57421875" style="1982" customWidth="1"/>
    <col min="16" max="16" width="8.421875" style="1982" customWidth="1"/>
    <col min="17" max="17" width="5.421875" style="1982" bestFit="1" customWidth="1"/>
    <col min="18" max="18" width="11.28125" style="1982" hidden="1" customWidth="1"/>
    <col min="19" max="19" width="11.8515625" style="1982" hidden="1" customWidth="1"/>
    <col min="20" max="21" width="8.00390625" style="1982" hidden="1" customWidth="1"/>
    <col min="22" max="22" width="11.57421875" style="1982" hidden="1" customWidth="1"/>
    <col min="23" max="27" width="5.00390625" style="1982" hidden="1" customWidth="1"/>
    <col min="28" max="28" width="9.7109375" style="1982" customWidth="1"/>
    <col min="29" max="29" width="20.421875" style="1982" customWidth="1"/>
    <col min="30" max="30" width="13.7109375" style="1982" customWidth="1"/>
    <col min="31" max="31" width="4.140625" style="1982" customWidth="1"/>
    <col min="32" max="32" width="7.140625" style="1982" customWidth="1"/>
    <col min="33" max="33" width="5.28125" style="1982" customWidth="1"/>
    <col min="34" max="34" width="5.421875" style="1982" customWidth="1"/>
    <col min="35" max="35" width="4.7109375" style="1982" customWidth="1"/>
    <col min="36" max="36" width="5.28125" style="1982" customWidth="1"/>
    <col min="37" max="38" width="13.28125" style="1982" customWidth="1"/>
    <col min="39" max="39" width="6.57421875" style="1982" customWidth="1"/>
    <col min="40" max="40" width="6.421875" style="1982" customWidth="1"/>
    <col min="41" max="44" width="11.421875" style="1982" customWidth="1"/>
    <col min="45" max="45" width="12.7109375" style="1982" customWidth="1"/>
    <col min="46" max="48" width="11.421875" style="1982" customWidth="1"/>
    <col min="49" max="49" width="21.00390625" style="1982" customWidth="1"/>
    <col min="50" max="16384" width="11.421875" style="1982" customWidth="1"/>
  </cols>
  <sheetData>
    <row r="1" spans="1:30" ht="13.5">
      <c r="A1" s="1980"/>
      <c r="B1" s="1981"/>
      <c r="C1" s="1981"/>
      <c r="D1" s="1981"/>
      <c r="E1" s="1981"/>
      <c r="F1" s="1981"/>
      <c r="G1" s="1981"/>
      <c r="H1" s="1981"/>
      <c r="I1" s="1981"/>
      <c r="J1" s="1981"/>
      <c r="K1" s="1981"/>
      <c r="L1" s="1981"/>
      <c r="M1" s="1981"/>
      <c r="N1" s="1981"/>
      <c r="O1" s="1981"/>
      <c r="P1" s="1981"/>
      <c r="Q1" s="1981"/>
      <c r="R1" s="1981"/>
      <c r="S1" s="1981"/>
      <c r="T1" s="1981"/>
      <c r="U1" s="1981"/>
      <c r="V1" s="1981"/>
      <c r="AD1" s="1983"/>
    </row>
    <row r="2" spans="1:23" ht="27" customHeight="1">
      <c r="A2" s="1980"/>
      <c r="B2" s="1981"/>
      <c r="C2" s="1981"/>
      <c r="D2" s="1981"/>
      <c r="E2" s="1981"/>
      <c r="F2" s="1981"/>
      <c r="G2" s="1981"/>
      <c r="H2" s="1981"/>
      <c r="I2" s="1981"/>
      <c r="J2" s="1981"/>
      <c r="K2" s="1981"/>
      <c r="L2" s="1981"/>
      <c r="M2" s="1981"/>
      <c r="N2" s="1981"/>
      <c r="O2" s="1981"/>
      <c r="P2" s="1981"/>
      <c r="Q2" s="1981"/>
      <c r="R2" s="1981"/>
      <c r="S2" s="1981"/>
      <c r="T2" s="1981"/>
      <c r="U2" s="1981"/>
      <c r="V2" s="1981"/>
      <c r="W2" s="1981"/>
    </row>
    <row r="3" spans="1:30" s="1987" customFormat="1" ht="30.75">
      <c r="A3" s="1984"/>
      <c r="B3" s="1985" t="str">
        <f>'TOT-0116'!B2</f>
        <v>ANEXO II al Memorándum D.T.E.E. N° 231 / 2017</v>
      </c>
      <c r="C3" s="1986"/>
      <c r="D3" s="1986"/>
      <c r="E3" s="1986"/>
      <c r="F3" s="1986"/>
      <c r="G3" s="1986"/>
      <c r="H3" s="1986"/>
      <c r="I3" s="1986"/>
      <c r="J3" s="1986"/>
      <c r="K3" s="1986"/>
      <c r="L3" s="1986"/>
      <c r="M3" s="1986"/>
      <c r="N3" s="1986"/>
      <c r="O3" s="1986"/>
      <c r="P3" s="1986"/>
      <c r="Q3" s="1986"/>
      <c r="R3" s="1986"/>
      <c r="S3" s="1986"/>
      <c r="T3" s="1986"/>
      <c r="U3" s="1986"/>
      <c r="V3" s="1986"/>
      <c r="W3" s="1986"/>
      <c r="AB3" s="1986"/>
      <c r="AC3" s="1986"/>
      <c r="AD3" s="1986"/>
    </row>
    <row r="4" spans="1:2" s="1990" customFormat="1" ht="11.25">
      <c r="A4" s="1988" t="s">
        <v>2</v>
      </c>
      <c r="B4" s="1989"/>
    </row>
    <row r="5" spans="1:2" s="1990" customFormat="1" ht="12" thickBot="1">
      <c r="A5" s="1988" t="s">
        <v>3</v>
      </c>
      <c r="B5" s="1988"/>
    </row>
    <row r="6" spans="1:30" ht="17.1" customHeight="1" thickTop="1">
      <c r="A6" s="1981"/>
      <c r="B6" s="1991"/>
      <c r="C6" s="1992"/>
      <c r="D6" s="1992"/>
      <c r="E6" s="1993"/>
      <c r="F6" s="1992"/>
      <c r="G6" s="1992"/>
      <c r="H6" s="1992"/>
      <c r="I6" s="1992"/>
      <c r="J6" s="1992"/>
      <c r="K6" s="1992"/>
      <c r="L6" s="1992"/>
      <c r="M6" s="1992"/>
      <c r="N6" s="1992"/>
      <c r="O6" s="1992"/>
      <c r="P6" s="1992"/>
      <c r="Q6" s="1992"/>
      <c r="R6" s="1992"/>
      <c r="S6" s="1992"/>
      <c r="T6" s="1992"/>
      <c r="U6" s="1992"/>
      <c r="V6" s="1992"/>
      <c r="W6" s="1994"/>
      <c r="X6" s="1994"/>
      <c r="Y6" s="1994"/>
      <c r="Z6" s="1994"/>
      <c r="AA6" s="1994"/>
      <c r="AB6" s="1994"/>
      <c r="AC6" s="1994"/>
      <c r="AD6" s="1995"/>
    </row>
    <row r="7" spans="1:30" ht="20.25">
      <c r="A7" s="1981"/>
      <c r="B7" s="1996"/>
      <c r="C7" s="1997"/>
      <c r="D7" s="1998" t="s">
        <v>92</v>
      </c>
      <c r="E7" s="1997"/>
      <c r="F7" s="1997"/>
      <c r="G7" s="1997"/>
      <c r="H7" s="1997"/>
      <c r="I7" s="1997"/>
      <c r="J7" s="1997"/>
      <c r="K7" s="1997"/>
      <c r="L7" s="1997"/>
      <c r="M7" s="1997"/>
      <c r="N7" s="1997"/>
      <c r="O7" s="1997"/>
      <c r="P7" s="1999"/>
      <c r="Q7" s="1999"/>
      <c r="R7" s="1997"/>
      <c r="S7" s="1997"/>
      <c r="T7" s="1997"/>
      <c r="U7" s="1997"/>
      <c r="V7" s="1997"/>
      <c r="AD7" s="2000"/>
    </row>
    <row r="8" spans="1:30" ht="17.1" customHeight="1">
      <c r="A8" s="1981"/>
      <c r="B8" s="1996"/>
      <c r="C8" s="1997"/>
      <c r="D8" s="1997"/>
      <c r="E8" s="1997"/>
      <c r="F8" s="1997"/>
      <c r="G8" s="1997"/>
      <c r="H8" s="1997"/>
      <c r="I8" s="1997"/>
      <c r="J8" s="1997"/>
      <c r="K8" s="1997"/>
      <c r="L8" s="1997"/>
      <c r="M8" s="1997"/>
      <c r="N8" s="1997"/>
      <c r="O8" s="1997"/>
      <c r="P8" s="1997"/>
      <c r="Q8" s="1997"/>
      <c r="R8" s="1997"/>
      <c r="S8" s="1997"/>
      <c r="T8" s="1997"/>
      <c r="U8" s="1997"/>
      <c r="V8" s="1997"/>
      <c r="AD8" s="2000"/>
    </row>
    <row r="9" spans="2:30" s="2001" customFormat="1" ht="20.25">
      <c r="B9" s="2002"/>
      <c r="C9" s="2003"/>
      <c r="D9" s="1998" t="s">
        <v>93</v>
      </c>
      <c r="E9" s="2003"/>
      <c r="F9" s="2003"/>
      <c r="G9" s="2003"/>
      <c r="H9" s="2003"/>
      <c r="N9" s="2003"/>
      <c r="O9" s="2003"/>
      <c r="P9" s="2004"/>
      <c r="Q9" s="2004"/>
      <c r="R9" s="2003"/>
      <c r="S9" s="2003"/>
      <c r="T9" s="2003"/>
      <c r="U9" s="2003"/>
      <c r="V9" s="2003"/>
      <c r="W9" s="1982"/>
      <c r="X9" s="2003"/>
      <c r="Y9" s="2003"/>
      <c r="Z9" s="2003"/>
      <c r="AA9" s="2003"/>
      <c r="AB9" s="2003"/>
      <c r="AC9" s="1982"/>
      <c r="AD9" s="2005"/>
    </row>
    <row r="10" spans="1:30" ht="17.1" customHeight="1">
      <c r="A10" s="1981"/>
      <c r="B10" s="1996"/>
      <c r="C10" s="1997"/>
      <c r="D10" s="1997"/>
      <c r="E10" s="1997"/>
      <c r="F10" s="1997"/>
      <c r="G10" s="1997"/>
      <c r="H10" s="1997"/>
      <c r="I10" s="1997"/>
      <c r="J10" s="1997"/>
      <c r="K10" s="1997"/>
      <c r="L10" s="1997"/>
      <c r="M10" s="1997"/>
      <c r="N10" s="1997"/>
      <c r="O10" s="1997"/>
      <c r="P10" s="1997"/>
      <c r="Q10" s="1997"/>
      <c r="R10" s="1997"/>
      <c r="S10" s="1997"/>
      <c r="T10" s="1997"/>
      <c r="U10" s="1997"/>
      <c r="V10" s="1997"/>
      <c r="AD10" s="2000"/>
    </row>
    <row r="11" spans="2:30" s="2001" customFormat="1" ht="20.25">
      <c r="B11" s="2002"/>
      <c r="C11" s="2003"/>
      <c r="D11" s="1998" t="s">
        <v>474</v>
      </c>
      <c r="E11" s="2003"/>
      <c r="F11" s="2003"/>
      <c r="G11" s="2003"/>
      <c r="H11" s="2003"/>
      <c r="N11" s="2003"/>
      <c r="O11" s="2003"/>
      <c r="P11" s="2004"/>
      <c r="Q11" s="2004"/>
      <c r="R11" s="2003"/>
      <c r="S11" s="2003"/>
      <c r="T11" s="2003"/>
      <c r="U11" s="2003"/>
      <c r="V11" s="2003"/>
      <c r="W11" s="1982"/>
      <c r="X11" s="2003"/>
      <c r="Y11" s="2003"/>
      <c r="Z11" s="2003"/>
      <c r="AA11" s="2003"/>
      <c r="AB11" s="2003"/>
      <c r="AC11" s="1982"/>
      <c r="AD11" s="2005"/>
    </row>
    <row r="12" spans="1:30" ht="17.1" customHeight="1">
      <c r="A12" s="1981"/>
      <c r="B12" s="1996"/>
      <c r="C12" s="1997"/>
      <c r="D12" s="1997"/>
      <c r="E12" s="1981"/>
      <c r="F12" s="1981"/>
      <c r="G12" s="1981"/>
      <c r="H12" s="1981"/>
      <c r="I12" s="2006"/>
      <c r="J12" s="2006"/>
      <c r="K12" s="2006"/>
      <c r="L12" s="2006"/>
      <c r="M12" s="2006"/>
      <c r="N12" s="2006"/>
      <c r="O12" s="2006"/>
      <c r="P12" s="2006"/>
      <c r="Q12" s="2006"/>
      <c r="R12" s="1997"/>
      <c r="S12" s="1997"/>
      <c r="T12" s="1997"/>
      <c r="U12" s="1997"/>
      <c r="V12" s="1997"/>
      <c r="AD12" s="2000"/>
    </row>
    <row r="13" spans="2:30" s="2001" customFormat="1" ht="19.5">
      <c r="B13" s="2007" t="str">
        <f>'TOT-0116'!B14</f>
        <v>Desde el 01 al 31 de enero de 2016</v>
      </c>
      <c r="C13" s="2008"/>
      <c r="D13" s="2009"/>
      <c r="E13" s="2009"/>
      <c r="F13" s="2009"/>
      <c r="G13" s="2009"/>
      <c r="H13" s="2009"/>
      <c r="I13" s="2010"/>
      <c r="J13" s="2011"/>
      <c r="K13" s="2010"/>
      <c r="L13" s="2010"/>
      <c r="M13" s="2010"/>
      <c r="N13" s="2010"/>
      <c r="O13" s="2010"/>
      <c r="P13" s="2010"/>
      <c r="Q13" s="2010"/>
      <c r="R13" s="2010"/>
      <c r="S13" s="2010"/>
      <c r="T13" s="2010"/>
      <c r="U13" s="2012"/>
      <c r="V13" s="2012"/>
      <c r="W13" s="1982"/>
      <c r="X13" s="2013"/>
      <c r="Y13" s="2013"/>
      <c r="Z13" s="2013"/>
      <c r="AA13" s="2013"/>
      <c r="AB13" s="2012"/>
      <c r="AC13" s="2011"/>
      <c r="AD13" s="2014"/>
    </row>
    <row r="14" spans="1:30" ht="17.1" customHeight="1">
      <c r="A14" s="1981"/>
      <c r="B14" s="1996"/>
      <c r="C14" s="1997"/>
      <c r="D14" s="1997"/>
      <c r="E14" s="2015"/>
      <c r="F14" s="2015"/>
      <c r="G14" s="1997"/>
      <c r="H14" s="1997"/>
      <c r="I14" s="1997"/>
      <c r="J14" s="2016"/>
      <c r="K14" s="1997"/>
      <c r="L14" s="1997"/>
      <c r="M14" s="1997"/>
      <c r="N14" s="1981"/>
      <c r="O14" s="1981"/>
      <c r="P14" s="1997"/>
      <c r="Q14" s="1997"/>
      <c r="R14" s="1997"/>
      <c r="S14" s="1997"/>
      <c r="T14" s="1997"/>
      <c r="U14" s="1997"/>
      <c r="V14" s="1997"/>
      <c r="AD14" s="2000"/>
    </row>
    <row r="15" spans="1:30" ht="17.1" customHeight="1">
      <c r="A15" s="1981"/>
      <c r="B15" s="1996"/>
      <c r="C15" s="1997"/>
      <c r="D15" s="1997"/>
      <c r="E15" s="2015"/>
      <c r="F15" s="2015"/>
      <c r="G15" s="1997"/>
      <c r="H15" s="1997"/>
      <c r="I15" s="2017"/>
      <c r="J15" s="1997"/>
      <c r="K15" s="2018"/>
      <c r="M15" s="1997"/>
      <c r="N15" s="1981"/>
      <c r="O15" s="1981"/>
      <c r="P15" s="1997"/>
      <c r="Q15" s="1997"/>
      <c r="R15" s="1997"/>
      <c r="S15" s="1997"/>
      <c r="T15" s="1997"/>
      <c r="U15" s="1997"/>
      <c r="V15" s="1997"/>
      <c r="AD15" s="2000"/>
    </row>
    <row r="16" spans="1:30" ht="17.1" customHeight="1">
      <c r="A16" s="1981"/>
      <c r="B16" s="1996"/>
      <c r="C16" s="1997"/>
      <c r="D16" s="1997"/>
      <c r="E16" s="2015"/>
      <c r="F16" s="2015"/>
      <c r="G16" s="1997"/>
      <c r="H16" s="1997"/>
      <c r="I16" s="2017"/>
      <c r="J16" s="1997"/>
      <c r="K16" s="2018"/>
      <c r="M16" s="1997"/>
      <c r="N16" s="1981"/>
      <c r="O16" s="1981"/>
      <c r="P16" s="1997"/>
      <c r="Q16" s="1997"/>
      <c r="R16" s="1997"/>
      <c r="S16" s="1997"/>
      <c r="T16" s="1997"/>
      <c r="U16" s="1997"/>
      <c r="V16" s="1997"/>
      <c r="AD16" s="2000"/>
    </row>
    <row r="17" spans="1:30" ht="17.1" customHeight="1">
      <c r="A17" s="1981"/>
      <c r="B17" s="1996"/>
      <c r="C17" s="2019" t="s">
        <v>94</v>
      </c>
      <c r="D17" s="2020" t="s">
        <v>95</v>
      </c>
      <c r="E17" s="2015"/>
      <c r="F17" s="2015"/>
      <c r="G17" s="1997"/>
      <c r="H17" s="1997"/>
      <c r="I17" s="1997"/>
      <c r="J17" s="2016"/>
      <c r="K17" s="1997"/>
      <c r="L17" s="1997"/>
      <c r="M17" s="1997"/>
      <c r="N17" s="1981"/>
      <c r="O17" s="1981"/>
      <c r="P17" s="1997"/>
      <c r="Q17" s="1997"/>
      <c r="R17" s="1997"/>
      <c r="S17" s="1997"/>
      <c r="T17" s="1997"/>
      <c r="U17" s="1997"/>
      <c r="V17" s="1997"/>
      <c r="AD17" s="2000"/>
    </row>
    <row r="18" spans="2:30" s="2021" customFormat="1" ht="17.1" customHeight="1">
      <c r="B18" s="2022"/>
      <c r="C18" s="2023"/>
      <c r="D18" s="2024"/>
      <c r="E18" s="2025"/>
      <c r="F18" s="2026"/>
      <c r="G18" s="2023"/>
      <c r="H18" s="2023"/>
      <c r="I18" s="2023"/>
      <c r="J18" s="2027"/>
      <c r="K18" s="2023"/>
      <c r="L18" s="2023"/>
      <c r="M18" s="2023"/>
      <c r="P18" s="2023"/>
      <c r="Q18" s="2023"/>
      <c r="R18" s="2023"/>
      <c r="S18" s="2023"/>
      <c r="T18" s="2023"/>
      <c r="U18" s="2023"/>
      <c r="V18" s="2023"/>
      <c r="W18" s="1982"/>
      <c r="AD18" s="2028"/>
    </row>
    <row r="19" spans="2:30" s="2021" customFormat="1" ht="17.1" customHeight="1">
      <c r="B19" s="2022"/>
      <c r="C19" s="2023"/>
      <c r="D19" s="2029" t="s">
        <v>96</v>
      </c>
      <c r="F19" s="2030">
        <v>506.119</v>
      </c>
      <c r="G19" s="2029" t="s">
        <v>97</v>
      </c>
      <c r="H19" s="2023"/>
      <c r="I19" s="2023"/>
      <c r="J19" s="2031"/>
      <c r="K19" s="2032" t="s">
        <v>40</v>
      </c>
      <c r="L19" s="2033">
        <v>0.04</v>
      </c>
      <c r="P19" s="2030"/>
      <c r="R19" s="2023"/>
      <c r="S19" s="2023"/>
      <c r="T19" s="2023"/>
      <c r="U19" s="2023"/>
      <c r="V19" s="2023"/>
      <c r="W19" s="1982"/>
      <c r="AD19" s="2028"/>
    </row>
    <row r="20" spans="2:30" s="2021" customFormat="1" ht="17.1" customHeight="1">
      <c r="B20" s="2022"/>
      <c r="C20" s="2023"/>
      <c r="D20" s="2029" t="s">
        <v>112</v>
      </c>
      <c r="F20" s="2030">
        <v>1.391</v>
      </c>
      <c r="G20" s="2029" t="s">
        <v>113</v>
      </c>
      <c r="H20" s="2023"/>
      <c r="I20" s="2023"/>
      <c r="J20" s="2023"/>
      <c r="K20" s="2024" t="s">
        <v>38</v>
      </c>
      <c r="L20" s="2023">
        <f>MID(B13,16,2)*24</f>
        <v>744</v>
      </c>
      <c r="M20" s="2023" t="s">
        <v>39</v>
      </c>
      <c r="N20" s="2023"/>
      <c r="O20" s="2023"/>
      <c r="P20" s="2030"/>
      <c r="Q20" s="2023"/>
      <c r="R20" s="2023"/>
      <c r="S20" s="2023"/>
      <c r="T20" s="2023"/>
      <c r="U20" s="2023"/>
      <c r="V20" s="2023"/>
      <c r="W20" s="1982"/>
      <c r="AD20" s="2028"/>
    </row>
    <row r="21" spans="2:30" s="2021" customFormat="1" ht="17.1" customHeight="1">
      <c r="B21" s="2022"/>
      <c r="C21" s="2023"/>
      <c r="D21" s="2029" t="s">
        <v>114</v>
      </c>
      <c r="F21" s="2030">
        <v>220.831</v>
      </c>
      <c r="G21" s="2029" t="s">
        <v>115</v>
      </c>
      <c r="H21" s="2023"/>
      <c r="I21" s="2023"/>
      <c r="J21" s="2023"/>
      <c r="K21" s="2024"/>
      <c r="L21" s="2023"/>
      <c r="M21" s="2023"/>
      <c r="N21" s="2023"/>
      <c r="O21" s="2023"/>
      <c r="P21" s="2030"/>
      <c r="Q21" s="2023"/>
      <c r="R21" s="2023"/>
      <c r="S21" s="2023"/>
      <c r="T21" s="2023"/>
      <c r="U21" s="2023"/>
      <c r="V21" s="2023"/>
      <c r="W21" s="1982"/>
      <c r="AD21" s="2028"/>
    </row>
    <row r="22" spans="2:30" s="2021" customFormat="1" ht="17.1" customHeight="1">
      <c r="B22" s="2022"/>
      <c r="C22" s="2023"/>
      <c r="H22" s="2023"/>
      <c r="I22" s="2023"/>
      <c r="J22" s="2023"/>
      <c r="K22" s="2034"/>
      <c r="L22" s="2035"/>
      <c r="M22" s="2023"/>
      <c r="N22" s="2023"/>
      <c r="O22" s="2023"/>
      <c r="P22" s="2036"/>
      <c r="Q22" s="2023"/>
      <c r="R22" s="2023"/>
      <c r="S22" s="2023"/>
      <c r="T22" s="2023"/>
      <c r="U22" s="2023"/>
      <c r="V22" s="2023"/>
      <c r="W22" s="1982"/>
      <c r="AD22" s="2028"/>
    </row>
    <row r="23" spans="2:30" s="2021" customFormat="1" ht="8.25" customHeight="1">
      <c r="B23" s="2022"/>
      <c r="C23" s="2023"/>
      <c r="D23" s="2023"/>
      <c r="E23" s="2037"/>
      <c r="F23" s="2023"/>
      <c r="G23" s="2023"/>
      <c r="H23" s="2023"/>
      <c r="I23" s="2023"/>
      <c r="J23" s="2023"/>
      <c r="K23" s="2023"/>
      <c r="L23" s="2023"/>
      <c r="M23" s="2023"/>
      <c r="N23" s="2023"/>
      <c r="O23" s="2023"/>
      <c r="P23" s="2023"/>
      <c r="Q23" s="2023"/>
      <c r="R23" s="2023"/>
      <c r="S23" s="2023"/>
      <c r="T23" s="2023"/>
      <c r="U23" s="2023"/>
      <c r="V23" s="2023"/>
      <c r="W23" s="1982"/>
      <c r="AD23" s="2028"/>
    </row>
    <row r="24" spans="1:30" ht="17.1" customHeight="1">
      <c r="A24" s="1981"/>
      <c r="B24" s="1996"/>
      <c r="C24" s="2019" t="s">
        <v>98</v>
      </c>
      <c r="D24" s="2038" t="s">
        <v>358</v>
      </c>
      <c r="I24" s="1997"/>
      <c r="J24" s="2021"/>
      <c r="O24" s="1997"/>
      <c r="P24" s="1997"/>
      <c r="Q24" s="1997"/>
      <c r="R24" s="1997"/>
      <c r="S24" s="1997"/>
      <c r="T24" s="1997"/>
      <c r="V24" s="1997"/>
      <c r="X24" s="1997"/>
      <c r="Y24" s="1997"/>
      <c r="Z24" s="1997"/>
      <c r="AA24" s="1997"/>
      <c r="AB24" s="1997"/>
      <c r="AC24" s="1997"/>
      <c r="AD24" s="2000"/>
    </row>
    <row r="25" spans="1:30" ht="10.5" customHeight="1" thickBot="1">
      <c r="A25" s="1981"/>
      <c r="B25" s="1996"/>
      <c r="C25" s="2015"/>
      <c r="D25" s="2038"/>
      <c r="I25" s="1997"/>
      <c r="J25" s="2021"/>
      <c r="O25" s="1997"/>
      <c r="P25" s="1997"/>
      <c r="Q25" s="1997"/>
      <c r="R25" s="1997"/>
      <c r="S25" s="1997"/>
      <c r="T25" s="1997"/>
      <c r="V25" s="1997"/>
      <c r="X25" s="1997"/>
      <c r="Y25" s="1997"/>
      <c r="Z25" s="1997"/>
      <c r="AA25" s="1997"/>
      <c r="AB25" s="1997"/>
      <c r="AC25" s="1997"/>
      <c r="AD25" s="2000"/>
    </row>
    <row r="26" spans="2:30" s="2021" customFormat="1" ht="17.1" customHeight="1" thickBot="1" thickTop="1">
      <c r="B26" s="2022"/>
      <c r="C26" s="2026"/>
      <c r="D26" s="1982"/>
      <c r="E26" s="1982"/>
      <c r="F26" s="1982"/>
      <c r="G26" s="1982"/>
      <c r="H26" s="1982"/>
      <c r="I26" s="1982"/>
      <c r="J26" s="2039" t="s">
        <v>45</v>
      </c>
      <c r="K26" s="2040">
        <f>L19*AC93</f>
        <v>106924.85275072</v>
      </c>
      <c r="L26" s="1982"/>
      <c r="S26" s="1982"/>
      <c r="T26" s="1982"/>
      <c r="U26" s="1982"/>
      <c r="W26" s="1982"/>
      <c r="AD26" s="2028"/>
    </row>
    <row r="27" spans="2:30" s="2021" customFormat="1" ht="11.25" customHeight="1" thickTop="1">
      <c r="B27" s="2022"/>
      <c r="C27" s="2026"/>
      <c r="D27" s="2023"/>
      <c r="E27" s="2037"/>
      <c r="F27" s="2023"/>
      <c r="G27" s="2023"/>
      <c r="H27" s="2023"/>
      <c r="I27" s="2023"/>
      <c r="J27" s="2023"/>
      <c r="K27" s="2023"/>
      <c r="L27" s="2023"/>
      <c r="M27" s="2023"/>
      <c r="N27" s="2023"/>
      <c r="O27" s="2023"/>
      <c r="P27" s="2023"/>
      <c r="Q27" s="2023"/>
      <c r="R27" s="2023"/>
      <c r="S27" s="2023"/>
      <c r="T27" s="2023"/>
      <c r="U27" s="1982"/>
      <c r="W27" s="1982"/>
      <c r="AD27" s="2028"/>
    </row>
    <row r="28" spans="1:30" ht="17.1" customHeight="1">
      <c r="A28" s="1981"/>
      <c r="B28" s="1996"/>
      <c r="C28" s="2019" t="s">
        <v>99</v>
      </c>
      <c r="D28" s="2038" t="s">
        <v>137</v>
      </c>
      <c r="E28" s="2041"/>
      <c r="F28" s="1997"/>
      <c r="G28" s="1997"/>
      <c r="H28" s="1997"/>
      <c r="I28" s="1997"/>
      <c r="J28" s="1997"/>
      <c r="K28" s="1997"/>
      <c r="L28" s="1997"/>
      <c r="M28" s="1997"/>
      <c r="N28" s="1997"/>
      <c r="O28" s="1997"/>
      <c r="P28" s="1997"/>
      <c r="Q28" s="1997"/>
      <c r="R28" s="1997"/>
      <c r="S28" s="1997"/>
      <c r="T28" s="1997"/>
      <c r="U28" s="1997"/>
      <c r="V28" s="1997"/>
      <c r="AD28" s="2000"/>
    </row>
    <row r="29" spans="1:30" ht="21.75" customHeight="1" thickBot="1">
      <c r="A29" s="1981"/>
      <c r="B29" s="1996"/>
      <c r="C29" s="1997"/>
      <c r="D29" s="1997"/>
      <c r="E29" s="2041"/>
      <c r="F29" s="1997"/>
      <c r="G29" s="1997"/>
      <c r="H29" s="1997"/>
      <c r="I29" s="1997"/>
      <c r="J29" s="1997"/>
      <c r="K29" s="1997"/>
      <c r="L29" s="1997"/>
      <c r="M29" s="1997"/>
      <c r="N29" s="1997"/>
      <c r="O29" s="1997"/>
      <c r="P29" s="1997"/>
      <c r="Q29" s="1997"/>
      <c r="R29" s="1997"/>
      <c r="S29" s="1997"/>
      <c r="T29" s="1997"/>
      <c r="U29" s="1997"/>
      <c r="V29" s="1997"/>
      <c r="AD29" s="2000"/>
    </row>
    <row r="30" spans="2:31" s="1981" customFormat="1" ht="33.95" customHeight="1" thickBot="1" thickTop="1">
      <c r="B30" s="1996"/>
      <c r="C30" s="2042" t="s">
        <v>13</v>
      </c>
      <c r="D30" s="2043" t="s">
        <v>0</v>
      </c>
      <c r="E30" s="2044" t="s">
        <v>14</v>
      </c>
      <c r="F30" s="2045" t="s">
        <v>15</v>
      </c>
      <c r="G30" s="2046" t="s">
        <v>71</v>
      </c>
      <c r="H30" s="2047" t="s">
        <v>37</v>
      </c>
      <c r="I30" s="2048" t="s">
        <v>16</v>
      </c>
      <c r="J30" s="2049" t="s">
        <v>17</v>
      </c>
      <c r="K30" s="2050" t="s">
        <v>18</v>
      </c>
      <c r="L30" s="2051" t="s">
        <v>36</v>
      </c>
      <c r="M30" s="2052" t="s">
        <v>31</v>
      </c>
      <c r="N30" s="2051" t="s">
        <v>100</v>
      </c>
      <c r="O30" s="2051" t="s">
        <v>58</v>
      </c>
      <c r="P30" s="2050" t="s">
        <v>59</v>
      </c>
      <c r="Q30" s="2049" t="s">
        <v>32</v>
      </c>
      <c r="R30" s="2053" t="s">
        <v>20</v>
      </c>
      <c r="S30" s="2054" t="s">
        <v>21</v>
      </c>
      <c r="T30" s="2055" t="s">
        <v>72</v>
      </c>
      <c r="U30" s="2056"/>
      <c r="V30" s="2057"/>
      <c r="W30" s="2058" t="s">
        <v>101</v>
      </c>
      <c r="X30" s="2059"/>
      <c r="Y30" s="2060"/>
      <c r="Z30" s="2061" t="s">
        <v>22</v>
      </c>
      <c r="AA30" s="2062" t="s">
        <v>23</v>
      </c>
      <c r="AB30" s="2063" t="s">
        <v>74</v>
      </c>
      <c r="AC30" s="2064" t="s">
        <v>24</v>
      </c>
      <c r="AD30" s="2065"/>
      <c r="AE30" s="1982"/>
    </row>
    <row r="31" spans="1:30" ht="17.1" customHeight="1" thickTop="1">
      <c r="A31" s="1981"/>
      <c r="B31" s="1996"/>
      <c r="C31" s="2066"/>
      <c r="D31" s="2067"/>
      <c r="E31" s="2068"/>
      <c r="F31" s="2069"/>
      <c r="G31" s="2070"/>
      <c r="H31" s="2071"/>
      <c r="I31" s="2072"/>
      <c r="J31" s="2073"/>
      <c r="K31" s="2074"/>
      <c r="L31" s="2066"/>
      <c r="M31" s="2066"/>
      <c r="N31" s="2075"/>
      <c r="O31" s="2075"/>
      <c r="P31" s="2066"/>
      <c r="Q31" s="2076"/>
      <c r="R31" s="2077"/>
      <c r="S31" s="2078"/>
      <c r="T31" s="2079"/>
      <c r="U31" s="2080"/>
      <c r="V31" s="2081"/>
      <c r="W31" s="2082"/>
      <c r="X31" s="2083"/>
      <c r="Y31" s="2084"/>
      <c r="Z31" s="2085"/>
      <c r="AA31" s="2086"/>
      <c r="AB31" s="2087"/>
      <c r="AC31" s="2088"/>
      <c r="AD31" s="2000"/>
    </row>
    <row r="32" spans="1:30" ht="17.1" customHeight="1">
      <c r="A32" s="1981"/>
      <c r="B32" s="1996"/>
      <c r="C32" s="2089" t="s">
        <v>200</v>
      </c>
      <c r="D32" s="2090"/>
      <c r="E32" s="2091"/>
      <c r="F32" s="2092"/>
      <c r="G32" s="2091"/>
      <c r="H32" s="2093">
        <f aca="true" t="shared" si="0" ref="H32:H37">IF(G32="A",200,IF(G32="B",60,20))</f>
        <v>20</v>
      </c>
      <c r="I32" s="2094">
        <f aca="true" t="shared" si="1" ref="I32:I37">IF(F32&gt;100,F32,100)*$F$19/100</f>
        <v>506.119</v>
      </c>
      <c r="J32" s="2095"/>
      <c r="K32" s="2096"/>
      <c r="L32" s="2097" t="str">
        <f aca="true" t="shared" si="2" ref="L32:L37">IF(D32="","",(K32-J32)*24)</f>
        <v/>
      </c>
      <c r="M32" s="2098" t="str">
        <f aca="true" t="shared" si="3" ref="M32:M37">IF(D32="","",ROUND((K32-J32)*24*60,0))</f>
        <v/>
      </c>
      <c r="N32" s="2099"/>
      <c r="O32" s="2100" t="str">
        <f aca="true" t="shared" si="4" ref="O32:O37">IF(D32="","","--")</f>
        <v/>
      </c>
      <c r="P32" s="2101" t="str">
        <f aca="true" t="shared" si="5" ref="P32:P37">IF(D32="","","NO")</f>
        <v/>
      </c>
      <c r="Q32" s="2101" t="str">
        <f aca="true" t="shared" si="6" ref="Q32:Q37">IF(D32="","",IF(OR(N32="P",N32="RP"),"--","NO"))</f>
        <v/>
      </c>
      <c r="R32" s="2102" t="str">
        <f aca="true" t="shared" si="7" ref="R32:R37">IF(N32="P",+I32*H32*ROUND(M32/60,2)/100,"--")</f>
        <v>--</v>
      </c>
      <c r="S32" s="2103" t="str">
        <f aca="true" t="shared" si="8" ref="S32:S37">IF(N32="RP",I32*H32*ROUND(M32/60,2)*0.01*O32/100,"--")</f>
        <v>--</v>
      </c>
      <c r="T32" s="2104" t="str">
        <f aca="true" t="shared" si="9" ref="T32:T37">IF(AND(N32="F",Q32="NO"),IF(P32="SI",1.2,1)*I32*H32,"--")</f>
        <v>--</v>
      </c>
      <c r="U32" s="2105" t="str">
        <f aca="true" t="shared" si="10" ref="U32:U37">IF(AND(M32&gt;10,N32="F"),IF(M32&lt;=300,ROUND(M32/60,2),5)*I32*H32*IF(P32="SI",1.2,1),"--")</f>
        <v>--</v>
      </c>
      <c r="V32" s="2106" t="str">
        <f aca="true" t="shared" si="11" ref="V32:V37">IF(AND(N32="F",M32&gt;300),IF(P32="SI",1.2,1)*(ROUND(M32/60,2)-5)*I32*H32*0.1,"--")</f>
        <v>--</v>
      </c>
      <c r="W32" s="2107" t="str">
        <f aca="true" t="shared" si="12" ref="W32:W37">IF(AND(N32="R",Q32="NO"),IF(P32="SI",1.2,1)*I32*H32*O32/100,"--")</f>
        <v>--</v>
      </c>
      <c r="X32" s="2108" t="str">
        <f aca="true" t="shared" si="13" ref="X32:X37">IF(AND(M32&gt;10,N32="R"),IF(M32&lt;=300,ROUND(M32/60,2),5)*I32*H32*O32/100*IF(P32="SI",1.2,1),"--")</f>
        <v>--</v>
      </c>
      <c r="Y32" s="2109" t="str">
        <f aca="true" t="shared" si="14" ref="Y32:Y37">IF(AND(N32="R",M32&gt;300),IF(P32="SI",1.2,1)*(ROUND(M32/60,2)-5)*I32*H32*O32/100*0.1,"--")</f>
        <v>--</v>
      </c>
      <c r="Z32" s="2110" t="str">
        <f aca="true" t="shared" si="15" ref="Z32:Z37">IF(N32="RF",IF(P32="SI",1.2,1)*ROUND(M32/60,2)*I32*H32*0.1,"--")</f>
        <v>--</v>
      </c>
      <c r="AA32" s="2111" t="str">
        <f aca="true" t="shared" si="16" ref="AA32:AA37">IF(N32="RR",IF(P32="SI",1.2,1)*ROUND(M32/60,2)*I32*H32*O32/100*0.1,"--")</f>
        <v>--</v>
      </c>
      <c r="AB32" s="2112" t="str">
        <f aca="true" t="shared" si="17" ref="AB32:AB37">IF(D32="","","SI")</f>
        <v/>
      </c>
      <c r="AC32" s="2113" t="str">
        <f aca="true" t="shared" si="18" ref="AC32:AC37">IF(D32="","",SUM(R32:AA32)*IF(AB32="SI",1,2))</f>
        <v/>
      </c>
      <c r="AD32" s="2000"/>
    </row>
    <row r="33" spans="1:30" ht="17.1" customHeight="1">
      <c r="A33" s="1981"/>
      <c r="B33" s="1996"/>
      <c r="C33" s="2089" t="s">
        <v>201</v>
      </c>
      <c r="D33" s="2090"/>
      <c r="E33" s="2091"/>
      <c r="F33" s="2092"/>
      <c r="G33" s="2091"/>
      <c r="H33" s="2093">
        <f t="shared" si="0"/>
        <v>20</v>
      </c>
      <c r="I33" s="2094">
        <f t="shared" si="1"/>
        <v>506.119</v>
      </c>
      <c r="J33" s="2114"/>
      <c r="K33" s="2115"/>
      <c r="L33" s="2097" t="str">
        <f t="shared" si="2"/>
        <v/>
      </c>
      <c r="M33" s="2098" t="str">
        <f t="shared" si="3"/>
        <v/>
      </c>
      <c r="N33" s="2099"/>
      <c r="O33" s="2100" t="str">
        <f t="shared" si="4"/>
        <v/>
      </c>
      <c r="P33" s="2101" t="str">
        <f t="shared" si="5"/>
        <v/>
      </c>
      <c r="Q33" s="2101" t="str">
        <f t="shared" si="6"/>
        <v/>
      </c>
      <c r="R33" s="2102" t="str">
        <f t="shared" si="7"/>
        <v>--</v>
      </c>
      <c r="S33" s="2103" t="str">
        <f t="shared" si="8"/>
        <v>--</v>
      </c>
      <c r="T33" s="2104" t="str">
        <f t="shared" si="9"/>
        <v>--</v>
      </c>
      <c r="U33" s="2105" t="str">
        <f t="shared" si="10"/>
        <v>--</v>
      </c>
      <c r="V33" s="2106" t="str">
        <f t="shared" si="11"/>
        <v>--</v>
      </c>
      <c r="W33" s="2107" t="str">
        <f t="shared" si="12"/>
        <v>--</v>
      </c>
      <c r="X33" s="2108" t="str">
        <f t="shared" si="13"/>
        <v>--</v>
      </c>
      <c r="Y33" s="2109" t="str">
        <f t="shared" si="14"/>
        <v>--</v>
      </c>
      <c r="Z33" s="2110" t="str">
        <f t="shared" si="15"/>
        <v>--</v>
      </c>
      <c r="AA33" s="2111" t="str">
        <f t="shared" si="16"/>
        <v>--</v>
      </c>
      <c r="AB33" s="2112" t="str">
        <f t="shared" si="17"/>
        <v/>
      </c>
      <c r="AC33" s="2113" t="str">
        <f t="shared" si="18"/>
        <v/>
      </c>
      <c r="AD33" s="2000"/>
    </row>
    <row r="34" spans="1:30" ht="17.1" customHeight="1">
      <c r="A34" s="1981"/>
      <c r="B34" s="1996"/>
      <c r="C34" s="2089" t="s">
        <v>202</v>
      </c>
      <c r="D34" s="2090"/>
      <c r="E34" s="2091"/>
      <c r="F34" s="2092"/>
      <c r="G34" s="2091"/>
      <c r="H34" s="2093">
        <f t="shared" si="0"/>
        <v>20</v>
      </c>
      <c r="I34" s="2094">
        <f t="shared" si="1"/>
        <v>506.119</v>
      </c>
      <c r="J34" s="2095"/>
      <c r="K34" s="2096"/>
      <c r="L34" s="2097" t="str">
        <f t="shared" si="2"/>
        <v/>
      </c>
      <c r="M34" s="2098" t="str">
        <f t="shared" si="3"/>
        <v/>
      </c>
      <c r="N34" s="2116"/>
      <c r="O34" s="2100" t="str">
        <f t="shared" si="4"/>
        <v/>
      </c>
      <c r="P34" s="2101" t="str">
        <f t="shared" si="5"/>
        <v/>
      </c>
      <c r="Q34" s="2101" t="str">
        <f t="shared" si="6"/>
        <v/>
      </c>
      <c r="R34" s="2102" t="str">
        <f t="shared" si="7"/>
        <v>--</v>
      </c>
      <c r="S34" s="2103" t="str">
        <f t="shared" si="8"/>
        <v>--</v>
      </c>
      <c r="T34" s="2104" t="str">
        <f t="shared" si="9"/>
        <v>--</v>
      </c>
      <c r="U34" s="2105" t="str">
        <f t="shared" si="10"/>
        <v>--</v>
      </c>
      <c r="V34" s="2106" t="str">
        <f t="shared" si="11"/>
        <v>--</v>
      </c>
      <c r="W34" s="2107" t="str">
        <f t="shared" si="12"/>
        <v>--</v>
      </c>
      <c r="X34" s="2108" t="str">
        <f t="shared" si="13"/>
        <v>--</v>
      </c>
      <c r="Y34" s="2109" t="str">
        <f t="shared" si="14"/>
        <v>--</v>
      </c>
      <c r="Z34" s="2110" t="str">
        <f t="shared" si="15"/>
        <v>--</v>
      </c>
      <c r="AA34" s="2111" t="str">
        <f t="shared" si="16"/>
        <v>--</v>
      </c>
      <c r="AB34" s="2112" t="str">
        <f t="shared" si="17"/>
        <v/>
      </c>
      <c r="AC34" s="2113" t="str">
        <f t="shared" si="18"/>
        <v/>
      </c>
      <c r="AD34" s="2000"/>
    </row>
    <row r="35" spans="1:30" ht="17.1" customHeight="1">
      <c r="A35" s="1981"/>
      <c r="B35" s="1996"/>
      <c r="C35" s="2089" t="s">
        <v>203</v>
      </c>
      <c r="D35" s="2090"/>
      <c r="E35" s="2091"/>
      <c r="F35" s="2092"/>
      <c r="G35" s="2091"/>
      <c r="H35" s="2093">
        <f t="shared" si="0"/>
        <v>20</v>
      </c>
      <c r="I35" s="2094">
        <f t="shared" si="1"/>
        <v>506.119</v>
      </c>
      <c r="J35" s="2095"/>
      <c r="K35" s="2096"/>
      <c r="L35" s="2097" t="str">
        <f t="shared" si="2"/>
        <v/>
      </c>
      <c r="M35" s="2098" t="str">
        <f t="shared" si="3"/>
        <v/>
      </c>
      <c r="N35" s="2116"/>
      <c r="O35" s="2100" t="str">
        <f t="shared" si="4"/>
        <v/>
      </c>
      <c r="P35" s="2101" t="str">
        <f t="shared" si="5"/>
        <v/>
      </c>
      <c r="Q35" s="2101" t="str">
        <f t="shared" si="6"/>
        <v/>
      </c>
      <c r="R35" s="2102" t="str">
        <f t="shared" si="7"/>
        <v>--</v>
      </c>
      <c r="S35" s="2103" t="str">
        <f t="shared" si="8"/>
        <v>--</v>
      </c>
      <c r="T35" s="2104" t="str">
        <f t="shared" si="9"/>
        <v>--</v>
      </c>
      <c r="U35" s="2105" t="str">
        <f t="shared" si="10"/>
        <v>--</v>
      </c>
      <c r="V35" s="2106" t="str">
        <f t="shared" si="11"/>
        <v>--</v>
      </c>
      <c r="W35" s="2107" t="str">
        <f t="shared" si="12"/>
        <v>--</v>
      </c>
      <c r="X35" s="2108" t="str">
        <f t="shared" si="13"/>
        <v>--</v>
      </c>
      <c r="Y35" s="2109" t="str">
        <f t="shared" si="14"/>
        <v>--</v>
      </c>
      <c r="Z35" s="2110" t="str">
        <f t="shared" si="15"/>
        <v>--</v>
      </c>
      <c r="AA35" s="2111" t="str">
        <f t="shared" si="16"/>
        <v>--</v>
      </c>
      <c r="AB35" s="2112" t="str">
        <f t="shared" si="17"/>
        <v/>
      </c>
      <c r="AC35" s="2113" t="str">
        <f t="shared" si="18"/>
        <v/>
      </c>
      <c r="AD35" s="2000"/>
    </row>
    <row r="36" spans="1:30" ht="17.1" customHeight="1">
      <c r="A36" s="1981"/>
      <c r="B36" s="1996"/>
      <c r="C36" s="2089" t="s">
        <v>204</v>
      </c>
      <c r="D36" s="2090"/>
      <c r="E36" s="2091"/>
      <c r="F36" s="2092"/>
      <c r="G36" s="2117"/>
      <c r="H36" s="2093">
        <f t="shared" si="0"/>
        <v>20</v>
      </c>
      <c r="I36" s="2094">
        <f t="shared" si="1"/>
        <v>506.119</v>
      </c>
      <c r="J36" s="2114"/>
      <c r="K36" s="2115"/>
      <c r="L36" s="2097" t="str">
        <f t="shared" si="2"/>
        <v/>
      </c>
      <c r="M36" s="2098" t="str">
        <f t="shared" si="3"/>
        <v/>
      </c>
      <c r="N36" s="2116"/>
      <c r="O36" s="2100" t="str">
        <f t="shared" si="4"/>
        <v/>
      </c>
      <c r="P36" s="2101" t="str">
        <f t="shared" si="5"/>
        <v/>
      </c>
      <c r="Q36" s="2101" t="str">
        <f t="shared" si="6"/>
        <v/>
      </c>
      <c r="R36" s="2102" t="str">
        <f t="shared" si="7"/>
        <v>--</v>
      </c>
      <c r="S36" s="2103" t="str">
        <f t="shared" si="8"/>
        <v>--</v>
      </c>
      <c r="T36" s="2104" t="str">
        <f t="shared" si="9"/>
        <v>--</v>
      </c>
      <c r="U36" s="2105" t="str">
        <f t="shared" si="10"/>
        <v>--</v>
      </c>
      <c r="V36" s="2106" t="str">
        <f t="shared" si="11"/>
        <v>--</v>
      </c>
      <c r="W36" s="2107" t="str">
        <f t="shared" si="12"/>
        <v>--</v>
      </c>
      <c r="X36" s="2108" t="str">
        <f t="shared" si="13"/>
        <v>--</v>
      </c>
      <c r="Y36" s="2109" t="str">
        <f t="shared" si="14"/>
        <v>--</v>
      </c>
      <c r="Z36" s="2110" t="str">
        <f t="shared" si="15"/>
        <v>--</v>
      </c>
      <c r="AA36" s="2111" t="str">
        <f t="shared" si="16"/>
        <v>--</v>
      </c>
      <c r="AB36" s="2112" t="str">
        <f t="shared" si="17"/>
        <v/>
      </c>
      <c r="AC36" s="2113" t="str">
        <f t="shared" si="18"/>
        <v/>
      </c>
      <c r="AD36" s="2000"/>
    </row>
    <row r="37" spans="1:30" ht="17.1" customHeight="1">
      <c r="A37" s="1981"/>
      <c r="B37" s="1996"/>
      <c r="C37" s="2089" t="s">
        <v>205</v>
      </c>
      <c r="D37" s="2090"/>
      <c r="E37" s="2091"/>
      <c r="F37" s="2092"/>
      <c r="G37" s="2117"/>
      <c r="H37" s="2093">
        <f t="shared" si="0"/>
        <v>20</v>
      </c>
      <c r="I37" s="2094">
        <f t="shared" si="1"/>
        <v>506.119</v>
      </c>
      <c r="J37" s="2114"/>
      <c r="K37" s="2115"/>
      <c r="L37" s="2097" t="str">
        <f t="shared" si="2"/>
        <v/>
      </c>
      <c r="M37" s="2098" t="str">
        <f t="shared" si="3"/>
        <v/>
      </c>
      <c r="N37" s="2116"/>
      <c r="O37" s="2100" t="str">
        <f t="shared" si="4"/>
        <v/>
      </c>
      <c r="P37" s="2101" t="str">
        <f t="shared" si="5"/>
        <v/>
      </c>
      <c r="Q37" s="2101" t="str">
        <f t="shared" si="6"/>
        <v/>
      </c>
      <c r="R37" s="2102" t="str">
        <f t="shared" si="7"/>
        <v>--</v>
      </c>
      <c r="S37" s="2103" t="str">
        <f t="shared" si="8"/>
        <v>--</v>
      </c>
      <c r="T37" s="2104" t="str">
        <f t="shared" si="9"/>
        <v>--</v>
      </c>
      <c r="U37" s="2105" t="str">
        <f t="shared" si="10"/>
        <v>--</v>
      </c>
      <c r="V37" s="2106" t="str">
        <f t="shared" si="11"/>
        <v>--</v>
      </c>
      <c r="W37" s="2107" t="str">
        <f t="shared" si="12"/>
        <v>--</v>
      </c>
      <c r="X37" s="2108" t="str">
        <f t="shared" si="13"/>
        <v>--</v>
      </c>
      <c r="Y37" s="2109" t="str">
        <f t="shared" si="14"/>
        <v>--</v>
      </c>
      <c r="Z37" s="2110" t="str">
        <f t="shared" si="15"/>
        <v>--</v>
      </c>
      <c r="AA37" s="2111" t="str">
        <f t="shared" si="16"/>
        <v>--</v>
      </c>
      <c r="AB37" s="2112" t="str">
        <f t="shared" si="17"/>
        <v/>
      </c>
      <c r="AC37" s="2113" t="str">
        <f t="shared" si="18"/>
        <v/>
      </c>
      <c r="AD37" s="2000"/>
    </row>
    <row r="38" spans="1:30" ht="17.1" customHeight="1" thickBot="1">
      <c r="A38" s="2021"/>
      <c r="B38" s="1996"/>
      <c r="C38" s="2118"/>
      <c r="D38" s="2119"/>
      <c r="E38" s="2120"/>
      <c r="F38" s="2121"/>
      <c r="G38" s="2122"/>
      <c r="H38" s="2123"/>
      <c r="I38" s="2124"/>
      <c r="J38" s="2125"/>
      <c r="K38" s="2125"/>
      <c r="L38" s="2126"/>
      <c r="M38" s="2126"/>
      <c r="N38" s="2126"/>
      <c r="O38" s="2127"/>
      <c r="P38" s="2126"/>
      <c r="Q38" s="2126"/>
      <c r="R38" s="2128"/>
      <c r="S38" s="2129"/>
      <c r="T38" s="2130"/>
      <c r="U38" s="2131"/>
      <c r="V38" s="2132"/>
      <c r="W38" s="2133"/>
      <c r="X38" s="2134"/>
      <c r="Y38" s="2135"/>
      <c r="Z38" s="2136"/>
      <c r="AA38" s="2137"/>
      <c r="AB38" s="2138"/>
      <c r="AC38" s="2139"/>
      <c r="AD38" s="2140"/>
    </row>
    <row r="39" spans="1:30" ht="17.1" customHeight="1" thickBot="1" thickTop="1">
      <c r="A39" s="2021"/>
      <c r="B39" s="1996"/>
      <c r="C39" s="2026"/>
      <c r="D39" s="2026"/>
      <c r="E39" s="2141"/>
      <c r="F39" s="2037"/>
      <c r="G39" s="2142"/>
      <c r="H39" s="2142"/>
      <c r="I39" s="2143"/>
      <c r="J39" s="2143"/>
      <c r="K39" s="2143"/>
      <c r="L39" s="2143"/>
      <c r="M39" s="2143"/>
      <c r="N39" s="2143"/>
      <c r="O39" s="2144"/>
      <c r="P39" s="2143"/>
      <c r="Q39" s="2143"/>
      <c r="R39" s="2145">
        <f aca="true" t="shared" si="19" ref="R39:AA39">SUM(R31:R38)</f>
        <v>0</v>
      </c>
      <c r="S39" s="2146">
        <f t="shared" si="19"/>
        <v>0</v>
      </c>
      <c r="T39" s="2147">
        <f t="shared" si="19"/>
        <v>0</v>
      </c>
      <c r="U39" s="2147">
        <f t="shared" si="19"/>
        <v>0</v>
      </c>
      <c r="V39" s="2147">
        <f t="shared" si="19"/>
        <v>0</v>
      </c>
      <c r="W39" s="2148">
        <f t="shared" si="19"/>
        <v>0</v>
      </c>
      <c r="X39" s="2148">
        <f t="shared" si="19"/>
        <v>0</v>
      </c>
      <c r="Y39" s="2148">
        <f t="shared" si="19"/>
        <v>0</v>
      </c>
      <c r="Z39" s="2149">
        <f t="shared" si="19"/>
        <v>0</v>
      </c>
      <c r="AA39" s="2150">
        <f t="shared" si="19"/>
        <v>0</v>
      </c>
      <c r="AB39" s="2151"/>
      <c r="AC39" s="2152">
        <f>SUM(AC31:AC38)</f>
        <v>0</v>
      </c>
      <c r="AD39" s="2140"/>
    </row>
    <row r="40" spans="1:30" ht="13.5" customHeight="1" thickBot="1" thickTop="1">
      <c r="A40" s="2021"/>
      <c r="B40" s="1996"/>
      <c r="C40" s="2026"/>
      <c r="D40" s="2026"/>
      <c r="E40" s="2141"/>
      <c r="F40" s="2037"/>
      <c r="G40" s="2142"/>
      <c r="H40" s="2142"/>
      <c r="I40" s="2143"/>
      <c r="J40" s="2143"/>
      <c r="K40" s="2143"/>
      <c r="L40" s="2143"/>
      <c r="M40" s="2143"/>
      <c r="N40" s="2143"/>
      <c r="O40" s="2144"/>
      <c r="P40" s="2143"/>
      <c r="Q40" s="2143"/>
      <c r="R40" s="2153"/>
      <c r="S40" s="2154"/>
      <c r="T40" s="2155"/>
      <c r="U40" s="2155"/>
      <c r="V40" s="2155"/>
      <c r="W40" s="2153"/>
      <c r="X40" s="2153"/>
      <c r="Y40" s="2153"/>
      <c r="Z40" s="2153"/>
      <c r="AA40" s="2153"/>
      <c r="AB40" s="2156"/>
      <c r="AC40" s="2157"/>
      <c r="AD40" s="2140"/>
    </row>
    <row r="41" spans="1:33" s="1981" customFormat="1" ht="33.95" customHeight="1" thickBot="1" thickTop="1">
      <c r="A41" s="1980"/>
      <c r="B41" s="2158"/>
      <c r="C41" s="2159" t="s">
        <v>13</v>
      </c>
      <c r="D41" s="2160" t="s">
        <v>27</v>
      </c>
      <c r="E41" s="2161" t="s">
        <v>28</v>
      </c>
      <c r="F41" s="2162" t="s">
        <v>29</v>
      </c>
      <c r="G41" s="2064" t="s">
        <v>14</v>
      </c>
      <c r="H41" s="2163" t="s">
        <v>16</v>
      </c>
      <c r="I41" s="2164"/>
      <c r="J41" s="2161" t="s">
        <v>17</v>
      </c>
      <c r="K41" s="2161" t="s">
        <v>18</v>
      </c>
      <c r="L41" s="2160" t="s">
        <v>30</v>
      </c>
      <c r="M41" s="2160" t="s">
        <v>31</v>
      </c>
      <c r="N41" s="2051" t="s">
        <v>102</v>
      </c>
      <c r="O41" s="2161" t="s">
        <v>32</v>
      </c>
      <c r="P41" s="2165" t="s">
        <v>33</v>
      </c>
      <c r="Q41" s="2166"/>
      <c r="R41" s="2163" t="s">
        <v>34</v>
      </c>
      <c r="S41" s="2167" t="s">
        <v>20</v>
      </c>
      <c r="T41" s="2168" t="s">
        <v>103</v>
      </c>
      <c r="U41" s="2169"/>
      <c r="V41" s="2170" t="s">
        <v>22</v>
      </c>
      <c r="W41" s="2171"/>
      <c r="X41" s="2172"/>
      <c r="Y41" s="2172"/>
      <c r="Z41" s="2172"/>
      <c r="AA41" s="2173"/>
      <c r="AB41" s="2174" t="s">
        <v>74</v>
      </c>
      <c r="AC41" s="2064" t="s">
        <v>24</v>
      </c>
      <c r="AD41" s="2000"/>
      <c r="AF41" s="1982"/>
      <c r="AG41" s="1982"/>
    </row>
    <row r="42" spans="1:30" ht="17.1" customHeight="1" thickTop="1">
      <c r="A42" s="1981"/>
      <c r="B42" s="1996"/>
      <c r="C42" s="2066"/>
      <c r="D42" s="2175"/>
      <c r="E42" s="2175"/>
      <c r="F42" s="2175"/>
      <c r="G42" s="2176"/>
      <c r="H42" s="2177"/>
      <c r="I42" s="2178"/>
      <c r="J42" s="2175"/>
      <c r="K42" s="2175"/>
      <c r="L42" s="2175"/>
      <c r="M42" s="2175"/>
      <c r="N42" s="2175"/>
      <c r="O42" s="2179"/>
      <c r="P42" s="3520"/>
      <c r="Q42" s="3521"/>
      <c r="R42" s="2180"/>
      <c r="S42" s="2181"/>
      <c r="T42" s="2182"/>
      <c r="U42" s="2183"/>
      <c r="V42" s="2184"/>
      <c r="W42" s="2185"/>
      <c r="X42" s="2186"/>
      <c r="Y42" s="2186"/>
      <c r="Z42" s="2186"/>
      <c r="AA42" s="2187"/>
      <c r="AB42" s="2179"/>
      <c r="AC42" s="2188"/>
      <c r="AD42" s="2000"/>
    </row>
    <row r="43" spans="1:30" ht="17.1" customHeight="1">
      <c r="A43" s="1981"/>
      <c r="B43" s="1996"/>
      <c r="C43" s="2089" t="s">
        <v>200</v>
      </c>
      <c r="D43" s="2189"/>
      <c r="E43" s="2190"/>
      <c r="F43" s="2191"/>
      <c r="G43" s="2192"/>
      <c r="H43" s="2193"/>
      <c r="I43" s="2194"/>
      <c r="J43" s="2195"/>
      <c r="K43" s="2195"/>
      <c r="L43" s="2196"/>
      <c r="M43" s="2197"/>
      <c r="N43" s="2198"/>
      <c r="O43" s="2199"/>
      <c r="P43" s="3533"/>
      <c r="Q43" s="3534"/>
      <c r="R43" s="2200"/>
      <c r="S43" s="2201"/>
      <c r="T43" s="2202"/>
      <c r="U43" s="2203"/>
      <c r="V43" s="2204"/>
      <c r="W43" s="2205"/>
      <c r="X43" s="2206"/>
      <c r="Y43" s="2206"/>
      <c r="Z43" s="2206"/>
      <c r="AA43" s="2207"/>
      <c r="AB43" s="2208"/>
      <c r="AC43" s="2209"/>
      <c r="AD43" s="2000"/>
    </row>
    <row r="44" spans="1:30" ht="17.1" customHeight="1">
      <c r="A44" s="1981"/>
      <c r="B44" s="1996"/>
      <c r="C44" s="2089" t="s">
        <v>201</v>
      </c>
      <c r="D44" s="2189"/>
      <c r="E44" s="2190"/>
      <c r="F44" s="2191"/>
      <c r="G44" s="2192"/>
      <c r="H44" s="2193">
        <f>F44*$F$20</f>
        <v>0</v>
      </c>
      <c r="I44" s="2194"/>
      <c r="J44" s="2195"/>
      <c r="K44" s="2195"/>
      <c r="L44" s="2196" t="str">
        <f>IF(D44="","",(K44-J44)*24)</f>
        <v/>
      </c>
      <c r="M44" s="2197" t="str">
        <f>IF(D44="","",(K44-J44)*24*60)</f>
        <v/>
      </c>
      <c r="N44" s="2198"/>
      <c r="O44" s="2199" t="str">
        <f>IF(D44="","",IF(OR(N44="P",N44="RP"),"--","NO"))</f>
        <v/>
      </c>
      <c r="P44" s="3533" t="str">
        <f>IF(D44="","","NO")</f>
        <v/>
      </c>
      <c r="Q44" s="3534"/>
      <c r="R44" s="2200">
        <f>200*IF(P44="SI",1,0.1)*IF(N44="P",0.1,1)</f>
        <v>20</v>
      </c>
      <c r="S44" s="2201" t="str">
        <f>IF(N44="P",H44*R44*ROUND(M44/60,2),"--")</f>
        <v>--</v>
      </c>
      <c r="T44" s="2202" t="str">
        <f>IF(AND(N44="F",O44="NO"),H44*R44,"--")</f>
        <v>--</v>
      </c>
      <c r="U44" s="2203" t="str">
        <f>IF(N44="F",H44*R44*ROUND(M44/60,2),"--")</f>
        <v>--</v>
      </c>
      <c r="V44" s="2204" t="str">
        <f>IF(N44="RF",H44*R44*ROUND(M44/60,2),"--")</f>
        <v>--</v>
      </c>
      <c r="W44" s="2205"/>
      <c r="X44" s="2206"/>
      <c r="Y44" s="2206"/>
      <c r="Z44" s="2206"/>
      <c r="AA44" s="2207"/>
      <c r="AB44" s="2208" t="str">
        <f>IF(D44="","","SI")</f>
        <v/>
      </c>
      <c r="AC44" s="2209" t="str">
        <f>IF(D44="","",SUM(S44:V44)*IF(AB44="SI",1,2))</f>
        <v/>
      </c>
      <c r="AD44" s="2000"/>
    </row>
    <row r="45" spans="1:30" ht="17.1" customHeight="1">
      <c r="A45" s="1981"/>
      <c r="B45" s="1996"/>
      <c r="C45" s="2210" t="s">
        <v>202</v>
      </c>
      <c r="D45" s="2189"/>
      <c r="E45" s="2190"/>
      <c r="F45" s="2191"/>
      <c r="G45" s="2192"/>
      <c r="H45" s="2193">
        <f>F45*$F$20</f>
        <v>0</v>
      </c>
      <c r="I45" s="2211"/>
      <c r="J45" s="2195"/>
      <c r="K45" s="2195"/>
      <c r="L45" s="2196" t="str">
        <f>IF(D45="","",(K45-J45)*24)</f>
        <v/>
      </c>
      <c r="M45" s="2197" t="str">
        <f>IF(D45="","",(K45-J45)*24*60)</f>
        <v/>
      </c>
      <c r="N45" s="2198"/>
      <c r="O45" s="2199" t="str">
        <f>IF(D45="","",IF(OR(N45="P",N45="RP"),"--","NO"))</f>
        <v/>
      </c>
      <c r="P45" s="3533" t="str">
        <f>IF(D45="","","NO")</f>
        <v/>
      </c>
      <c r="Q45" s="3534"/>
      <c r="R45" s="2200">
        <f>200*IF(P45="SI",1,0.1)*IF(N45="P",0.1,1)</f>
        <v>20</v>
      </c>
      <c r="S45" s="2201" t="str">
        <f>IF(N45="P",H45*R45*ROUND(M45/60,2),"--")</f>
        <v>--</v>
      </c>
      <c r="T45" s="2202" t="str">
        <f>IF(AND(N45="F",O45="NO"),H45*R45,"--")</f>
        <v>--</v>
      </c>
      <c r="U45" s="2203" t="str">
        <f>IF(N45="F",H45*R45*ROUND(M45/60,2),"--")</f>
        <v>--</v>
      </c>
      <c r="V45" s="2204" t="str">
        <f>IF(N45="RF",H45*R45*ROUND(M45/60,2),"--")</f>
        <v>--</v>
      </c>
      <c r="W45" s="2205"/>
      <c r="X45" s="2206"/>
      <c r="Y45" s="2206"/>
      <c r="Z45" s="2206"/>
      <c r="AA45" s="2207"/>
      <c r="AB45" s="2208" t="str">
        <f>IF(D45="","","SI")</f>
        <v/>
      </c>
      <c r="AC45" s="2209" t="str">
        <f>IF(D45="","",SUM(S45:V45)*IF(AB45="SI",1,2))</f>
        <v/>
      </c>
      <c r="AD45" s="2000"/>
    </row>
    <row r="46" spans="1:30" ht="17.1" customHeight="1" thickBot="1">
      <c r="A46" s="2021"/>
      <c r="B46" s="1996"/>
      <c r="C46" s="2118"/>
      <c r="D46" s="2212"/>
      <c r="E46" s="2213"/>
      <c r="F46" s="2214"/>
      <c r="G46" s="2215"/>
      <c r="H46" s="2216"/>
      <c r="I46" s="2217"/>
      <c r="J46" s="2218"/>
      <c r="K46" s="2219"/>
      <c r="L46" s="2220"/>
      <c r="M46" s="2221"/>
      <c r="N46" s="2222"/>
      <c r="O46" s="2126"/>
      <c r="P46" s="3535"/>
      <c r="Q46" s="3536"/>
      <c r="R46" s="2223"/>
      <c r="S46" s="2224"/>
      <c r="T46" s="2225"/>
      <c r="U46" s="2226"/>
      <c r="V46" s="2227"/>
      <c r="W46" s="2228"/>
      <c r="X46" s="2229"/>
      <c r="Y46" s="2229"/>
      <c r="Z46" s="2229"/>
      <c r="AA46" s="2230"/>
      <c r="AB46" s="2231"/>
      <c r="AC46" s="2232"/>
      <c r="AD46" s="2140"/>
    </row>
    <row r="47" spans="1:30" ht="17.1" customHeight="1" thickBot="1" thickTop="1">
      <c r="A47" s="2021"/>
      <c r="B47" s="1996"/>
      <c r="C47" s="2233"/>
      <c r="D47" s="2041"/>
      <c r="E47" s="2041"/>
      <c r="F47" s="2234"/>
      <c r="G47" s="2235"/>
      <c r="H47" s="2236"/>
      <c r="I47" s="2237"/>
      <c r="J47" s="2238"/>
      <c r="K47" s="2239"/>
      <c r="L47" s="2240"/>
      <c r="M47" s="2236"/>
      <c r="N47" s="2241"/>
      <c r="O47" s="2242"/>
      <c r="P47" s="2243"/>
      <c r="Q47" s="2244"/>
      <c r="R47" s="2245"/>
      <c r="S47" s="2245"/>
      <c r="T47" s="2245"/>
      <c r="U47" s="2246"/>
      <c r="V47" s="2246"/>
      <c r="W47" s="2246"/>
      <c r="X47" s="2246"/>
      <c r="Y47" s="2246"/>
      <c r="Z47" s="2246"/>
      <c r="AA47" s="2246"/>
      <c r="AB47" s="2246"/>
      <c r="AC47" s="2247">
        <f>SUM(AC42:AC46)</f>
        <v>0</v>
      </c>
      <c r="AD47" s="2140"/>
    </row>
    <row r="48" spans="1:30" ht="13.5" customHeight="1" thickBot="1" thickTop="1">
      <c r="A48" s="2021"/>
      <c r="B48" s="1996"/>
      <c r="C48" s="2026"/>
      <c r="D48" s="2026"/>
      <c r="E48" s="2026"/>
      <c r="F48" s="2026"/>
      <c r="G48" s="2026"/>
      <c r="H48" s="2026"/>
      <c r="I48" s="2026"/>
      <c r="J48" s="2026"/>
      <c r="K48" s="2026"/>
      <c r="L48" s="2026"/>
      <c r="M48" s="2026"/>
      <c r="N48" s="2026"/>
      <c r="O48" s="2026"/>
      <c r="P48" s="2026"/>
      <c r="Q48" s="2026"/>
      <c r="R48" s="2026"/>
      <c r="S48" s="2026"/>
      <c r="T48" s="2026"/>
      <c r="U48" s="2026"/>
      <c r="V48" s="2026"/>
      <c r="W48" s="2026"/>
      <c r="X48" s="2026"/>
      <c r="Y48" s="2026"/>
      <c r="Z48" s="2026"/>
      <c r="AA48" s="2026"/>
      <c r="AB48" s="2026"/>
      <c r="AC48" s="2026"/>
      <c r="AD48" s="2140"/>
    </row>
    <row r="49" spans="1:33" s="1981" customFormat="1" ht="33.95" customHeight="1" thickBot="1" thickTop="1">
      <c r="A49" s="1980"/>
      <c r="B49" s="2158"/>
      <c r="C49" s="2159" t="s">
        <v>13</v>
      </c>
      <c r="D49" s="2160" t="s">
        <v>27</v>
      </c>
      <c r="E49" s="2161" t="s">
        <v>28</v>
      </c>
      <c r="F49" s="3525" t="s">
        <v>14</v>
      </c>
      <c r="G49" s="3529"/>
      <c r="H49" s="2163" t="s">
        <v>16</v>
      </c>
      <c r="I49" s="2164"/>
      <c r="J49" s="2161" t="s">
        <v>17</v>
      </c>
      <c r="K49" s="2161" t="s">
        <v>18</v>
      </c>
      <c r="L49" s="2160" t="s">
        <v>30</v>
      </c>
      <c r="M49" s="2160" t="s">
        <v>31</v>
      </c>
      <c r="N49" s="2051" t="s">
        <v>102</v>
      </c>
      <c r="O49" s="3530" t="s">
        <v>32</v>
      </c>
      <c r="P49" s="3531"/>
      <c r="Q49" s="3532"/>
      <c r="R49" s="2048" t="s">
        <v>37</v>
      </c>
      <c r="S49" s="2248" t="s">
        <v>70</v>
      </c>
      <c r="T49" s="2249" t="s">
        <v>35</v>
      </c>
      <c r="U49" s="2250"/>
      <c r="V49" s="2251" t="s">
        <v>22</v>
      </c>
      <c r="W49" s="2172"/>
      <c r="X49" s="2172"/>
      <c r="Y49" s="2172"/>
      <c r="Z49" s="2172"/>
      <c r="AA49" s="2173"/>
      <c r="AB49" s="2174" t="s">
        <v>74</v>
      </c>
      <c r="AC49" s="2064" t="s">
        <v>24</v>
      </c>
      <c r="AD49" s="2000"/>
      <c r="AF49" s="1982"/>
      <c r="AG49" s="1982"/>
    </row>
    <row r="50" spans="1:30" ht="17.1" customHeight="1" thickTop="1">
      <c r="A50" s="1981"/>
      <c r="B50" s="1996"/>
      <c r="C50" s="2066"/>
      <c r="D50" s="2175"/>
      <c r="E50" s="2175"/>
      <c r="F50" s="3520"/>
      <c r="G50" s="3521"/>
      <c r="H50" s="2177"/>
      <c r="I50" s="2178"/>
      <c r="J50" s="2175"/>
      <c r="K50" s="2175"/>
      <c r="L50" s="2175"/>
      <c r="M50" s="2175"/>
      <c r="N50" s="2175"/>
      <c r="O50" s="3520"/>
      <c r="P50" s="3522"/>
      <c r="Q50" s="3521"/>
      <c r="R50" s="2252"/>
      <c r="S50" s="2253"/>
      <c r="T50" s="2254"/>
      <c r="U50" s="2255"/>
      <c r="V50" s="2256"/>
      <c r="W50" s="2186"/>
      <c r="X50" s="2186"/>
      <c r="Y50" s="2186"/>
      <c r="Z50" s="2186"/>
      <c r="AA50" s="2187"/>
      <c r="AB50" s="2179"/>
      <c r="AC50" s="2188"/>
      <c r="AD50" s="2000"/>
    </row>
    <row r="51" spans="1:30" ht="17.1" customHeight="1">
      <c r="A51" s="1981"/>
      <c r="B51" s="1996"/>
      <c r="C51" s="2089" t="s">
        <v>200</v>
      </c>
      <c r="D51" s="2448" t="s">
        <v>377</v>
      </c>
      <c r="E51" s="2448" t="s">
        <v>415</v>
      </c>
      <c r="F51" s="3511">
        <v>132</v>
      </c>
      <c r="G51" s="3512"/>
      <c r="H51" s="2193">
        <f aca="true" t="shared" si="20" ref="H51:H53">IF(F51=132,$F$21,0)</f>
        <v>220.831</v>
      </c>
      <c r="I51" s="2895"/>
      <c r="J51" s="1883">
        <v>42381.566666666666</v>
      </c>
      <c r="K51" s="2451">
        <v>42381.580555555556</v>
      </c>
      <c r="L51" s="2196">
        <f aca="true" t="shared" si="21" ref="L51:L53">IF(D51="","",(K51-J51)*24)</f>
        <v>0.33333333337213844</v>
      </c>
      <c r="M51" s="2197">
        <f aca="true" t="shared" si="22" ref="M51:M53">IF(D51="","",(K51-J51)*24*60)</f>
        <v>20.000000002328306</v>
      </c>
      <c r="N51" s="2179" t="s">
        <v>308</v>
      </c>
      <c r="O51" s="3513" t="str">
        <f aca="true" t="shared" si="23" ref="O51:O53">IF(D51="","",IF(N51="P","--","NO"))</f>
        <v>NO</v>
      </c>
      <c r="P51" s="3514"/>
      <c r="Q51" s="3515"/>
      <c r="R51" s="2252">
        <f aca="true" t="shared" si="24" ref="R51:R53">IF(F51=500,200,IF(F51=132,40,0))</f>
        <v>40</v>
      </c>
      <c r="S51" s="2259" t="str">
        <f aca="true" t="shared" si="25" ref="S51:S53">IF(N51="P",H51*R51*ROUND(M51/60,2)*0.1,"--")</f>
        <v>--</v>
      </c>
      <c r="T51" s="2260">
        <f aca="true" t="shared" si="26" ref="T51:T53">IF(AND(N51="F",O51="NO"),H51*R51,"--")</f>
        <v>8833.24</v>
      </c>
      <c r="U51" s="2261">
        <f aca="true" t="shared" si="27" ref="U51:U53">IF(N51="F",H51*R51*ROUND(M51/60,2),"--")</f>
        <v>2914.9692</v>
      </c>
      <c r="V51" s="2204" t="str">
        <f aca="true" t="shared" si="28" ref="V51:V53">IF(N51="RF",H51*R51*ROUND(M51/60,2),"--")</f>
        <v>--</v>
      </c>
      <c r="W51" s="2186"/>
      <c r="X51" s="2186"/>
      <c r="Y51" s="2186"/>
      <c r="Z51" s="2186"/>
      <c r="AA51" s="2187"/>
      <c r="AB51" s="2208" t="str">
        <f aca="true" t="shared" si="29" ref="AB51:AB53">IF(D51="","","SI")</f>
        <v>SI</v>
      </c>
      <c r="AC51" s="2262">
        <f aca="true" t="shared" si="30" ref="AC51:AC53">IF(D51="","",SUM(S51:V51)*IF(AB51="SI",1,2))</f>
        <v>11748.2092</v>
      </c>
      <c r="AD51" s="2000"/>
    </row>
    <row r="52" spans="1:30" ht="17.1" customHeight="1">
      <c r="A52" s="1981"/>
      <c r="B52" s="1996"/>
      <c r="C52" s="2089" t="s">
        <v>201</v>
      </c>
      <c r="D52" s="2448" t="s">
        <v>377</v>
      </c>
      <c r="E52" s="2448" t="s">
        <v>415</v>
      </c>
      <c r="F52" s="3511">
        <v>132</v>
      </c>
      <c r="G52" s="3512"/>
      <c r="H52" s="2193">
        <f t="shared" si="20"/>
        <v>220.831</v>
      </c>
      <c r="I52" s="2895"/>
      <c r="J52" s="1883">
        <v>42381.59097222222</v>
      </c>
      <c r="K52" s="2451">
        <v>42381.61388888889</v>
      </c>
      <c r="L52" s="2196">
        <f t="shared" si="21"/>
        <v>0.5500000000465661</v>
      </c>
      <c r="M52" s="2197">
        <f t="shared" si="22"/>
        <v>33.00000000279397</v>
      </c>
      <c r="N52" s="2179" t="s">
        <v>308</v>
      </c>
      <c r="O52" s="3513" t="str">
        <f t="shared" si="23"/>
        <v>NO</v>
      </c>
      <c r="P52" s="3514"/>
      <c r="Q52" s="3515"/>
      <c r="R52" s="2252">
        <f t="shared" si="24"/>
        <v>40</v>
      </c>
      <c r="S52" s="2259" t="str">
        <f t="shared" si="25"/>
        <v>--</v>
      </c>
      <c r="T52" s="2260">
        <f t="shared" si="26"/>
        <v>8833.24</v>
      </c>
      <c r="U52" s="2261">
        <f t="shared" si="27"/>
        <v>4858.282</v>
      </c>
      <c r="V52" s="2204" t="str">
        <f t="shared" si="28"/>
        <v>--</v>
      </c>
      <c r="W52" s="2186"/>
      <c r="X52" s="2186"/>
      <c r="Y52" s="2186"/>
      <c r="Z52" s="2186"/>
      <c r="AA52" s="2187"/>
      <c r="AB52" s="2208" t="str">
        <f t="shared" si="29"/>
        <v>SI</v>
      </c>
      <c r="AC52" s="2262">
        <f t="shared" si="30"/>
        <v>13691.522</v>
      </c>
      <c r="AD52" s="2000"/>
    </row>
    <row r="53" spans="1:30" ht="17.1" customHeight="1">
      <c r="A53" s="1981"/>
      <c r="B53" s="1996"/>
      <c r="C53" s="2089" t="s">
        <v>202</v>
      </c>
      <c r="D53" s="2448" t="s">
        <v>377</v>
      </c>
      <c r="E53" s="2448" t="s">
        <v>415</v>
      </c>
      <c r="F53" s="3511">
        <v>132</v>
      </c>
      <c r="G53" s="3512"/>
      <c r="H53" s="2193">
        <f t="shared" si="20"/>
        <v>220.831</v>
      </c>
      <c r="I53" s="2895"/>
      <c r="J53" s="1883">
        <v>42383</v>
      </c>
      <c r="K53" s="2451">
        <v>42383.59652777778</v>
      </c>
      <c r="L53" s="2196">
        <f t="shared" si="21"/>
        <v>14.316666666709352</v>
      </c>
      <c r="M53" s="2197">
        <f t="shared" si="22"/>
        <v>859.0000000025611</v>
      </c>
      <c r="N53" s="2179" t="s">
        <v>308</v>
      </c>
      <c r="O53" s="3513" t="str">
        <f t="shared" si="23"/>
        <v>NO</v>
      </c>
      <c r="P53" s="3514"/>
      <c r="Q53" s="3515"/>
      <c r="R53" s="2252">
        <f t="shared" si="24"/>
        <v>40</v>
      </c>
      <c r="S53" s="2259" t="str">
        <f t="shared" si="25"/>
        <v>--</v>
      </c>
      <c r="T53" s="2260">
        <f t="shared" si="26"/>
        <v>8833.24</v>
      </c>
      <c r="U53" s="2261">
        <f t="shared" si="27"/>
        <v>126491.9968</v>
      </c>
      <c r="V53" s="2204" t="str">
        <f t="shared" si="28"/>
        <v>--</v>
      </c>
      <c r="W53" s="2186"/>
      <c r="X53" s="2186"/>
      <c r="Y53" s="2186"/>
      <c r="Z53" s="2186"/>
      <c r="AA53" s="2187"/>
      <c r="AB53" s="2208" t="str">
        <f t="shared" si="29"/>
        <v>SI</v>
      </c>
      <c r="AC53" s="2262">
        <f t="shared" si="30"/>
        <v>135325.23679999998</v>
      </c>
      <c r="AD53" s="2000"/>
    </row>
    <row r="54" spans="1:30" ht="17.1" customHeight="1">
      <c r="A54" s="1981"/>
      <c r="B54" s="1996"/>
      <c r="C54" s="2089" t="s">
        <v>203</v>
      </c>
      <c r="D54" s="2448"/>
      <c r="E54" s="2448"/>
      <c r="F54" s="3511"/>
      <c r="G54" s="3512"/>
      <c r="H54" s="2193"/>
      <c r="I54" s="2895"/>
      <c r="J54" s="1883"/>
      <c r="K54" s="2451"/>
      <c r="L54" s="2196"/>
      <c r="M54" s="2197"/>
      <c r="N54" s="2179"/>
      <c r="O54" s="3513"/>
      <c r="P54" s="3514"/>
      <c r="Q54" s="3515"/>
      <c r="R54" s="2252"/>
      <c r="S54" s="2259"/>
      <c r="T54" s="2260"/>
      <c r="U54" s="2261"/>
      <c r="V54" s="2204"/>
      <c r="W54" s="2186"/>
      <c r="X54" s="2186"/>
      <c r="Y54" s="2186"/>
      <c r="Z54" s="2186"/>
      <c r="AA54" s="2187"/>
      <c r="AB54" s="2208"/>
      <c r="AC54" s="2262"/>
      <c r="AD54" s="2000"/>
    </row>
    <row r="55" spans="1:30" ht="17.1" customHeight="1">
      <c r="A55" s="1981"/>
      <c r="B55" s="1996"/>
      <c r="C55" s="2089" t="s">
        <v>204</v>
      </c>
      <c r="D55" s="2448"/>
      <c r="E55" s="2448"/>
      <c r="F55" s="3511"/>
      <c r="G55" s="3512"/>
      <c r="H55" s="2193"/>
      <c r="I55" s="2895"/>
      <c r="J55" s="1883"/>
      <c r="K55" s="2451"/>
      <c r="L55" s="2196"/>
      <c r="M55" s="2197"/>
      <c r="N55" s="2179"/>
      <c r="O55" s="3513"/>
      <c r="P55" s="3514"/>
      <c r="Q55" s="3515"/>
      <c r="R55" s="2252"/>
      <c r="S55" s="2259"/>
      <c r="T55" s="2260"/>
      <c r="U55" s="2261"/>
      <c r="V55" s="2204"/>
      <c r="W55" s="2186"/>
      <c r="X55" s="2186"/>
      <c r="Y55" s="2186"/>
      <c r="Z55" s="2186"/>
      <c r="AA55" s="2187"/>
      <c r="AB55" s="2208"/>
      <c r="AC55" s="2262"/>
      <c r="AD55" s="2000"/>
    </row>
    <row r="56" spans="1:30" ht="17.1" customHeight="1">
      <c r="A56" s="1981"/>
      <c r="B56" s="1996"/>
      <c r="C56" s="2089" t="s">
        <v>205</v>
      </c>
      <c r="D56" s="2448"/>
      <c r="E56" s="2448"/>
      <c r="F56" s="3511"/>
      <c r="G56" s="3512"/>
      <c r="H56" s="2193"/>
      <c r="I56" s="2895"/>
      <c r="J56" s="1883"/>
      <c r="K56" s="2451"/>
      <c r="L56" s="2196"/>
      <c r="M56" s="2197"/>
      <c r="N56" s="2179"/>
      <c r="O56" s="3513"/>
      <c r="P56" s="3514"/>
      <c r="Q56" s="3515"/>
      <c r="R56" s="2252"/>
      <c r="S56" s="2259"/>
      <c r="T56" s="2260"/>
      <c r="U56" s="2261"/>
      <c r="V56" s="2204"/>
      <c r="W56" s="2186"/>
      <c r="X56" s="2186"/>
      <c r="Y56" s="2186"/>
      <c r="Z56" s="2186"/>
      <c r="AA56" s="2187"/>
      <c r="AB56" s="2208"/>
      <c r="AC56" s="2262"/>
      <c r="AD56" s="2000"/>
    </row>
    <row r="57" spans="1:30" ht="17.1" customHeight="1">
      <c r="A57" s="1981"/>
      <c r="B57" s="1996"/>
      <c r="C57" s="2089" t="s">
        <v>206</v>
      </c>
      <c r="D57" s="2448"/>
      <c r="E57" s="2448"/>
      <c r="F57" s="3511"/>
      <c r="G57" s="3512"/>
      <c r="H57" s="2193"/>
      <c r="I57" s="2211"/>
      <c r="J57" s="1883"/>
      <c r="K57" s="2451"/>
      <c r="L57" s="2196"/>
      <c r="M57" s="2197"/>
      <c r="N57" s="2258"/>
      <c r="O57" s="3513"/>
      <c r="P57" s="3514"/>
      <c r="Q57" s="3515"/>
      <c r="R57" s="2252"/>
      <c r="S57" s="2259"/>
      <c r="T57" s="2260"/>
      <c r="U57" s="2261"/>
      <c r="V57" s="2204"/>
      <c r="W57" s="2206"/>
      <c r="X57" s="2206"/>
      <c r="Y57" s="2206"/>
      <c r="Z57" s="2206"/>
      <c r="AA57" s="2207"/>
      <c r="AB57" s="2208"/>
      <c r="AC57" s="2262"/>
      <c r="AD57" s="2000"/>
    </row>
    <row r="58" spans="1:30" ht="17.1" customHeight="1">
      <c r="A58" s="1981"/>
      <c r="B58" s="1996"/>
      <c r="C58" s="2089" t="s">
        <v>207</v>
      </c>
      <c r="D58" s="2448"/>
      <c r="E58" s="2448"/>
      <c r="F58" s="3511"/>
      <c r="G58" s="3512"/>
      <c r="H58" s="2193"/>
      <c r="I58" s="2211"/>
      <c r="J58" s="1883"/>
      <c r="K58" s="2451"/>
      <c r="L58" s="2196"/>
      <c r="M58" s="2197"/>
      <c r="N58" s="2258"/>
      <c r="O58" s="3513"/>
      <c r="P58" s="3514"/>
      <c r="Q58" s="3515"/>
      <c r="R58" s="2252"/>
      <c r="S58" s="2259"/>
      <c r="T58" s="2260"/>
      <c r="U58" s="2261"/>
      <c r="V58" s="2204"/>
      <c r="W58" s="2206"/>
      <c r="X58" s="2206"/>
      <c r="Y58" s="2206"/>
      <c r="Z58" s="2206"/>
      <c r="AA58" s="2207"/>
      <c r="AB58" s="2208"/>
      <c r="AC58" s="2262"/>
      <c r="AD58" s="2000"/>
    </row>
    <row r="59" spans="1:30" ht="17.1" customHeight="1" thickBot="1">
      <c r="A59" s="2021"/>
      <c r="B59" s="1996"/>
      <c r="C59" s="2263"/>
      <c r="D59" s="2212"/>
      <c r="E59" s="2213"/>
      <c r="F59" s="3516"/>
      <c r="G59" s="3523"/>
      <c r="H59" s="2216"/>
      <c r="I59" s="2217"/>
      <c r="J59" s="2218"/>
      <c r="K59" s="2219"/>
      <c r="L59" s="2220"/>
      <c r="M59" s="2221"/>
      <c r="N59" s="2222"/>
      <c r="O59" s="3518"/>
      <c r="P59" s="3524"/>
      <c r="Q59" s="3519"/>
      <c r="R59" s="2252"/>
      <c r="S59" s="2259"/>
      <c r="T59" s="2260"/>
      <c r="U59" s="2261"/>
      <c r="V59" s="2204"/>
      <c r="W59" s="2229"/>
      <c r="X59" s="2229"/>
      <c r="Y59" s="2229"/>
      <c r="Z59" s="2229"/>
      <c r="AA59" s="2230"/>
      <c r="AB59" s="2231"/>
      <c r="AC59" s="2262" t="str">
        <f>IF(D59="","",SUM(S59:V59)*IF(AB59="SI",1,2))</f>
        <v/>
      </c>
      <c r="AD59" s="2140"/>
    </row>
    <row r="60" spans="1:30" ht="17.1" customHeight="1" thickBot="1" thickTop="1">
      <c r="A60" s="2021"/>
      <c r="B60" s="1996"/>
      <c r="C60" s="2233"/>
      <c r="D60" s="2041"/>
      <c r="E60" s="2041"/>
      <c r="F60" s="2234"/>
      <c r="G60" s="2235"/>
      <c r="H60" s="2236"/>
      <c r="I60" s="2237"/>
      <c r="J60" s="2238"/>
      <c r="K60" s="2239"/>
      <c r="L60" s="2240"/>
      <c r="M60" s="2236"/>
      <c r="N60" s="2241"/>
      <c r="O60" s="2242"/>
      <c r="P60" s="2264"/>
      <c r="Q60" s="2265"/>
      <c r="R60" s="2266"/>
      <c r="S60" s="2266"/>
      <c r="T60" s="2266"/>
      <c r="U60" s="2267"/>
      <c r="V60" s="2267"/>
      <c r="W60" s="2267"/>
      <c r="X60" s="2267"/>
      <c r="Y60" s="2267"/>
      <c r="Z60" s="2267"/>
      <c r="AA60" s="2267"/>
      <c r="AB60" s="2267"/>
      <c r="AC60" s="2247">
        <f>SUM(AC50:AC59)</f>
        <v>160764.968</v>
      </c>
      <c r="AD60" s="2140"/>
    </row>
    <row r="61" spans="1:30" ht="17.1" customHeight="1" thickBot="1" thickTop="1">
      <c r="A61" s="2021"/>
      <c r="B61" s="1996"/>
      <c r="C61" s="2233"/>
      <c r="D61" s="2041"/>
      <c r="E61" s="2041"/>
      <c r="F61" s="2234"/>
      <c r="G61" s="2235"/>
      <c r="H61" s="2236"/>
      <c r="I61" s="2237"/>
      <c r="J61" s="2238"/>
      <c r="K61" s="2239"/>
      <c r="L61" s="2240"/>
      <c r="M61" s="2236"/>
      <c r="N61" s="2241"/>
      <c r="O61" s="2242"/>
      <c r="P61" s="2264"/>
      <c r="Q61" s="2265"/>
      <c r="R61" s="2266"/>
      <c r="S61" s="2266"/>
      <c r="T61" s="2266"/>
      <c r="U61" s="2267"/>
      <c r="V61" s="2267"/>
      <c r="W61" s="2267"/>
      <c r="X61" s="2267"/>
      <c r="Y61" s="2267"/>
      <c r="Z61" s="2267"/>
      <c r="AA61" s="2267"/>
      <c r="AB61" s="2267"/>
      <c r="AC61" s="2268"/>
      <c r="AD61" s="2140"/>
    </row>
    <row r="62" spans="1:30" ht="33.95" customHeight="1" thickBot="1" thickTop="1">
      <c r="A62" s="2021"/>
      <c r="B62" s="1996"/>
      <c r="C62" s="2159" t="s">
        <v>13</v>
      </c>
      <c r="D62" s="2160" t="s">
        <v>27</v>
      </c>
      <c r="E62" s="2161" t="s">
        <v>28</v>
      </c>
      <c r="F62" s="3525" t="s">
        <v>29</v>
      </c>
      <c r="G62" s="3526"/>
      <c r="H62" s="2163" t="s">
        <v>16</v>
      </c>
      <c r="I62" s="2164"/>
      <c r="J62" s="2161" t="s">
        <v>17</v>
      </c>
      <c r="K62" s="2161" t="s">
        <v>18</v>
      </c>
      <c r="L62" s="2160" t="s">
        <v>30</v>
      </c>
      <c r="M62" s="2160" t="s">
        <v>31</v>
      </c>
      <c r="N62" s="2051" t="s">
        <v>102</v>
      </c>
      <c r="O62" s="2161" t="s">
        <v>32</v>
      </c>
      <c r="P62" s="2165" t="s">
        <v>33</v>
      </c>
      <c r="Q62" s="2166"/>
      <c r="R62" s="2163" t="s">
        <v>34</v>
      </c>
      <c r="S62" s="2167" t="s">
        <v>20</v>
      </c>
      <c r="T62" s="2168" t="s">
        <v>103</v>
      </c>
      <c r="U62" s="2169"/>
      <c r="V62" s="2170" t="s">
        <v>22</v>
      </c>
      <c r="W62" s="2171"/>
      <c r="X62" s="2172"/>
      <c r="Y62" s="2172"/>
      <c r="Z62" s="2172"/>
      <c r="AA62" s="2173"/>
      <c r="AB62" s="2174" t="s">
        <v>74</v>
      </c>
      <c r="AC62" s="2064" t="s">
        <v>24</v>
      </c>
      <c r="AD62" s="2140"/>
    </row>
    <row r="63" spans="1:30" ht="17.1" customHeight="1" thickTop="1">
      <c r="A63" s="2021"/>
      <c r="B63" s="1996"/>
      <c r="C63" s="2066"/>
      <c r="D63" s="2175"/>
      <c r="E63" s="2175"/>
      <c r="F63" s="3527"/>
      <c r="G63" s="3528"/>
      <c r="H63" s="2177"/>
      <c r="I63" s="2178"/>
      <c r="J63" s="2175"/>
      <c r="K63" s="2175"/>
      <c r="L63" s="2175"/>
      <c r="M63" s="2175"/>
      <c r="N63" s="2175"/>
      <c r="O63" s="2179"/>
      <c r="P63" s="3520"/>
      <c r="Q63" s="3521"/>
      <c r="R63" s="2180"/>
      <c r="S63" s="2181"/>
      <c r="T63" s="2182"/>
      <c r="U63" s="2183"/>
      <c r="V63" s="2184"/>
      <c r="W63" s="2185"/>
      <c r="X63" s="2186"/>
      <c r="Y63" s="2186"/>
      <c r="Z63" s="2186"/>
      <c r="AA63" s="2187"/>
      <c r="AB63" s="2179"/>
      <c r="AC63" s="2188"/>
      <c r="AD63" s="2140"/>
    </row>
    <row r="64" spans="1:30" ht="17.1" customHeight="1" thickBot="1">
      <c r="A64" s="2021"/>
      <c r="B64" s="1996"/>
      <c r="C64" s="2118"/>
      <c r="D64" s="2212"/>
      <c r="E64" s="2213"/>
      <c r="F64" s="3516"/>
      <c r="G64" s="3517"/>
      <c r="H64" s="2216"/>
      <c r="I64" s="2217"/>
      <c r="J64" s="2218"/>
      <c r="K64" s="2219"/>
      <c r="L64" s="2220"/>
      <c r="M64" s="2221"/>
      <c r="N64" s="2222"/>
      <c r="O64" s="2126"/>
      <c r="P64" s="3518"/>
      <c r="Q64" s="3519"/>
      <c r="R64" s="2223"/>
      <c r="S64" s="2224"/>
      <c r="T64" s="2270"/>
      <c r="U64" s="2271"/>
      <c r="V64" s="2227"/>
      <c r="W64" s="2228"/>
      <c r="X64" s="2229"/>
      <c r="Y64" s="2229"/>
      <c r="Z64" s="2229"/>
      <c r="AA64" s="2230"/>
      <c r="AB64" s="2231"/>
      <c r="AC64" s="2232"/>
      <c r="AD64" s="2140"/>
    </row>
    <row r="65" spans="1:30" ht="17.1" customHeight="1" thickBot="1" thickTop="1">
      <c r="A65" s="2021"/>
      <c r="B65" s="1996"/>
      <c r="C65" s="2233"/>
      <c r="D65" s="2041"/>
      <c r="E65" s="2041"/>
      <c r="F65" s="2234"/>
      <c r="G65" s="2235"/>
      <c r="H65" s="2236"/>
      <c r="I65" s="2237"/>
      <c r="J65" s="2238"/>
      <c r="K65" s="2239"/>
      <c r="L65" s="2240"/>
      <c r="M65" s="2236"/>
      <c r="N65" s="2241"/>
      <c r="O65" s="2242"/>
      <c r="P65" s="2243"/>
      <c r="Q65" s="2244"/>
      <c r="R65" s="2245"/>
      <c r="S65" s="2245"/>
      <c r="T65" s="2245"/>
      <c r="U65" s="2246"/>
      <c r="V65" s="2246"/>
      <c r="W65" s="2246"/>
      <c r="X65" s="2246"/>
      <c r="Y65" s="2246"/>
      <c r="Z65" s="2246"/>
      <c r="AA65" s="2246"/>
      <c r="AB65" s="2246"/>
      <c r="AC65" s="2247">
        <f>SUM(AC63:AC64)</f>
        <v>0</v>
      </c>
      <c r="AD65" s="2140"/>
    </row>
    <row r="66" spans="1:30" ht="17.1" customHeight="1" thickBot="1" thickTop="1">
      <c r="A66" s="2021"/>
      <c r="B66" s="2022"/>
      <c r="C66" s="2233"/>
      <c r="D66" s="2041"/>
      <c r="E66" s="2267"/>
      <c r="F66" s="2267"/>
      <c r="G66" s="2267"/>
      <c r="H66" s="2267"/>
      <c r="I66" s="2267"/>
      <c r="J66" s="2267"/>
      <c r="K66" s="2267"/>
      <c r="L66" s="2267"/>
      <c r="M66" s="2267"/>
      <c r="N66" s="2267"/>
      <c r="O66" s="2267"/>
      <c r="P66" s="2267"/>
      <c r="Q66" s="2267"/>
      <c r="R66" s="2267"/>
      <c r="S66" s="2267"/>
      <c r="T66" s="2267"/>
      <c r="U66" s="2267"/>
      <c r="V66" s="2267"/>
      <c r="W66" s="2267"/>
      <c r="X66" s="2267"/>
      <c r="Y66" s="2267"/>
      <c r="Z66" s="2267"/>
      <c r="AA66" s="2267"/>
      <c r="AB66" s="2267"/>
      <c r="AC66" s="2272"/>
      <c r="AD66" s="2273"/>
    </row>
    <row r="67" spans="1:30" ht="17.1" customHeight="1" thickBot="1" thickTop="1">
      <c r="A67" s="2021"/>
      <c r="B67" s="1996"/>
      <c r="C67" s="2233"/>
      <c r="D67" s="2041"/>
      <c r="E67" s="2041"/>
      <c r="F67" s="2234"/>
      <c r="G67" s="2235"/>
      <c r="H67" s="2236"/>
      <c r="I67" s="2237"/>
      <c r="J67" s="2039" t="s">
        <v>42</v>
      </c>
      <c r="K67" s="2040">
        <f>+AC47+AC39+AC60+AC65</f>
        <v>160764.968</v>
      </c>
      <c r="L67" s="2240"/>
      <c r="M67" s="2236"/>
      <c r="N67" s="2274"/>
      <c r="O67" s="2275"/>
      <c r="P67" s="2264"/>
      <c r="Q67" s="2265"/>
      <c r="R67" s="2266"/>
      <c r="S67" s="2266"/>
      <c r="T67" s="2266"/>
      <c r="U67" s="2267"/>
      <c r="V67" s="2267"/>
      <c r="W67" s="2267"/>
      <c r="X67" s="2267"/>
      <c r="Y67" s="2267"/>
      <c r="Z67" s="2267"/>
      <c r="AA67" s="2267"/>
      <c r="AB67" s="2267"/>
      <c r="AC67" s="2276"/>
      <c r="AD67" s="2140"/>
    </row>
    <row r="68" spans="1:30" ht="13.5" customHeight="1" thickTop="1">
      <c r="A68" s="2021"/>
      <c r="B68" s="2022"/>
      <c r="C68" s="2026"/>
      <c r="D68" s="2277"/>
      <c r="E68" s="2278"/>
      <c r="F68" s="2279"/>
      <c r="G68" s="2280"/>
      <c r="H68" s="2280"/>
      <c r="I68" s="2278"/>
      <c r="J68" s="2281"/>
      <c r="K68" s="2281"/>
      <c r="L68" s="2278"/>
      <c r="M68" s="2278"/>
      <c r="N68" s="2278"/>
      <c r="O68" s="2282"/>
      <c r="P68" s="2278"/>
      <c r="Q68" s="2278"/>
      <c r="R68" s="2283"/>
      <c r="S68" s="2284"/>
      <c r="T68" s="2284"/>
      <c r="U68" s="2285"/>
      <c r="AC68" s="2285"/>
      <c r="AD68" s="2273"/>
    </row>
    <row r="69" spans="1:30" ht="17.1" customHeight="1">
      <c r="A69" s="2021"/>
      <c r="B69" s="2022"/>
      <c r="C69" s="2286" t="s">
        <v>104</v>
      </c>
      <c r="D69" s="2287" t="s">
        <v>138</v>
      </c>
      <c r="E69" s="2278"/>
      <c r="F69" s="2279"/>
      <c r="G69" s="2280"/>
      <c r="H69" s="2280"/>
      <c r="I69" s="2278"/>
      <c r="J69" s="2281"/>
      <c r="K69" s="2281"/>
      <c r="L69" s="2278"/>
      <c r="M69" s="2278"/>
      <c r="N69" s="2278"/>
      <c r="O69" s="2282"/>
      <c r="P69" s="2278"/>
      <c r="Q69" s="2278"/>
      <c r="R69" s="2283"/>
      <c r="S69" s="2284"/>
      <c r="T69" s="2284"/>
      <c r="U69" s="2285"/>
      <c r="AC69" s="2285"/>
      <c r="AD69" s="2273"/>
    </row>
    <row r="70" spans="1:30" ht="17.1" customHeight="1">
      <c r="A70" s="2021"/>
      <c r="B70" s="2022"/>
      <c r="C70" s="2286"/>
      <c r="D70" s="2277"/>
      <c r="E70" s="2278"/>
      <c r="F70" s="2279"/>
      <c r="G70" s="2280"/>
      <c r="H70" s="2280"/>
      <c r="I70" s="2278"/>
      <c r="J70" s="2281"/>
      <c r="K70" s="2281"/>
      <c r="L70" s="2278"/>
      <c r="M70" s="2278"/>
      <c r="N70" s="2278"/>
      <c r="O70" s="2282"/>
      <c r="P70" s="2278"/>
      <c r="Q70" s="2278"/>
      <c r="R70" s="2278"/>
      <c r="S70" s="2283"/>
      <c r="T70" s="2284"/>
      <c r="AD70" s="2273"/>
    </row>
    <row r="71" spans="2:30" s="2021" customFormat="1" ht="17.1" customHeight="1">
      <c r="B71" s="2022"/>
      <c r="C71" s="2026"/>
      <c r="D71" s="2288" t="s">
        <v>0</v>
      </c>
      <c r="E71" s="2143" t="s">
        <v>105</v>
      </c>
      <c r="F71" s="2143" t="s">
        <v>43</v>
      </c>
      <c r="G71" s="2289" t="s">
        <v>139</v>
      </c>
      <c r="H71" s="2144"/>
      <c r="I71" s="2143"/>
      <c r="J71" s="1982"/>
      <c r="K71" s="1982"/>
      <c r="L71" s="2290" t="s">
        <v>140</v>
      </c>
      <c r="M71" s="1982"/>
      <c r="N71" s="1982"/>
      <c r="O71" s="1982"/>
      <c r="P71" s="1982"/>
      <c r="Q71" s="2291"/>
      <c r="R71" s="2291"/>
      <c r="S71" s="2023"/>
      <c r="T71" s="1982"/>
      <c r="U71" s="1982"/>
      <c r="V71" s="1982"/>
      <c r="W71" s="1982"/>
      <c r="X71" s="2023"/>
      <c r="Y71" s="2023"/>
      <c r="Z71" s="2023"/>
      <c r="AA71" s="2023"/>
      <c r="AB71" s="2023"/>
      <c r="AC71" s="2292" t="s">
        <v>142</v>
      </c>
      <c r="AD71" s="2273"/>
    </row>
    <row r="72" spans="2:30" s="2021" customFormat="1" ht="17.1" customHeight="1">
      <c r="B72" s="2022"/>
      <c r="C72" s="2026"/>
      <c r="D72" s="2143" t="s">
        <v>378</v>
      </c>
      <c r="E72" s="2293">
        <v>160</v>
      </c>
      <c r="F72" s="2293">
        <v>500</v>
      </c>
      <c r="G72" s="2294">
        <f>E72*$F$19*$L$20/100</f>
        <v>602484.0576000001</v>
      </c>
      <c r="H72" s="2294"/>
      <c r="I72" s="2294"/>
      <c r="J72" s="2011"/>
      <c r="K72" s="1982"/>
      <c r="L72" s="2295">
        <v>86917</v>
      </c>
      <c r="M72" s="2011"/>
      <c r="N72" s="643" t="str">
        <f ca="1">"(DTE "&amp;DATO!$G$14&amp;DATO!$H$14&amp;")"</f>
        <v>(DTE 0116)</v>
      </c>
      <c r="O72" s="1982"/>
      <c r="P72" s="1982"/>
      <c r="Q72" s="2291"/>
      <c r="R72" s="2291"/>
      <c r="S72" s="2023"/>
      <c r="T72" s="1982"/>
      <c r="U72" s="1982"/>
      <c r="V72" s="1982"/>
      <c r="W72" s="1982"/>
      <c r="X72" s="2023"/>
      <c r="Y72" s="2023"/>
      <c r="Z72" s="2023"/>
      <c r="AA72" s="2023"/>
      <c r="AB72" s="2296"/>
      <c r="AC72" s="2297">
        <f>L72+G72</f>
        <v>689401.0576000001</v>
      </c>
      <c r="AD72" s="2273"/>
    </row>
    <row r="73" spans="2:30" s="2021" customFormat="1" ht="17.1" customHeight="1">
      <c r="B73" s="2022"/>
      <c r="C73" s="2026"/>
      <c r="D73" s="2143" t="s">
        <v>379</v>
      </c>
      <c r="E73" s="2293">
        <v>147</v>
      </c>
      <c r="F73" s="2293">
        <v>500</v>
      </c>
      <c r="G73" s="2294">
        <f>E73*$F$19*$L$20/100</f>
        <v>553532.22792</v>
      </c>
      <c r="H73" s="2294"/>
      <c r="I73" s="2294"/>
      <c r="J73" s="2011"/>
      <c r="K73" s="1982"/>
      <c r="L73" s="2295">
        <v>16359</v>
      </c>
      <c r="M73" s="2011"/>
      <c r="N73" s="643" t="str">
        <f ca="1">"(DTE "&amp;DATO!$G$14&amp;DATO!$H$14&amp;")"</f>
        <v>(DTE 0116)</v>
      </c>
      <c r="O73" s="1982"/>
      <c r="P73" s="1982"/>
      <c r="Q73" s="2291"/>
      <c r="R73" s="2291"/>
      <c r="S73" s="2023"/>
      <c r="T73" s="1982"/>
      <c r="U73" s="1982"/>
      <c r="V73" s="1982"/>
      <c r="W73" s="1982"/>
      <c r="X73" s="2023"/>
      <c r="Y73" s="2023"/>
      <c r="Z73" s="2023"/>
      <c r="AA73" s="2023"/>
      <c r="AB73" s="2296"/>
      <c r="AC73" s="2297">
        <f>L73+G73</f>
        <v>569891.22792</v>
      </c>
      <c r="AD73" s="2273"/>
    </row>
    <row r="74" spans="2:30" s="2021" customFormat="1" ht="17.1" customHeight="1">
      <c r="B74" s="2022"/>
      <c r="C74" s="2026"/>
      <c r="D74" s="2143" t="s">
        <v>380</v>
      </c>
      <c r="E74" s="2293">
        <v>262.8</v>
      </c>
      <c r="F74" s="2293">
        <v>500</v>
      </c>
      <c r="G74" s="2294">
        <f>E74*$F$19*$L$20/100</f>
        <v>989580.0646080001</v>
      </c>
      <c r="H74" s="2294"/>
      <c r="I74" s="2294"/>
      <c r="J74" s="2011"/>
      <c r="K74" s="1982"/>
      <c r="L74" s="2295">
        <v>85239</v>
      </c>
      <c r="M74" s="2011"/>
      <c r="N74" s="643" t="str">
        <f ca="1">"(DTE "&amp;DATO!$G$14&amp;DATO!$H$14&amp;")"</f>
        <v>(DTE 0116)</v>
      </c>
      <c r="O74" s="1982"/>
      <c r="P74" s="1982"/>
      <c r="Q74" s="2291"/>
      <c r="R74" s="2291"/>
      <c r="S74" s="2023"/>
      <c r="T74" s="1982"/>
      <c r="U74" s="1982"/>
      <c r="V74" s="1982"/>
      <c r="W74" s="1982"/>
      <c r="X74" s="2023"/>
      <c r="Y74" s="2023"/>
      <c r="Z74" s="2023"/>
      <c r="AA74" s="2023"/>
      <c r="AB74" s="2296"/>
      <c r="AC74" s="2297">
        <f>L74+G74</f>
        <v>1074819.0646080002</v>
      </c>
      <c r="AD74" s="2273"/>
    </row>
    <row r="75" spans="2:30" s="2021" customFormat="1" ht="17.1" customHeight="1">
      <c r="B75" s="2022"/>
      <c r="C75" s="2026"/>
      <c r="E75" s="2031"/>
      <c r="F75" s="2143"/>
      <c r="G75" s="2144"/>
      <c r="H75" s="1982"/>
      <c r="I75" s="2143"/>
      <c r="J75" s="2143"/>
      <c r="K75" s="1982"/>
      <c r="L75" s="2297"/>
      <c r="M75" s="2298"/>
      <c r="N75" s="2298"/>
      <c r="O75" s="2291"/>
      <c r="P75" s="2291"/>
      <c r="Q75" s="2291"/>
      <c r="R75" s="2291"/>
      <c r="S75" s="2023"/>
      <c r="T75" s="1982"/>
      <c r="U75" s="1982"/>
      <c r="V75" s="1982"/>
      <c r="W75" s="1982"/>
      <c r="X75" s="2023"/>
      <c r="Y75" s="2023"/>
      <c r="Z75" s="2023"/>
      <c r="AA75" s="2023"/>
      <c r="AB75" s="2023"/>
      <c r="AC75" s="2297"/>
      <c r="AD75" s="2273"/>
    </row>
    <row r="76" spans="1:30" ht="17.1" customHeight="1">
      <c r="A76" s="2021"/>
      <c r="B76" s="2022"/>
      <c r="C76" s="2026"/>
      <c r="D76" s="2288" t="s">
        <v>119</v>
      </c>
      <c r="E76" s="2143" t="s">
        <v>120</v>
      </c>
      <c r="F76" s="2143" t="s">
        <v>43</v>
      </c>
      <c r="G76" s="2289" t="s">
        <v>143</v>
      </c>
      <c r="I76" s="2299"/>
      <c r="J76" s="2143"/>
      <c r="L76" s="2290" t="s">
        <v>141</v>
      </c>
      <c r="M76" s="2299"/>
      <c r="N76" s="2298"/>
      <c r="O76" s="2291"/>
      <c r="P76" s="2291"/>
      <c r="Q76" s="2291"/>
      <c r="R76" s="2291"/>
      <c r="S76" s="2291"/>
      <c r="AC76" s="2297"/>
      <c r="AD76" s="2273"/>
    </row>
    <row r="77" spans="1:30" ht="17.1" customHeight="1">
      <c r="A77" s="2021"/>
      <c r="B77" s="2022"/>
      <c r="C77" s="2026"/>
      <c r="D77" s="2143" t="s">
        <v>381</v>
      </c>
      <c r="E77" s="2293">
        <v>300</v>
      </c>
      <c r="F77" s="2293" t="s">
        <v>135</v>
      </c>
      <c r="G77" s="2294">
        <f>E77*F20*L20</f>
        <v>310471.2</v>
      </c>
      <c r="H77" s="2011"/>
      <c r="I77" s="2011"/>
      <c r="J77" s="2295"/>
      <c r="L77" s="2295"/>
      <c r="M77" s="2011"/>
      <c r="N77" s="643" t="str">
        <f ca="1">"(DTE "&amp;DATO!$G$14&amp;DATO!$H$14&amp;")"</f>
        <v>(DTE 0116)</v>
      </c>
      <c r="O77" s="2300"/>
      <c r="P77" s="2300"/>
      <c r="Q77" s="2300"/>
      <c r="R77" s="2300"/>
      <c r="S77" s="2300"/>
      <c r="AC77" s="2301">
        <f>G77+L77</f>
        <v>310471.2</v>
      </c>
      <c r="AD77" s="2273"/>
    </row>
    <row r="78" spans="1:30" ht="17.1" customHeight="1">
      <c r="A78" s="2021"/>
      <c r="B78" s="2022"/>
      <c r="C78" s="2026"/>
      <c r="D78" s="2143" t="s">
        <v>382</v>
      </c>
      <c r="E78" s="2293">
        <v>300</v>
      </c>
      <c r="F78" s="2293" t="s">
        <v>135</v>
      </c>
      <c r="G78" s="2294">
        <f>E78*F20*L20</f>
        <v>310471.2</v>
      </c>
      <c r="H78" s="2011"/>
      <c r="I78" s="2011"/>
      <c r="J78" s="2295"/>
      <c r="L78" s="2295"/>
      <c r="M78" s="2011"/>
      <c r="N78" s="643" t="str">
        <f ca="1">"(DTE "&amp;DATO!$G$14&amp;DATO!$H$14&amp;")"</f>
        <v>(DTE 0116)</v>
      </c>
      <c r="O78" s="2300"/>
      <c r="P78" s="2300"/>
      <c r="Q78" s="2300"/>
      <c r="R78" s="2300"/>
      <c r="S78" s="2300"/>
      <c r="AC78" s="2301">
        <f>G78+L78</f>
        <v>310471.2</v>
      </c>
      <c r="AD78" s="2273"/>
    </row>
    <row r="79" spans="1:30" ht="17.1" customHeight="1">
      <c r="A79" s="2021"/>
      <c r="B79" s="2022"/>
      <c r="C79" s="2026"/>
      <c r="D79" s="2143" t="s">
        <v>383</v>
      </c>
      <c r="E79" s="2293">
        <v>150</v>
      </c>
      <c r="F79" s="2293" t="s">
        <v>135</v>
      </c>
      <c r="G79" s="2294">
        <f>E79*F20*L20</f>
        <v>155235.6</v>
      </c>
      <c r="H79" s="2011"/>
      <c r="I79" s="2011"/>
      <c r="J79" s="2295"/>
      <c r="L79" s="2295"/>
      <c r="M79" s="2011"/>
      <c r="N79" s="643" t="str">
        <f ca="1">"(DTE "&amp;DATO!$G$14&amp;DATO!$H$14&amp;")"</f>
        <v>(DTE 0116)</v>
      </c>
      <c r="O79" s="2300"/>
      <c r="P79" s="2300"/>
      <c r="Q79" s="2300"/>
      <c r="R79" s="2300"/>
      <c r="S79" s="2300"/>
      <c r="AC79" s="2301">
        <f>G79+L79</f>
        <v>155235.6</v>
      </c>
      <c r="AD79" s="2273"/>
    </row>
    <row r="80" spans="1:30" ht="17.1" customHeight="1">
      <c r="A80" s="2021"/>
      <c r="B80" s="2022"/>
      <c r="C80" s="2026"/>
      <c r="D80" s="2143"/>
      <c r="E80" s="2293"/>
      <c r="F80" s="2293"/>
      <c r="G80" s="2294"/>
      <c r="H80" s="2011"/>
      <c r="I80" s="2011"/>
      <c r="J80" s="2295"/>
      <c r="L80" s="2295"/>
      <c r="M80" s="2011"/>
      <c r="N80" s="2302"/>
      <c r="O80" s="2300"/>
      <c r="P80" s="2300"/>
      <c r="Q80" s="2300"/>
      <c r="R80" s="2300"/>
      <c r="S80" s="2300"/>
      <c r="AC80" s="2301"/>
      <c r="AD80" s="2273"/>
    </row>
    <row r="81" spans="1:30" ht="17.1" customHeight="1">
      <c r="A81" s="2021"/>
      <c r="B81" s="2022"/>
      <c r="C81" s="2026"/>
      <c r="D81" s="2288" t="s">
        <v>61</v>
      </c>
      <c r="E81" s="2143" t="s">
        <v>1</v>
      </c>
      <c r="F81" s="2303"/>
      <c r="G81" s="2143" t="s">
        <v>43</v>
      </c>
      <c r="I81" s="2299"/>
      <c r="J81" s="2289" t="s">
        <v>144</v>
      </c>
      <c r="L81" s="2290"/>
      <c r="M81" s="2299"/>
      <c r="N81" s="2298"/>
      <c r="O81" s="2291"/>
      <c r="P81" s="2291"/>
      <c r="Q81" s="2291"/>
      <c r="R81" s="2291"/>
      <c r="S81" s="2291"/>
      <c r="AC81" s="2297"/>
      <c r="AD81" s="2273"/>
    </row>
    <row r="82" spans="1:30" ht="17.1" customHeight="1">
      <c r="A82" s="2021"/>
      <c r="B82" s="2022"/>
      <c r="C82" s="2026"/>
      <c r="D82" s="2143" t="s">
        <v>384</v>
      </c>
      <c r="E82" s="2293" t="s">
        <v>385</v>
      </c>
      <c r="F82" s="2304"/>
      <c r="G82" s="2293">
        <v>132</v>
      </c>
      <c r="H82" s="2011"/>
      <c r="I82" s="2011"/>
      <c r="J82" s="2294">
        <f aca="true" t="shared" si="31" ref="J82:J89">$F$21*$L$20</f>
        <v>164298.264</v>
      </c>
      <c r="L82" s="2295"/>
      <c r="M82" s="2011"/>
      <c r="N82" s="2302"/>
      <c r="O82" s="2300"/>
      <c r="P82" s="2300"/>
      <c r="Q82" s="2300"/>
      <c r="R82" s="2300"/>
      <c r="S82" s="2300"/>
      <c r="AC82" s="2301">
        <f aca="true" t="shared" si="32" ref="AC82:AC89">J82</f>
        <v>164298.264</v>
      </c>
      <c r="AD82" s="2273"/>
    </row>
    <row r="83" spans="1:30" ht="17.1" customHeight="1">
      <c r="A83" s="2021"/>
      <c r="B83" s="2022"/>
      <c r="C83" s="2026"/>
      <c r="D83" s="2143" t="s">
        <v>384</v>
      </c>
      <c r="E83" s="2293" t="s">
        <v>386</v>
      </c>
      <c r="F83" s="2304"/>
      <c r="G83" s="2293">
        <v>132</v>
      </c>
      <c r="H83" s="2011"/>
      <c r="I83" s="2011"/>
      <c r="J83" s="2294">
        <f t="shared" si="31"/>
        <v>164298.264</v>
      </c>
      <c r="L83" s="2295"/>
      <c r="M83" s="2011"/>
      <c r="N83" s="2302"/>
      <c r="O83" s="2300"/>
      <c r="P83" s="2300"/>
      <c r="Q83" s="2300"/>
      <c r="R83" s="2300"/>
      <c r="S83" s="2300"/>
      <c r="AC83" s="2301">
        <f t="shared" si="32"/>
        <v>164298.264</v>
      </c>
      <c r="AD83" s="2273"/>
    </row>
    <row r="84" spans="1:30" ht="17.1" customHeight="1">
      <c r="A84" s="2021"/>
      <c r="B84" s="2022"/>
      <c r="C84" s="2026"/>
      <c r="D84" s="2143" t="s">
        <v>384</v>
      </c>
      <c r="E84" s="2293" t="s">
        <v>387</v>
      </c>
      <c r="F84" s="2304"/>
      <c r="G84" s="2293">
        <v>132</v>
      </c>
      <c r="H84" s="2011"/>
      <c r="I84" s="2011"/>
      <c r="J84" s="2294">
        <f t="shared" si="31"/>
        <v>164298.264</v>
      </c>
      <c r="L84" s="2295"/>
      <c r="M84" s="2011"/>
      <c r="N84" s="2302"/>
      <c r="O84" s="2300"/>
      <c r="P84" s="2300"/>
      <c r="Q84" s="2300"/>
      <c r="R84" s="2300"/>
      <c r="S84" s="2300"/>
      <c r="AC84" s="2301">
        <f t="shared" si="32"/>
        <v>164298.264</v>
      </c>
      <c r="AD84" s="2273"/>
    </row>
    <row r="85" spans="1:30" ht="17.1" customHeight="1">
      <c r="A85" s="2021"/>
      <c r="B85" s="2022"/>
      <c r="C85" s="2026"/>
      <c r="D85" s="2143" t="s">
        <v>384</v>
      </c>
      <c r="E85" s="2293" t="s">
        <v>388</v>
      </c>
      <c r="F85" s="2304"/>
      <c r="G85" s="2293">
        <v>132</v>
      </c>
      <c r="H85" s="2011"/>
      <c r="I85" s="2011"/>
      <c r="J85" s="2294">
        <f t="shared" si="31"/>
        <v>164298.264</v>
      </c>
      <c r="L85" s="2295"/>
      <c r="M85" s="2011"/>
      <c r="N85" s="2302"/>
      <c r="O85" s="2300"/>
      <c r="P85" s="2300"/>
      <c r="Q85" s="2300"/>
      <c r="R85" s="2300"/>
      <c r="S85" s="2300"/>
      <c r="AC85" s="2301">
        <f t="shared" si="32"/>
        <v>164298.264</v>
      </c>
      <c r="AD85" s="2273"/>
    </row>
    <row r="86" spans="1:30" ht="17.1" customHeight="1">
      <c r="A86" s="2021"/>
      <c r="B86" s="2022"/>
      <c r="C86" s="2026"/>
      <c r="D86" s="2143" t="s">
        <v>384</v>
      </c>
      <c r="E86" s="2293" t="s">
        <v>389</v>
      </c>
      <c r="F86" s="2304"/>
      <c r="G86" s="2293">
        <v>132</v>
      </c>
      <c r="H86" s="2011"/>
      <c r="I86" s="2011"/>
      <c r="J86" s="2294">
        <f t="shared" si="31"/>
        <v>164298.264</v>
      </c>
      <c r="L86" s="2295"/>
      <c r="M86" s="2011"/>
      <c r="N86" s="2302"/>
      <c r="O86" s="2300"/>
      <c r="P86" s="2300"/>
      <c r="Q86" s="2300"/>
      <c r="R86" s="2300"/>
      <c r="S86" s="2300"/>
      <c r="AC86" s="2301">
        <f t="shared" si="32"/>
        <v>164298.264</v>
      </c>
      <c r="AD86" s="2273"/>
    </row>
    <row r="87" spans="1:30" ht="17.1" customHeight="1">
      <c r="A87" s="2021"/>
      <c r="B87" s="2022"/>
      <c r="C87" s="2026"/>
      <c r="D87" s="2143" t="s">
        <v>390</v>
      </c>
      <c r="E87" s="2293" t="s">
        <v>391</v>
      </c>
      <c r="F87" s="2304"/>
      <c r="G87" s="2293">
        <v>132</v>
      </c>
      <c r="H87" s="2011"/>
      <c r="I87" s="2011"/>
      <c r="J87" s="2294">
        <f t="shared" si="31"/>
        <v>164298.264</v>
      </c>
      <c r="L87" s="2295"/>
      <c r="M87" s="2011"/>
      <c r="N87" s="2302"/>
      <c r="O87" s="2300"/>
      <c r="P87" s="2300"/>
      <c r="Q87" s="2300"/>
      <c r="R87" s="2300"/>
      <c r="S87" s="2300"/>
      <c r="AC87" s="2301">
        <f t="shared" si="32"/>
        <v>164298.264</v>
      </c>
      <c r="AD87" s="2273"/>
    </row>
    <row r="88" spans="1:30" ht="17.1" customHeight="1">
      <c r="A88" s="2021"/>
      <c r="B88" s="2022"/>
      <c r="C88" s="2026"/>
      <c r="D88" s="2143" t="s">
        <v>390</v>
      </c>
      <c r="E88" s="2293" t="s">
        <v>392</v>
      </c>
      <c r="F88" s="2304"/>
      <c r="G88" s="2293">
        <v>132</v>
      </c>
      <c r="H88" s="2011"/>
      <c r="I88" s="2011"/>
      <c r="J88" s="2294">
        <f t="shared" si="31"/>
        <v>164298.264</v>
      </c>
      <c r="L88" s="2295"/>
      <c r="M88" s="2011"/>
      <c r="N88" s="2302"/>
      <c r="O88" s="2300"/>
      <c r="P88" s="2300"/>
      <c r="Q88" s="2300"/>
      <c r="R88" s="2300"/>
      <c r="S88" s="2300"/>
      <c r="AC88" s="2301">
        <f t="shared" si="32"/>
        <v>164298.264</v>
      </c>
      <c r="AD88" s="2273"/>
    </row>
    <row r="89" spans="1:30" ht="17.1" customHeight="1">
      <c r="A89" s="2021"/>
      <c r="B89" s="2022"/>
      <c r="C89" s="2026"/>
      <c r="D89" s="2143" t="s">
        <v>393</v>
      </c>
      <c r="E89" s="2293" t="s">
        <v>394</v>
      </c>
      <c r="F89" s="2304"/>
      <c r="G89" s="2293">
        <v>132</v>
      </c>
      <c r="H89" s="2011"/>
      <c r="I89" s="2011"/>
      <c r="J89" s="2294">
        <f t="shared" si="31"/>
        <v>164298.264</v>
      </c>
      <c r="L89" s="2295"/>
      <c r="M89" s="2011"/>
      <c r="N89" s="2302"/>
      <c r="O89" s="2300"/>
      <c r="P89" s="2300"/>
      <c r="Q89" s="2300"/>
      <c r="R89" s="2300"/>
      <c r="S89" s="2300"/>
      <c r="AC89" s="2301">
        <f t="shared" si="32"/>
        <v>164298.264</v>
      </c>
      <c r="AD89" s="2273"/>
    </row>
    <row r="90" spans="1:30" ht="17.1" customHeight="1" thickBot="1">
      <c r="A90" s="2021"/>
      <c r="B90" s="2022"/>
      <c r="C90" s="2026"/>
      <c r="D90" s="2143"/>
      <c r="E90" s="2293"/>
      <c r="F90" s="2293"/>
      <c r="G90" s="2294"/>
      <c r="H90" s="2011"/>
      <c r="I90" s="2011"/>
      <c r="J90" s="2294"/>
      <c r="L90" s="2295"/>
      <c r="M90" s="2011"/>
      <c r="N90" s="2302"/>
      <c r="O90" s="2300"/>
      <c r="P90" s="2300"/>
      <c r="Q90" s="2300"/>
      <c r="R90" s="2300"/>
      <c r="S90" s="2300"/>
      <c r="AC90" s="2301"/>
      <c r="AD90" s="2273"/>
    </row>
    <row r="91" spans="1:30" ht="17.1" customHeight="1" thickBot="1" thickTop="1">
      <c r="A91" s="2021"/>
      <c r="B91" s="2022"/>
      <c r="C91" s="2026"/>
      <c r="D91" s="2281"/>
      <c r="E91" s="2031"/>
      <c r="F91" s="2143"/>
      <c r="G91" s="2143"/>
      <c r="H91" s="2144"/>
      <c r="J91" s="2143"/>
      <c r="L91" s="2305"/>
      <c r="M91" s="2298"/>
      <c r="N91" s="2298"/>
      <c r="O91" s="2291"/>
      <c r="P91" s="2291"/>
      <c r="Q91" s="2291"/>
      <c r="R91" s="2291"/>
      <c r="S91" s="2291"/>
      <c r="AB91" s="2306" t="s">
        <v>395</v>
      </c>
      <c r="AC91" s="2307">
        <f>SUM(AC72:AC89)</f>
        <v>4424675.462128001</v>
      </c>
      <c r="AD91" s="2273"/>
    </row>
    <row r="92" spans="2:30" ht="17.1" customHeight="1" thickBot="1" thickTop="1">
      <c r="B92" s="2022"/>
      <c r="C92" s="2286" t="s">
        <v>108</v>
      </c>
      <c r="D92" s="2308" t="s">
        <v>109</v>
      </c>
      <c r="E92" s="2143"/>
      <c r="F92" s="2309"/>
      <c r="G92" s="2142"/>
      <c r="H92" s="2281"/>
      <c r="I92" s="2281"/>
      <c r="J92" s="2281"/>
      <c r="K92" s="2143"/>
      <c r="L92" s="2143"/>
      <c r="M92" s="2281"/>
      <c r="N92" s="2143"/>
      <c r="O92" s="2281"/>
      <c r="P92" s="2281"/>
      <c r="Q92" s="2281"/>
      <c r="R92" s="2281"/>
      <c r="S92" s="2281"/>
      <c r="T92" s="2281"/>
      <c r="U92" s="2281"/>
      <c r="AC92" s="2281"/>
      <c r="AD92" s="2273"/>
    </row>
    <row r="93" spans="2:30" s="2021" customFormat="1" ht="17.1" customHeight="1" thickBot="1" thickTop="1">
      <c r="B93" s="2022"/>
      <c r="C93" s="2026"/>
      <c r="D93" s="2288" t="s">
        <v>110</v>
      </c>
      <c r="E93" s="2310">
        <f>10*K67*K26/AC91</f>
        <v>38849.78836980503</v>
      </c>
      <c r="G93" s="2142"/>
      <c r="L93" s="2143"/>
      <c r="N93" s="2143"/>
      <c r="O93" s="2144"/>
      <c r="V93" s="1982"/>
      <c r="W93" s="1982"/>
      <c r="AB93" s="2306" t="s">
        <v>363</v>
      </c>
      <c r="AC93" s="2307">
        <v>2673121.318768</v>
      </c>
      <c r="AD93" s="2273"/>
    </row>
    <row r="94" spans="2:30" s="2021" customFormat="1" ht="17.1" customHeight="1" thickTop="1">
      <c r="B94" s="2022"/>
      <c r="C94" s="2026"/>
      <c r="E94" s="2311"/>
      <c r="F94" s="2037"/>
      <c r="G94" s="2142"/>
      <c r="J94" s="2142"/>
      <c r="K94" s="2157"/>
      <c r="L94" s="2143"/>
      <c r="M94" s="2143"/>
      <c r="N94" s="2143"/>
      <c r="O94" s="2144"/>
      <c r="P94" s="2143"/>
      <c r="Q94" s="2143"/>
      <c r="R94" s="2156"/>
      <c r="S94" s="2156"/>
      <c r="T94" s="2156"/>
      <c r="U94" s="2312"/>
      <c r="V94" s="1982"/>
      <c r="W94" s="1982"/>
      <c r="AC94" s="2312"/>
      <c r="AD94" s="2273"/>
    </row>
    <row r="95" spans="2:30" ht="17.1" customHeight="1">
      <c r="B95" s="2022"/>
      <c r="C95" s="2026"/>
      <c r="D95" s="2701" t="s">
        <v>471</v>
      </c>
      <c r="E95" s="2314"/>
      <c r="F95" s="2037"/>
      <c r="G95" s="2142"/>
      <c r="H95" s="2281"/>
      <c r="I95" s="2281"/>
      <c r="N95" s="2143"/>
      <c r="O95" s="2144"/>
      <c r="P95" s="2143"/>
      <c r="Q95" s="2143"/>
      <c r="R95" s="2299"/>
      <c r="S95" s="2299"/>
      <c r="T95" s="2299"/>
      <c r="U95" s="2298"/>
      <c r="AC95" s="2298"/>
      <c r="AD95" s="2273"/>
    </row>
    <row r="96" spans="2:30" ht="17.1" customHeight="1" thickBot="1">
      <c r="B96" s="2022"/>
      <c r="C96" s="2026"/>
      <c r="D96" s="2313"/>
      <c r="E96" s="2314"/>
      <c r="F96" s="2037"/>
      <c r="G96" s="2142"/>
      <c r="H96" s="2281"/>
      <c r="I96" s="2281"/>
      <c r="N96" s="2143"/>
      <c r="O96" s="2144"/>
      <c r="P96" s="2143"/>
      <c r="Q96" s="2143"/>
      <c r="R96" s="2299"/>
      <c r="S96" s="2299"/>
      <c r="T96" s="2299"/>
      <c r="U96" s="2298"/>
      <c r="AC96" s="2298"/>
      <c r="AD96" s="2273"/>
    </row>
    <row r="97" spans="2:30" s="2315" customFormat="1" ht="21" thickBot="1" thickTop="1">
      <c r="B97" s="2316"/>
      <c r="C97" s="2317"/>
      <c r="D97" s="2318"/>
      <c r="E97" s="2319"/>
      <c r="F97" s="2320"/>
      <c r="G97" s="2321"/>
      <c r="I97" s="1982"/>
      <c r="J97" s="2322" t="s">
        <v>111</v>
      </c>
      <c r="K97" s="2323">
        <f>IF(E93&gt;3*K26,K26*3,E93)</f>
        <v>38849.78836980503</v>
      </c>
      <c r="M97" s="2324"/>
      <c r="N97" s="2325" t="s">
        <v>396</v>
      </c>
      <c r="O97" s="2326"/>
      <c r="P97" s="2324"/>
      <c r="Q97" s="2324"/>
      <c r="R97" s="2327"/>
      <c r="S97" s="2327"/>
      <c r="T97" s="2327"/>
      <c r="U97" s="2328"/>
      <c r="V97" s="1982"/>
      <c r="W97" s="1982"/>
      <c r="AC97" s="2328"/>
      <c r="AD97" s="2329"/>
    </row>
    <row r="98" spans="2:30" ht="17.1" customHeight="1" thickBot="1" thickTop="1">
      <c r="B98" s="2330"/>
      <c r="C98" s="2331"/>
      <c r="D98" s="2331"/>
      <c r="E98" s="2331"/>
      <c r="F98" s="2331"/>
      <c r="G98" s="2331"/>
      <c r="H98" s="2331"/>
      <c r="I98" s="2331"/>
      <c r="J98" s="2331"/>
      <c r="K98" s="2331"/>
      <c r="L98" s="2331"/>
      <c r="M98" s="2331"/>
      <c r="N98" s="2331"/>
      <c r="O98" s="2331"/>
      <c r="P98" s="2331"/>
      <c r="Q98" s="2331"/>
      <c r="R98" s="2331"/>
      <c r="S98" s="2331"/>
      <c r="T98" s="2331"/>
      <c r="U98" s="2331"/>
      <c r="V98" s="2332"/>
      <c r="W98" s="2332"/>
      <c r="X98" s="2332"/>
      <c r="Y98" s="2332"/>
      <c r="Z98" s="2332"/>
      <c r="AA98" s="2332"/>
      <c r="AB98" s="2332"/>
      <c r="AC98" s="2331"/>
      <c r="AD98" s="2333"/>
    </row>
    <row r="99" spans="2:23" ht="17.1" customHeight="1" thickTop="1">
      <c r="B99" s="2018"/>
      <c r="C99" s="2334"/>
      <c r="W99" s="2018"/>
    </row>
  </sheetData>
  <sheetProtection password="CC12"/>
  <mergeCells count="32">
    <mergeCell ref="F49:G49"/>
    <mergeCell ref="O49:Q49"/>
    <mergeCell ref="P42:Q42"/>
    <mergeCell ref="P43:Q43"/>
    <mergeCell ref="P44:Q44"/>
    <mergeCell ref="P45:Q45"/>
    <mergeCell ref="P46:Q46"/>
    <mergeCell ref="F64:G64"/>
    <mergeCell ref="P64:Q64"/>
    <mergeCell ref="F58:G58"/>
    <mergeCell ref="F50:G50"/>
    <mergeCell ref="O50:Q50"/>
    <mergeCell ref="F57:G57"/>
    <mergeCell ref="O57:Q57"/>
    <mergeCell ref="O58:Q58"/>
    <mergeCell ref="F59:G59"/>
    <mergeCell ref="O59:Q59"/>
    <mergeCell ref="F62:G62"/>
    <mergeCell ref="F63:G63"/>
    <mergeCell ref="P63:Q63"/>
    <mergeCell ref="F51:G51"/>
    <mergeCell ref="F52:G52"/>
    <mergeCell ref="F55:G55"/>
    <mergeCell ref="F56:G56"/>
    <mergeCell ref="O51:Q51"/>
    <mergeCell ref="O52:Q52"/>
    <mergeCell ref="O55:Q55"/>
    <mergeCell ref="O56:Q56"/>
    <mergeCell ref="O53:Q53"/>
    <mergeCell ref="O54:Q54"/>
    <mergeCell ref="F53:G53"/>
    <mergeCell ref="F54:G54"/>
  </mergeCells>
  <printOptions horizontalCentered="1"/>
  <pageMargins left="0.19" right="0.17" top="0.7874015748031497" bottom="0.7874015748031497" header="0.5118110236220472" footer="0.5118110236220472"/>
  <pageSetup fitToHeight="1" fitToWidth="1" horizontalDpi="600" verticalDpi="600" orientation="portrait" paperSize="9" scale="37" r:id="rId4"/>
  <headerFooter alignWithMargins="0">
    <oddFooter>&amp;L&amp;"Times New Roman,Normal"&amp;8&amp;Z&amp;F</oddFooter>
  </headerFooter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7">
    <pageSetUpPr fitToPage="1"/>
  </sheetPr>
  <dimension ref="A1:AG75"/>
  <sheetViews>
    <sheetView zoomScale="70" zoomScaleNormal="70" workbookViewId="0" topLeftCell="B1">
      <selection activeCell="A48" sqref="A48"/>
    </sheetView>
  </sheetViews>
  <sheetFormatPr defaultColWidth="11.421875" defaultRowHeight="12.75"/>
  <cols>
    <col min="1" max="1" width="23.00390625" style="853" customWidth="1"/>
    <col min="2" max="2" width="17.140625" style="853" customWidth="1"/>
    <col min="3" max="3" width="4.7109375" style="853" customWidth="1"/>
    <col min="4" max="4" width="30.7109375" style="853" customWidth="1"/>
    <col min="5" max="5" width="20.7109375" style="853" customWidth="1"/>
    <col min="6" max="6" width="17.57421875" style="853" customWidth="1"/>
    <col min="7" max="7" width="15.00390625" style="853" customWidth="1"/>
    <col min="8" max="8" width="11.28125" style="853" hidden="1" customWidth="1"/>
    <col min="9" max="9" width="9.57421875" style="853" hidden="1" customWidth="1"/>
    <col min="10" max="11" width="18.7109375" style="853" customWidth="1"/>
    <col min="12" max="12" width="11.8515625" style="853" customWidth="1"/>
    <col min="13" max="13" width="11.57421875" style="853" customWidth="1"/>
    <col min="14" max="14" width="9.7109375" style="853" customWidth="1"/>
    <col min="15" max="15" width="10.57421875" style="853" customWidth="1"/>
    <col min="16" max="16" width="8.421875" style="853" customWidth="1"/>
    <col min="17" max="17" width="5.8515625" style="853" customWidth="1"/>
    <col min="18" max="19" width="13.7109375" style="853" hidden="1" customWidth="1"/>
    <col min="20" max="20" width="13.57421875" style="853" hidden="1" customWidth="1"/>
    <col min="21" max="21" width="10.421875" style="853" hidden="1" customWidth="1"/>
    <col min="22" max="22" width="7.421875" style="853" hidden="1" customWidth="1"/>
    <col min="23" max="23" width="7.8515625" style="853" hidden="1" customWidth="1"/>
    <col min="24" max="24" width="7.421875" style="853" hidden="1" customWidth="1"/>
    <col min="25" max="26" width="7.28125" style="853" hidden="1" customWidth="1"/>
    <col min="27" max="27" width="7.00390625" style="853" hidden="1" customWidth="1"/>
    <col min="28" max="28" width="10.57421875" style="853" customWidth="1"/>
    <col min="29" max="29" width="19.8515625" style="853" customWidth="1"/>
    <col min="30" max="30" width="17.7109375" style="853" customWidth="1"/>
    <col min="31" max="31" width="4.140625" style="853" customWidth="1"/>
    <col min="32" max="32" width="7.140625" style="853" customWidth="1"/>
    <col min="33" max="33" width="5.28125" style="853" customWidth="1"/>
    <col min="34" max="34" width="5.421875" style="853" customWidth="1"/>
    <col min="35" max="35" width="4.7109375" style="853" customWidth="1"/>
    <col min="36" max="36" width="5.28125" style="853" customWidth="1"/>
    <col min="37" max="38" width="13.28125" style="853" customWidth="1"/>
    <col min="39" max="39" width="6.57421875" style="853" customWidth="1"/>
    <col min="40" max="40" width="6.421875" style="853" customWidth="1"/>
    <col min="41" max="44" width="11.421875" style="853" customWidth="1"/>
    <col min="45" max="45" width="12.7109375" style="853" customWidth="1"/>
    <col min="46" max="48" width="11.421875" style="853" customWidth="1"/>
    <col min="49" max="49" width="21.00390625" style="853" customWidth="1"/>
    <col min="50" max="16384" width="11.421875" style="853" customWidth="1"/>
  </cols>
  <sheetData>
    <row r="1" spans="1:30" ht="13.5">
      <c r="A1" s="851"/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AD1" s="854"/>
    </row>
    <row r="2" spans="1:23" ht="27" customHeight="1">
      <c r="A2" s="851"/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</row>
    <row r="3" spans="1:30" s="858" customFormat="1" ht="30.75">
      <c r="A3" s="855"/>
      <c r="B3" s="856" t="str">
        <f>'TOT-0116'!B2</f>
        <v>ANEXO II al Memorándum D.T.E.E. N° 231 / 2017</v>
      </c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AB3" s="857"/>
      <c r="AC3" s="857"/>
      <c r="AD3" s="857"/>
    </row>
    <row r="4" spans="1:2" s="861" customFormat="1" ht="11.25">
      <c r="A4" s="859" t="s">
        <v>2</v>
      </c>
      <c r="B4" s="860"/>
    </row>
    <row r="5" spans="1:2" s="861" customFormat="1" ht="12" thickBot="1">
      <c r="A5" s="859" t="s">
        <v>3</v>
      </c>
      <c r="B5" s="859"/>
    </row>
    <row r="6" spans="1:30" ht="17.1" customHeight="1" thickTop="1">
      <c r="A6" s="852"/>
      <c r="B6" s="862"/>
      <c r="C6" s="863"/>
      <c r="D6" s="863"/>
      <c r="E6" s="864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5"/>
      <c r="X6" s="865"/>
      <c r="Y6" s="865"/>
      <c r="Z6" s="865"/>
      <c r="AA6" s="865"/>
      <c r="AB6" s="865"/>
      <c r="AC6" s="865"/>
      <c r="AD6" s="866"/>
    </row>
    <row r="7" spans="1:30" ht="20.25">
      <c r="A7" s="852"/>
      <c r="B7" s="867"/>
      <c r="C7" s="868"/>
      <c r="D7" s="869" t="s">
        <v>92</v>
      </c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70"/>
      <c r="Q7" s="870"/>
      <c r="R7" s="868"/>
      <c r="S7" s="868"/>
      <c r="T7" s="868"/>
      <c r="U7" s="868"/>
      <c r="V7" s="868"/>
      <c r="AD7" s="871"/>
    </row>
    <row r="8" spans="1:30" ht="17.1" customHeight="1">
      <c r="A8" s="852"/>
      <c r="B8" s="867"/>
      <c r="C8" s="868"/>
      <c r="D8" s="868"/>
      <c r="E8" s="868"/>
      <c r="F8" s="868"/>
      <c r="G8" s="868"/>
      <c r="H8" s="868"/>
      <c r="I8" s="868"/>
      <c r="J8" s="868"/>
      <c r="K8" s="868"/>
      <c r="L8" s="868"/>
      <c r="M8" s="868"/>
      <c r="N8" s="868"/>
      <c r="O8" s="868"/>
      <c r="P8" s="868"/>
      <c r="Q8" s="868"/>
      <c r="R8" s="868"/>
      <c r="S8" s="868"/>
      <c r="T8" s="868"/>
      <c r="U8" s="868"/>
      <c r="V8" s="868"/>
      <c r="AD8" s="871"/>
    </row>
    <row r="9" spans="2:30" s="872" customFormat="1" ht="20.25">
      <c r="B9" s="873"/>
      <c r="C9" s="874"/>
      <c r="D9" s="869" t="s">
        <v>93</v>
      </c>
      <c r="E9" s="874"/>
      <c r="F9" s="874"/>
      <c r="G9" s="874"/>
      <c r="H9" s="874"/>
      <c r="N9" s="874"/>
      <c r="O9" s="874"/>
      <c r="P9" s="875"/>
      <c r="Q9" s="875"/>
      <c r="R9" s="874"/>
      <c r="S9" s="874"/>
      <c r="T9" s="874"/>
      <c r="U9" s="874"/>
      <c r="V9" s="874"/>
      <c r="W9" s="853"/>
      <c r="X9" s="874"/>
      <c r="Y9" s="874"/>
      <c r="Z9" s="874"/>
      <c r="AA9" s="874"/>
      <c r="AB9" s="874"/>
      <c r="AC9" s="853"/>
      <c r="AD9" s="876"/>
    </row>
    <row r="10" spans="1:30" ht="17.1" customHeight="1">
      <c r="A10" s="852"/>
      <c r="B10" s="867"/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AD10" s="871"/>
    </row>
    <row r="11" spans="2:30" s="872" customFormat="1" ht="20.25">
      <c r="B11" s="873"/>
      <c r="C11" s="874"/>
      <c r="D11" s="869" t="s">
        <v>475</v>
      </c>
      <c r="E11" s="874"/>
      <c r="F11" s="874"/>
      <c r="G11" s="874"/>
      <c r="H11" s="874"/>
      <c r="N11" s="874"/>
      <c r="O11" s="874"/>
      <c r="P11" s="875"/>
      <c r="Q11" s="875"/>
      <c r="R11" s="874"/>
      <c r="S11" s="874"/>
      <c r="T11" s="874"/>
      <c r="U11" s="874"/>
      <c r="V11" s="874"/>
      <c r="W11" s="853"/>
      <c r="X11" s="874"/>
      <c r="Y11" s="874"/>
      <c r="Z11" s="874"/>
      <c r="AA11" s="874"/>
      <c r="AB11" s="874"/>
      <c r="AC11" s="853"/>
      <c r="AD11" s="876"/>
    </row>
    <row r="12" spans="1:30" ht="17.1" customHeight="1">
      <c r="A12" s="852"/>
      <c r="B12" s="867"/>
      <c r="C12" s="868"/>
      <c r="D12" s="868"/>
      <c r="E12" s="852"/>
      <c r="F12" s="852"/>
      <c r="G12" s="852"/>
      <c r="H12" s="852"/>
      <c r="I12" s="877"/>
      <c r="J12" s="877"/>
      <c r="K12" s="877"/>
      <c r="L12" s="877"/>
      <c r="M12" s="877"/>
      <c r="N12" s="877"/>
      <c r="O12" s="877"/>
      <c r="P12" s="877"/>
      <c r="Q12" s="877"/>
      <c r="R12" s="868"/>
      <c r="S12" s="868"/>
      <c r="T12" s="868"/>
      <c r="U12" s="868"/>
      <c r="V12" s="868"/>
      <c r="AD12" s="871"/>
    </row>
    <row r="13" spans="2:30" s="872" customFormat="1" ht="19.5">
      <c r="B13" s="878" t="str">
        <f>'TOT-0116'!B14</f>
        <v>Desde el 01 al 31 de enero de 2016</v>
      </c>
      <c r="C13" s="879"/>
      <c r="D13" s="880"/>
      <c r="E13" s="880"/>
      <c r="F13" s="880"/>
      <c r="G13" s="880"/>
      <c r="H13" s="880"/>
      <c r="I13" s="881"/>
      <c r="J13" s="882"/>
      <c r="K13" s="881"/>
      <c r="L13" s="881"/>
      <c r="M13" s="881"/>
      <c r="N13" s="881"/>
      <c r="O13" s="881"/>
      <c r="P13" s="881"/>
      <c r="Q13" s="881"/>
      <c r="R13" s="881"/>
      <c r="S13" s="881"/>
      <c r="T13" s="881"/>
      <c r="U13" s="883"/>
      <c r="V13" s="883"/>
      <c r="W13" s="853"/>
      <c r="X13" s="884"/>
      <c r="Y13" s="884"/>
      <c r="Z13" s="884"/>
      <c r="AA13" s="884"/>
      <c r="AB13" s="883"/>
      <c r="AC13" s="882"/>
      <c r="AD13" s="885"/>
    </row>
    <row r="14" spans="1:30" ht="17.1" customHeight="1">
      <c r="A14" s="852"/>
      <c r="B14" s="867"/>
      <c r="C14" s="868"/>
      <c r="D14" s="868"/>
      <c r="E14" s="886"/>
      <c r="F14" s="886"/>
      <c r="G14" s="868"/>
      <c r="H14" s="868"/>
      <c r="I14" s="868"/>
      <c r="J14" s="887"/>
      <c r="K14" s="868"/>
      <c r="L14" s="868"/>
      <c r="M14" s="868"/>
      <c r="N14" s="852"/>
      <c r="O14" s="852"/>
      <c r="P14" s="868"/>
      <c r="Q14" s="868"/>
      <c r="R14" s="868"/>
      <c r="S14" s="868"/>
      <c r="T14" s="868"/>
      <c r="U14" s="868"/>
      <c r="V14" s="868"/>
      <c r="AD14" s="871"/>
    </row>
    <row r="15" spans="1:30" ht="17.1" customHeight="1">
      <c r="A15" s="852"/>
      <c r="B15" s="867"/>
      <c r="C15" s="868"/>
      <c r="D15" s="868"/>
      <c r="E15" s="886"/>
      <c r="F15" s="886"/>
      <c r="G15" s="868"/>
      <c r="H15" s="868"/>
      <c r="I15" s="888"/>
      <c r="J15" s="868"/>
      <c r="K15" s="889"/>
      <c r="M15" s="868"/>
      <c r="N15" s="852"/>
      <c r="O15" s="852"/>
      <c r="P15" s="868"/>
      <c r="Q15" s="868"/>
      <c r="R15" s="868"/>
      <c r="S15" s="868"/>
      <c r="T15" s="868"/>
      <c r="U15" s="868"/>
      <c r="V15" s="868"/>
      <c r="AD15" s="871"/>
    </row>
    <row r="16" spans="1:30" ht="17.1" customHeight="1">
      <c r="A16" s="852"/>
      <c r="B16" s="867"/>
      <c r="C16" s="868"/>
      <c r="D16" s="868"/>
      <c r="E16" s="886"/>
      <c r="F16" s="886"/>
      <c r="G16" s="868"/>
      <c r="H16" s="868"/>
      <c r="I16" s="888"/>
      <c r="J16" s="868"/>
      <c r="K16" s="889"/>
      <c r="M16" s="868"/>
      <c r="N16" s="852"/>
      <c r="O16" s="852"/>
      <c r="P16" s="868"/>
      <c r="Q16" s="868"/>
      <c r="R16" s="868"/>
      <c r="S16" s="868"/>
      <c r="T16" s="868"/>
      <c r="U16" s="868"/>
      <c r="V16" s="868"/>
      <c r="AD16" s="871"/>
    </row>
    <row r="17" spans="1:30" ht="17.1" customHeight="1">
      <c r="A17" s="852"/>
      <c r="B17" s="867"/>
      <c r="C17" s="890" t="s">
        <v>94</v>
      </c>
      <c r="D17" s="891" t="s">
        <v>95</v>
      </c>
      <c r="E17" s="886"/>
      <c r="F17" s="886"/>
      <c r="G17" s="868"/>
      <c r="H17" s="868"/>
      <c r="I17" s="868"/>
      <c r="J17" s="887"/>
      <c r="K17" s="868"/>
      <c r="L17" s="868"/>
      <c r="M17" s="868"/>
      <c r="N17" s="852"/>
      <c r="O17" s="852"/>
      <c r="P17" s="868"/>
      <c r="Q17" s="868"/>
      <c r="R17" s="868"/>
      <c r="S17" s="868"/>
      <c r="T17" s="868"/>
      <c r="U17" s="868"/>
      <c r="V17" s="868"/>
      <c r="AD17" s="871"/>
    </row>
    <row r="18" spans="2:30" s="892" customFormat="1" ht="17.1" customHeight="1">
      <c r="B18" s="893"/>
      <c r="C18" s="894"/>
      <c r="D18" s="895"/>
      <c r="E18" s="896"/>
      <c r="F18" s="897"/>
      <c r="G18" s="894"/>
      <c r="H18" s="894"/>
      <c r="I18" s="894"/>
      <c r="J18" s="898"/>
      <c r="K18" s="894"/>
      <c r="L18" s="894"/>
      <c r="M18" s="894"/>
      <c r="P18" s="894"/>
      <c r="Q18" s="894"/>
      <c r="R18" s="894"/>
      <c r="S18" s="894"/>
      <c r="T18" s="894"/>
      <c r="U18" s="894"/>
      <c r="V18" s="894"/>
      <c r="W18" s="853"/>
      <c r="AD18" s="899"/>
    </row>
    <row r="19" spans="2:30" s="892" customFormat="1" ht="17.1" customHeight="1">
      <c r="B19" s="893"/>
      <c r="C19" s="894"/>
      <c r="D19" s="900" t="s">
        <v>96</v>
      </c>
      <c r="F19" s="901" t="s">
        <v>357</v>
      </c>
      <c r="G19" s="900" t="s">
        <v>97</v>
      </c>
      <c r="H19" s="894"/>
      <c r="I19" s="894"/>
      <c r="J19" s="902"/>
      <c r="K19" s="903" t="s">
        <v>40</v>
      </c>
      <c r="L19" s="904">
        <v>0.025</v>
      </c>
      <c r="R19" s="894"/>
      <c r="S19" s="894"/>
      <c r="T19" s="894"/>
      <c r="U19" s="894"/>
      <c r="V19" s="894"/>
      <c r="W19" s="853"/>
      <c r="AD19" s="899"/>
    </row>
    <row r="20" spans="2:30" s="892" customFormat="1" ht="17.1" customHeight="1">
      <c r="B20" s="893"/>
      <c r="C20" s="894"/>
      <c r="D20" s="900" t="s">
        <v>112</v>
      </c>
      <c r="F20" s="901">
        <v>1.391</v>
      </c>
      <c r="G20" s="900" t="s">
        <v>113</v>
      </c>
      <c r="H20" s="894"/>
      <c r="I20" s="894"/>
      <c r="J20" s="894"/>
      <c r="K20" s="895" t="s">
        <v>38</v>
      </c>
      <c r="L20" s="894">
        <f>MID(B13,16,2)*24</f>
        <v>744</v>
      </c>
      <c r="M20" s="894" t="s">
        <v>39</v>
      </c>
      <c r="N20" s="894"/>
      <c r="O20" s="894"/>
      <c r="P20" s="905"/>
      <c r="Q20" s="894"/>
      <c r="R20" s="894"/>
      <c r="S20" s="894"/>
      <c r="T20" s="894"/>
      <c r="U20" s="894"/>
      <c r="V20" s="894"/>
      <c r="W20" s="853"/>
      <c r="AD20" s="899"/>
    </row>
    <row r="21" spans="2:30" s="892" customFormat="1" ht="17.1" customHeight="1">
      <c r="B21" s="893"/>
      <c r="C21" s="894"/>
      <c r="D21" s="900" t="s">
        <v>116</v>
      </c>
      <c r="F21" s="901" t="s">
        <v>357</v>
      </c>
      <c r="G21" s="900" t="s">
        <v>115</v>
      </c>
      <c r="H21" s="894"/>
      <c r="I21" s="894"/>
      <c r="J21" s="894"/>
      <c r="K21" s="906"/>
      <c r="L21" s="907"/>
      <c r="M21" s="894"/>
      <c r="N21" s="894"/>
      <c r="O21" s="894"/>
      <c r="P21" s="905"/>
      <c r="Q21" s="894"/>
      <c r="R21" s="894"/>
      <c r="S21" s="894"/>
      <c r="T21" s="894"/>
      <c r="U21" s="894"/>
      <c r="V21" s="894"/>
      <c r="W21" s="853"/>
      <c r="AD21" s="899"/>
    </row>
    <row r="22" spans="2:30" s="892" customFormat="1" ht="8.25" customHeight="1">
      <c r="B22" s="893"/>
      <c r="C22" s="894"/>
      <c r="D22" s="894"/>
      <c r="E22" s="908"/>
      <c r="F22" s="894"/>
      <c r="G22" s="894"/>
      <c r="H22" s="894"/>
      <c r="I22" s="894"/>
      <c r="J22" s="894"/>
      <c r="K22" s="894"/>
      <c r="L22" s="894"/>
      <c r="M22" s="894"/>
      <c r="N22" s="894"/>
      <c r="O22" s="894"/>
      <c r="P22" s="894"/>
      <c r="Q22" s="894"/>
      <c r="R22" s="894"/>
      <c r="S22" s="894"/>
      <c r="T22" s="894"/>
      <c r="U22" s="894"/>
      <c r="V22" s="894"/>
      <c r="W22" s="853"/>
      <c r="AD22" s="899"/>
    </row>
    <row r="23" spans="1:30" ht="17.1" customHeight="1">
      <c r="A23" s="852"/>
      <c r="B23" s="867"/>
      <c r="C23" s="890" t="s">
        <v>98</v>
      </c>
      <c r="D23" s="909" t="s">
        <v>358</v>
      </c>
      <c r="I23" s="868"/>
      <c r="J23" s="892"/>
      <c r="O23" s="868"/>
      <c r="P23" s="868"/>
      <c r="Q23" s="868"/>
      <c r="R23" s="868"/>
      <c r="S23" s="868"/>
      <c r="T23" s="868"/>
      <c r="V23" s="868"/>
      <c r="X23" s="868"/>
      <c r="Y23" s="868"/>
      <c r="Z23" s="868"/>
      <c r="AA23" s="868"/>
      <c r="AB23" s="868"/>
      <c r="AC23" s="868"/>
      <c r="AD23" s="871"/>
    </row>
    <row r="24" spans="1:30" ht="10.5" customHeight="1" thickBot="1">
      <c r="A24" s="852"/>
      <c r="B24" s="867"/>
      <c r="C24" s="886"/>
      <c r="D24" s="909"/>
      <c r="I24" s="868"/>
      <c r="J24" s="892"/>
      <c r="O24" s="868"/>
      <c r="P24" s="868"/>
      <c r="Q24" s="868"/>
      <c r="R24" s="868"/>
      <c r="S24" s="868"/>
      <c r="T24" s="868"/>
      <c r="V24" s="868"/>
      <c r="X24" s="868"/>
      <c r="Y24" s="868"/>
      <c r="Z24" s="868"/>
      <c r="AA24" s="868"/>
      <c r="AB24" s="868"/>
      <c r="AC24" s="868"/>
      <c r="AD24" s="871"/>
    </row>
    <row r="25" spans="2:30" s="892" customFormat="1" ht="17.1" customHeight="1" thickBot="1" thickTop="1">
      <c r="B25" s="893"/>
      <c r="C25" s="897"/>
      <c r="D25" s="853"/>
      <c r="E25" s="853"/>
      <c r="F25" s="853"/>
      <c r="G25" s="853"/>
      <c r="H25" s="853"/>
      <c r="I25" s="853"/>
      <c r="J25" s="910" t="s">
        <v>45</v>
      </c>
      <c r="K25" s="911">
        <f>L19*AC69</f>
        <v>9106.56</v>
      </c>
      <c r="L25" s="853"/>
      <c r="S25" s="853"/>
      <c r="T25" s="853"/>
      <c r="U25" s="853"/>
      <c r="W25" s="853"/>
      <c r="AD25" s="899"/>
    </row>
    <row r="26" spans="2:30" s="892" customFormat="1" ht="11.25" customHeight="1" thickTop="1">
      <c r="B26" s="893"/>
      <c r="C26" s="897"/>
      <c r="D26" s="894"/>
      <c r="E26" s="908"/>
      <c r="F26" s="894"/>
      <c r="G26" s="894"/>
      <c r="H26" s="894"/>
      <c r="I26" s="894"/>
      <c r="J26" s="894"/>
      <c r="K26" s="894"/>
      <c r="L26" s="894"/>
      <c r="M26" s="894"/>
      <c r="N26" s="894"/>
      <c r="O26" s="894"/>
      <c r="P26" s="894"/>
      <c r="Q26" s="894"/>
      <c r="R26" s="894"/>
      <c r="S26" s="894"/>
      <c r="T26" s="894"/>
      <c r="U26" s="853"/>
      <c r="W26" s="853"/>
      <c r="AD26" s="899"/>
    </row>
    <row r="27" spans="1:30" ht="17.1" customHeight="1">
      <c r="A27" s="852"/>
      <c r="B27" s="867"/>
      <c r="C27" s="890" t="s">
        <v>99</v>
      </c>
      <c r="D27" s="909" t="s">
        <v>137</v>
      </c>
      <c r="E27" s="912"/>
      <c r="F27" s="868"/>
      <c r="G27" s="868"/>
      <c r="H27" s="868"/>
      <c r="I27" s="868"/>
      <c r="J27" s="868"/>
      <c r="K27" s="868"/>
      <c r="L27" s="868"/>
      <c r="M27" s="868"/>
      <c r="N27" s="868"/>
      <c r="O27" s="868"/>
      <c r="P27" s="868"/>
      <c r="Q27" s="868"/>
      <c r="R27" s="868"/>
      <c r="S27" s="868"/>
      <c r="T27" s="868"/>
      <c r="U27" s="868"/>
      <c r="V27" s="868"/>
      <c r="AD27" s="871"/>
    </row>
    <row r="28" spans="1:30" ht="21.75" customHeight="1" thickBot="1">
      <c r="A28" s="852"/>
      <c r="B28" s="867"/>
      <c r="C28" s="868"/>
      <c r="D28" s="868"/>
      <c r="E28" s="912"/>
      <c r="F28" s="868"/>
      <c r="G28" s="868"/>
      <c r="H28" s="868"/>
      <c r="I28" s="868"/>
      <c r="J28" s="868"/>
      <c r="K28" s="868"/>
      <c r="L28" s="868"/>
      <c r="M28" s="868"/>
      <c r="N28" s="868"/>
      <c r="O28" s="868"/>
      <c r="P28" s="868"/>
      <c r="Q28" s="868"/>
      <c r="R28" s="868"/>
      <c r="S28" s="868"/>
      <c r="T28" s="868"/>
      <c r="U28" s="868"/>
      <c r="V28" s="868"/>
      <c r="AD28" s="871"/>
    </row>
    <row r="29" spans="1:30" ht="13.5" customHeight="1" thickBot="1" thickTop="1">
      <c r="A29" s="892"/>
      <c r="B29" s="867"/>
      <c r="C29" s="897"/>
      <c r="D29" s="897"/>
      <c r="E29" s="913"/>
      <c r="F29" s="908"/>
      <c r="G29" s="914"/>
      <c r="H29" s="914"/>
      <c r="I29" s="915"/>
      <c r="J29" s="915"/>
      <c r="K29" s="915"/>
      <c r="L29" s="915"/>
      <c r="M29" s="915"/>
      <c r="N29" s="915"/>
      <c r="O29" s="916"/>
      <c r="P29" s="915"/>
      <c r="Q29" s="915"/>
      <c r="R29" s="917"/>
      <c r="S29" s="918"/>
      <c r="T29" s="919"/>
      <c r="U29" s="919"/>
      <c r="V29" s="919"/>
      <c r="W29" s="917"/>
      <c r="X29" s="917"/>
      <c r="Y29" s="917"/>
      <c r="Z29" s="917"/>
      <c r="AA29" s="917"/>
      <c r="AB29" s="920"/>
      <c r="AC29" s="921"/>
      <c r="AD29" s="922"/>
    </row>
    <row r="30" spans="1:33" s="852" customFormat="1" ht="33.95" customHeight="1" thickBot="1" thickTop="1">
      <c r="A30" s="851"/>
      <c r="B30" s="923"/>
      <c r="C30" s="924" t="s">
        <v>13</v>
      </c>
      <c r="D30" s="925" t="s">
        <v>27</v>
      </c>
      <c r="E30" s="926" t="s">
        <v>28</v>
      </c>
      <c r="F30" s="927" t="s">
        <v>29</v>
      </c>
      <c r="G30" s="928" t="s">
        <v>14</v>
      </c>
      <c r="H30" s="929" t="s">
        <v>16</v>
      </c>
      <c r="I30" s="930"/>
      <c r="J30" s="926" t="s">
        <v>17</v>
      </c>
      <c r="K30" s="926" t="s">
        <v>18</v>
      </c>
      <c r="L30" s="925" t="s">
        <v>30</v>
      </c>
      <c r="M30" s="925" t="s">
        <v>31</v>
      </c>
      <c r="N30" s="931" t="s">
        <v>102</v>
      </c>
      <c r="O30" s="926" t="s">
        <v>32</v>
      </c>
      <c r="P30" s="932" t="s">
        <v>33</v>
      </c>
      <c r="Q30" s="933"/>
      <c r="R30" s="929" t="s">
        <v>34</v>
      </c>
      <c r="S30" s="934" t="s">
        <v>20</v>
      </c>
      <c r="T30" s="935" t="s">
        <v>103</v>
      </c>
      <c r="U30" s="936"/>
      <c r="V30" s="937" t="s">
        <v>22</v>
      </c>
      <c r="W30" s="938"/>
      <c r="X30" s="939"/>
      <c r="Y30" s="939"/>
      <c r="Z30" s="939"/>
      <c r="AA30" s="940"/>
      <c r="AB30" s="941" t="s">
        <v>74</v>
      </c>
      <c r="AC30" s="928" t="s">
        <v>24</v>
      </c>
      <c r="AD30" s="871"/>
      <c r="AF30" s="853"/>
      <c r="AG30" s="853"/>
    </row>
    <row r="31" spans="1:30" ht="17.1" customHeight="1" thickTop="1">
      <c r="A31" s="852"/>
      <c r="B31" s="867"/>
      <c r="C31" s="942"/>
      <c r="D31" s="943"/>
      <c r="E31" s="943"/>
      <c r="F31" s="943"/>
      <c r="G31" s="944"/>
      <c r="H31" s="945"/>
      <c r="I31" s="946"/>
      <c r="J31" s="943"/>
      <c r="K31" s="943"/>
      <c r="L31" s="943"/>
      <c r="M31" s="943"/>
      <c r="N31" s="943"/>
      <c r="O31" s="947"/>
      <c r="P31" s="3560"/>
      <c r="Q31" s="3563"/>
      <c r="R31" s="948"/>
      <c r="S31" s="949"/>
      <c r="T31" s="950"/>
      <c r="U31" s="951"/>
      <c r="V31" s="952"/>
      <c r="W31" s="953"/>
      <c r="X31" s="954"/>
      <c r="Y31" s="954"/>
      <c r="Z31" s="954"/>
      <c r="AA31" s="955"/>
      <c r="AB31" s="947"/>
      <c r="AC31" s="956"/>
      <c r="AD31" s="871"/>
    </row>
    <row r="32" spans="1:30" ht="17.1" customHeight="1">
      <c r="A32" s="852"/>
      <c r="B32" s="867"/>
      <c r="C32" s="957" t="s">
        <v>200</v>
      </c>
      <c r="D32" s="958" t="s">
        <v>359</v>
      </c>
      <c r="E32" s="959" t="s">
        <v>360</v>
      </c>
      <c r="F32" s="960">
        <v>300</v>
      </c>
      <c r="G32" s="961" t="s">
        <v>135</v>
      </c>
      <c r="H32" s="962">
        <f>F32*F20</f>
        <v>417.3</v>
      </c>
      <c r="I32" s="963"/>
      <c r="J32" s="964">
        <v>42383.09583333333</v>
      </c>
      <c r="K32" s="964">
        <v>42383.10138888889</v>
      </c>
      <c r="L32" s="965">
        <f>IF(D32="","",(K32-J32)*24)</f>
        <v>0.13333333341870457</v>
      </c>
      <c r="M32" s="966">
        <f>IF(D32="","",(K32-J32)*24*60)</f>
        <v>8.000000005122274</v>
      </c>
      <c r="N32" s="967" t="s">
        <v>308</v>
      </c>
      <c r="O32" s="968" t="s">
        <v>213</v>
      </c>
      <c r="P32" s="3543" t="s">
        <v>361</v>
      </c>
      <c r="Q32" s="3544"/>
      <c r="R32" s="969">
        <f>200*IF(P32="SI",1,0.1)*IF(N32="P",0.1,1)</f>
        <v>20</v>
      </c>
      <c r="S32" s="970" t="str">
        <f>IF(N32="P",H32*R32*ROUND(M32/60,2),"--")</f>
        <v>--</v>
      </c>
      <c r="T32" s="971" t="str">
        <f>IF(AND(N32="F",O32="NO"),H32*R32,"--")</f>
        <v>--</v>
      </c>
      <c r="U32" s="972">
        <f>IF(N32="F",H32*R32*ROUND(M32/60,2),"--")</f>
        <v>1084.98</v>
      </c>
      <c r="V32" s="973" t="str">
        <f>IF(N32="RF",H32*R32*ROUND(M32/60,2),"--")</f>
        <v>--</v>
      </c>
      <c r="W32" s="974"/>
      <c r="X32" s="975"/>
      <c r="Y32" s="975"/>
      <c r="Z32" s="975"/>
      <c r="AA32" s="976"/>
      <c r="AB32" s="977" t="str">
        <f>IF(D32="","","SI")</f>
        <v>SI</v>
      </c>
      <c r="AC32" s="978">
        <f>IF(D32="","",SUM(S32:V32)*IF(AB32="SI",1,2))</f>
        <v>1084.98</v>
      </c>
      <c r="AD32" s="871"/>
    </row>
    <row r="33" spans="1:30" ht="17.1" customHeight="1">
      <c r="A33" s="852"/>
      <c r="B33" s="867"/>
      <c r="C33" s="957" t="s">
        <v>201</v>
      </c>
      <c r="D33" s="958" t="s">
        <v>359</v>
      </c>
      <c r="E33" s="959" t="s">
        <v>360</v>
      </c>
      <c r="F33" s="960">
        <v>300</v>
      </c>
      <c r="G33" s="961" t="s">
        <v>135</v>
      </c>
      <c r="H33" s="962">
        <f>F33*$F$20</f>
        <v>417.3</v>
      </c>
      <c r="I33" s="963"/>
      <c r="J33" s="983">
        <v>42383.217361111114</v>
      </c>
      <c r="K33" s="983">
        <v>42383.25</v>
      </c>
      <c r="L33" s="965">
        <f>IF(D33="","",(K33-J33)*24)</f>
        <v>0.7833333332673647</v>
      </c>
      <c r="M33" s="966">
        <f>IF(D33="","",(K33-J33)*24*60)</f>
        <v>46.99999999604188</v>
      </c>
      <c r="N33" s="967" t="s">
        <v>308</v>
      </c>
      <c r="O33" s="968" t="s">
        <v>213</v>
      </c>
      <c r="P33" s="3543" t="str">
        <f>IF(D33="","","NO")</f>
        <v>NO</v>
      </c>
      <c r="Q33" s="3544"/>
      <c r="R33" s="969">
        <f>200*IF(P33="SI",1,0.1)*IF(N33="P",0.1,1)</f>
        <v>20</v>
      </c>
      <c r="S33" s="970" t="str">
        <f>IF(N33="P",H33*R33*ROUND(M33/60,2),"--")</f>
        <v>--</v>
      </c>
      <c r="T33" s="971" t="str">
        <f>IF(AND(N33="F",O33="NO"),H33*R33,"--")</f>
        <v>--</v>
      </c>
      <c r="U33" s="972">
        <f>IF(N33="F",H33*R33*ROUND(M33/60,2),"--")</f>
        <v>6509.88</v>
      </c>
      <c r="V33" s="973" t="str">
        <f>IF(N33="RF",H33*R33*ROUND(M33/60,2),"--")</f>
        <v>--</v>
      </c>
      <c r="W33" s="974"/>
      <c r="X33" s="975"/>
      <c r="Y33" s="975"/>
      <c r="Z33" s="975"/>
      <c r="AA33" s="976"/>
      <c r="AB33" s="977" t="str">
        <f>IF(D33="","","SI")</f>
        <v>SI</v>
      </c>
      <c r="AC33" s="978">
        <f>IF(D33="","",SUM(S33:V33)*IF(AB33="SI",1,2))</f>
        <v>6509.88</v>
      </c>
      <c r="AD33" s="871"/>
    </row>
    <row r="34" spans="1:30" ht="17.1" customHeight="1">
      <c r="A34" s="852"/>
      <c r="B34" s="867"/>
      <c r="C34" s="957" t="s">
        <v>202</v>
      </c>
      <c r="D34" s="979"/>
      <c r="E34" s="980"/>
      <c r="F34" s="981"/>
      <c r="G34" s="982"/>
      <c r="H34" s="962">
        <f>F34*$F$20</f>
        <v>0</v>
      </c>
      <c r="I34" s="963"/>
      <c r="J34" s="984"/>
      <c r="K34" s="984"/>
      <c r="L34" s="965" t="str">
        <f>IF(D34="","",(K34-J34)*24)</f>
        <v/>
      </c>
      <c r="M34" s="966" t="str">
        <f>IF(D34="","",(K34-J34)*24*60)</f>
        <v/>
      </c>
      <c r="N34" s="967"/>
      <c r="O34" s="968" t="str">
        <f>IF(D34="","",IF(OR(N34="P",N34="RP"),"--","NO"))</f>
        <v/>
      </c>
      <c r="P34" s="3543" t="str">
        <f>IF(D34="","","NO")</f>
        <v/>
      </c>
      <c r="Q34" s="3544"/>
      <c r="R34" s="969">
        <f>200*IF(P34="SI",1,0.1)*IF(N34="P",0.1,1)</f>
        <v>20</v>
      </c>
      <c r="S34" s="970" t="str">
        <f>IF(N34="P",H34*R34*ROUND(M34/60,2),"--")</f>
        <v>--</v>
      </c>
      <c r="T34" s="971" t="str">
        <f>IF(AND(N34="F",O34="NO"),H34*R34,"--")</f>
        <v>--</v>
      </c>
      <c r="U34" s="972" t="str">
        <f>IF(N34="F",H34*R34*ROUND(M34/60,2),"--")</f>
        <v>--</v>
      </c>
      <c r="V34" s="973" t="str">
        <f>IF(N34="RF",H34*R34*ROUND(M34/60,2),"--")</f>
        <v>--</v>
      </c>
      <c r="W34" s="974"/>
      <c r="X34" s="975"/>
      <c r="Y34" s="975"/>
      <c r="Z34" s="975"/>
      <c r="AA34" s="976"/>
      <c r="AB34" s="977" t="str">
        <f>IF(D34="","","SI")</f>
        <v/>
      </c>
      <c r="AC34" s="978" t="str">
        <f>IF(D34="","",SUM(S34:V34)*IF(AB34="SI",1,2))</f>
        <v/>
      </c>
      <c r="AD34" s="871"/>
    </row>
    <row r="35" spans="1:30" ht="17.1" customHeight="1" thickBot="1">
      <c r="A35" s="892"/>
      <c r="B35" s="867"/>
      <c r="C35" s="985"/>
      <c r="D35" s="986"/>
      <c r="E35" s="987"/>
      <c r="F35" s="988"/>
      <c r="G35" s="989"/>
      <c r="H35" s="990"/>
      <c r="I35" s="991"/>
      <c r="J35" s="992"/>
      <c r="K35" s="993"/>
      <c r="L35" s="994"/>
      <c r="M35" s="995"/>
      <c r="N35" s="996"/>
      <c r="O35" s="997"/>
      <c r="P35" s="3539"/>
      <c r="Q35" s="3540"/>
      <c r="R35" s="998"/>
      <c r="S35" s="999"/>
      <c r="T35" s="1000"/>
      <c r="U35" s="1001"/>
      <c r="V35" s="1002"/>
      <c r="W35" s="1003"/>
      <c r="X35" s="1004"/>
      <c r="Y35" s="1004"/>
      <c r="Z35" s="1004"/>
      <c r="AA35" s="1005"/>
      <c r="AB35" s="1006"/>
      <c r="AC35" s="1007"/>
      <c r="AD35" s="922"/>
    </row>
    <row r="36" spans="1:30" ht="17.1" customHeight="1" thickBot="1" thickTop="1">
      <c r="A36" s="892"/>
      <c r="B36" s="867"/>
      <c r="C36" s="1008"/>
      <c r="D36" s="912"/>
      <c r="E36" s="912"/>
      <c r="F36" s="1009"/>
      <c r="G36" s="1010"/>
      <c r="H36" s="1011"/>
      <c r="I36" s="1012"/>
      <c r="J36" s="1013"/>
      <c r="K36" s="1014"/>
      <c r="L36" s="1015"/>
      <c r="M36" s="1011"/>
      <c r="N36" s="1016"/>
      <c r="O36" s="1017"/>
      <c r="P36" s="1018"/>
      <c r="Q36" s="1019"/>
      <c r="R36" s="1020"/>
      <c r="S36" s="1020"/>
      <c r="T36" s="1020"/>
      <c r="U36" s="1021"/>
      <c r="V36" s="1021"/>
      <c r="W36" s="1021"/>
      <c r="X36" s="1021"/>
      <c r="Y36" s="1021"/>
      <c r="Z36" s="1021"/>
      <c r="AA36" s="1021"/>
      <c r="AB36" s="1021"/>
      <c r="AC36" s="1022">
        <f>SUM(AC31:AC35)</f>
        <v>7594.860000000001</v>
      </c>
      <c r="AD36" s="922"/>
    </row>
    <row r="37" spans="1:30" ht="13.5" customHeight="1" thickBot="1" thickTop="1">
      <c r="A37" s="892"/>
      <c r="B37" s="867"/>
      <c r="C37" s="897"/>
      <c r="D37" s="897"/>
      <c r="E37" s="897"/>
      <c r="F37" s="897"/>
      <c r="G37" s="897"/>
      <c r="H37" s="897"/>
      <c r="I37" s="897"/>
      <c r="J37" s="897"/>
      <c r="K37" s="897"/>
      <c r="L37" s="897"/>
      <c r="M37" s="897"/>
      <c r="N37" s="897"/>
      <c r="O37" s="897"/>
      <c r="P37" s="897"/>
      <c r="Q37" s="897"/>
      <c r="R37" s="897"/>
      <c r="S37" s="897"/>
      <c r="T37" s="897"/>
      <c r="U37" s="897"/>
      <c r="V37" s="897"/>
      <c r="W37" s="897"/>
      <c r="X37" s="897"/>
      <c r="Y37" s="897"/>
      <c r="Z37" s="897"/>
      <c r="AA37" s="897"/>
      <c r="AB37" s="897"/>
      <c r="AC37" s="897"/>
      <c r="AD37" s="922"/>
    </row>
    <row r="38" spans="1:33" s="852" customFormat="1" ht="33.95" customHeight="1" thickBot="1" thickTop="1">
      <c r="A38" s="851"/>
      <c r="B38" s="923"/>
      <c r="C38" s="924" t="s">
        <v>13</v>
      </c>
      <c r="D38" s="925" t="s">
        <v>27</v>
      </c>
      <c r="E38" s="3564" t="s">
        <v>28</v>
      </c>
      <c r="F38" s="3565"/>
      <c r="G38" s="1023" t="s">
        <v>14</v>
      </c>
      <c r="H38" s="929" t="s">
        <v>16</v>
      </c>
      <c r="I38" s="930"/>
      <c r="J38" s="926" t="s">
        <v>17</v>
      </c>
      <c r="K38" s="926" t="s">
        <v>18</v>
      </c>
      <c r="L38" s="925" t="s">
        <v>30</v>
      </c>
      <c r="M38" s="925" t="s">
        <v>31</v>
      </c>
      <c r="N38" s="931" t="s">
        <v>102</v>
      </c>
      <c r="O38" s="3564" t="s">
        <v>32</v>
      </c>
      <c r="P38" s="3566"/>
      <c r="Q38" s="3567"/>
      <c r="R38" s="1024" t="s">
        <v>37</v>
      </c>
      <c r="S38" s="1025" t="s">
        <v>70</v>
      </c>
      <c r="T38" s="1026" t="s">
        <v>35</v>
      </c>
      <c r="U38" s="1027"/>
      <c r="V38" s="1028" t="s">
        <v>22</v>
      </c>
      <c r="W38" s="939"/>
      <c r="X38" s="939"/>
      <c r="Y38" s="939"/>
      <c r="Z38" s="939"/>
      <c r="AA38" s="940"/>
      <c r="AB38" s="941" t="s">
        <v>74</v>
      </c>
      <c r="AC38" s="928" t="s">
        <v>24</v>
      </c>
      <c r="AD38" s="871"/>
      <c r="AF38" s="853"/>
      <c r="AG38" s="853"/>
    </row>
    <row r="39" spans="1:30" ht="17.1" customHeight="1" thickTop="1">
      <c r="A39" s="852"/>
      <c r="B39" s="867"/>
      <c r="C39" s="942"/>
      <c r="D39" s="943"/>
      <c r="E39" s="3560"/>
      <c r="F39" s="3561"/>
      <c r="G39" s="1029"/>
      <c r="H39" s="945"/>
      <c r="I39" s="946"/>
      <c r="J39" s="943"/>
      <c r="K39" s="943"/>
      <c r="L39" s="943"/>
      <c r="M39" s="943"/>
      <c r="N39" s="943"/>
      <c r="O39" s="3560"/>
      <c r="P39" s="3562"/>
      <c r="Q39" s="3563"/>
      <c r="R39" s="1030"/>
      <c r="S39" s="1031"/>
      <c r="T39" s="1032"/>
      <c r="U39" s="1033"/>
      <c r="V39" s="1034"/>
      <c r="W39" s="954"/>
      <c r="X39" s="954"/>
      <c r="Y39" s="954"/>
      <c r="Z39" s="954"/>
      <c r="AA39" s="955"/>
      <c r="AB39" s="947"/>
      <c r="AC39" s="956"/>
      <c r="AD39" s="871"/>
    </row>
    <row r="40" spans="1:30" ht="15">
      <c r="A40" s="852"/>
      <c r="B40" s="867"/>
      <c r="C40" s="1035" t="s">
        <v>200</v>
      </c>
      <c r="D40" s="1036"/>
      <c r="E40" s="3549"/>
      <c r="F40" s="3491"/>
      <c r="G40" s="1037"/>
      <c r="H40" s="962">
        <f>IF(G40=132,#REF!,IF(G40=500,$F$21,0))</f>
        <v>0</v>
      </c>
      <c r="I40" s="963"/>
      <c r="J40" s="1038"/>
      <c r="K40" s="1039"/>
      <c r="L40" s="965" t="str">
        <f>IF(D40="","",(K40-J40)*24)</f>
        <v/>
      </c>
      <c r="M40" s="966" t="str">
        <f>IF(D40="","",(K40-J40)*24*60)</f>
        <v/>
      </c>
      <c r="N40" s="967"/>
      <c r="O40" s="3550" t="str">
        <f>IF(D40="","",IF(N40="P","--","NO"))</f>
        <v/>
      </c>
      <c r="P40" s="3551"/>
      <c r="Q40" s="3552"/>
      <c r="R40" s="1030">
        <f>IF(G40=500,200,IF(G40=132,40,0))</f>
        <v>0</v>
      </c>
      <c r="S40" s="1040" t="str">
        <f>IF(N40="P",H40*R40*ROUND(M40/60,2)*0.1,"--")</f>
        <v>--</v>
      </c>
      <c r="T40" s="1041" t="str">
        <f>IF(AND(N40="F",O40="NO"),H40*R40,"--")</f>
        <v>--</v>
      </c>
      <c r="U40" s="1042" t="str">
        <f>IF(N40="F",H40*R40*ROUND(M40/60,2),"--")</f>
        <v>--</v>
      </c>
      <c r="V40" s="973" t="str">
        <f>IF(N40="RF",H40*R40*ROUND(M40/60,2),"--")</f>
        <v>--</v>
      </c>
      <c r="W40" s="975"/>
      <c r="X40" s="975"/>
      <c r="Y40" s="975"/>
      <c r="Z40" s="975"/>
      <c r="AA40" s="976"/>
      <c r="AB40" s="977" t="str">
        <f>IF(D40="","","SI")</f>
        <v/>
      </c>
      <c r="AC40" s="1043" t="str">
        <f>IF(D40="","",SUM(S40:V40)*IF(AB40="SI",1,2))</f>
        <v/>
      </c>
      <c r="AD40" s="922"/>
    </row>
    <row r="41" spans="1:30" ht="17.1" customHeight="1">
      <c r="A41" s="852"/>
      <c r="B41" s="867"/>
      <c r="C41" s="957" t="s">
        <v>201</v>
      </c>
      <c r="D41" s="1036"/>
      <c r="E41" s="3549"/>
      <c r="F41" s="3491"/>
      <c r="G41" s="1037"/>
      <c r="H41" s="962">
        <f>IF(G41=132,#REF!,IF(G41=500,$F$21,0))</f>
        <v>0</v>
      </c>
      <c r="I41" s="963"/>
      <c r="J41" s="1038"/>
      <c r="K41" s="1039"/>
      <c r="L41" s="965" t="str">
        <f>IF(D41="","",(K41-J41)*24)</f>
        <v/>
      </c>
      <c r="M41" s="966" t="str">
        <f>IF(D41="","",(K41-J41)*24*60)</f>
        <v/>
      </c>
      <c r="N41" s="967"/>
      <c r="O41" s="3550" t="str">
        <f>IF(D41="","",IF(N41="P","--","NO"))</f>
        <v/>
      </c>
      <c r="P41" s="3551"/>
      <c r="Q41" s="3552"/>
      <c r="R41" s="1030">
        <f>IF(G41=500,200,IF(G41=132,40,0))</f>
        <v>0</v>
      </c>
      <c r="S41" s="1040" t="str">
        <f>IF(N41="P",H41*R41*ROUND(M41/60,2)*0.1,"--")</f>
        <v>--</v>
      </c>
      <c r="T41" s="1041" t="str">
        <f>IF(AND(N41="F",O41="NO"),H41*R41,"--")</f>
        <v>--</v>
      </c>
      <c r="U41" s="1042" t="str">
        <f>IF(N41="F",H41*R41*ROUND(M41/60,2),"--")</f>
        <v>--</v>
      </c>
      <c r="V41" s="973" t="str">
        <f>IF(N41="RF",H41*R41*ROUND(M41/60,2),"--")</f>
        <v>--</v>
      </c>
      <c r="W41" s="975"/>
      <c r="X41" s="975"/>
      <c r="Y41" s="975"/>
      <c r="Z41" s="975"/>
      <c r="AA41" s="976"/>
      <c r="AB41" s="977" t="str">
        <f>IF(D41="","","SI")</f>
        <v/>
      </c>
      <c r="AC41" s="1043" t="str">
        <f>IF(D41="","",SUM(S41:V41)*IF(AB41="SI",1,2))</f>
        <v/>
      </c>
      <c r="AD41" s="871"/>
    </row>
    <row r="42" spans="1:30" ht="17.1" customHeight="1">
      <c r="A42" s="852"/>
      <c r="B42" s="867"/>
      <c r="C42" s="957" t="s">
        <v>202</v>
      </c>
      <c r="D42" s="1036"/>
      <c r="E42" s="3549"/>
      <c r="F42" s="3491"/>
      <c r="G42" s="1037"/>
      <c r="H42" s="962">
        <f>IF(G42=132,#REF!,IF(G42=500,$F$21,0))</f>
        <v>0</v>
      </c>
      <c r="I42" s="963"/>
      <c r="J42" s="1038"/>
      <c r="K42" s="1039"/>
      <c r="L42" s="965" t="str">
        <f>IF(D42="","",(K42-J42)*24)</f>
        <v/>
      </c>
      <c r="M42" s="966" t="str">
        <f>IF(D42="","",(K42-J42)*24*60)</f>
        <v/>
      </c>
      <c r="N42" s="967"/>
      <c r="O42" s="3550" t="str">
        <f>IF(D42="","",IF(N42="P","--","NO"))</f>
        <v/>
      </c>
      <c r="P42" s="3551"/>
      <c r="Q42" s="3552"/>
      <c r="R42" s="1030">
        <f>IF(G42=500,200,IF(G42=132,40,0))</f>
        <v>0</v>
      </c>
      <c r="S42" s="1040" t="str">
        <f>IF(N42="P",H42*R42*ROUND(M42/60,2)*0.1,"--")</f>
        <v>--</v>
      </c>
      <c r="T42" s="1041" t="str">
        <f>IF(AND(N42="F",O42="NO"),H42*R42,"--")</f>
        <v>--</v>
      </c>
      <c r="U42" s="1042" t="str">
        <f>IF(N42="F",H42*R42*ROUND(M42/60,2),"--")</f>
        <v>--</v>
      </c>
      <c r="V42" s="973" t="str">
        <f>IF(N42="RF",H42*R42*ROUND(M42/60,2),"--")</f>
        <v>--</v>
      </c>
      <c r="W42" s="975"/>
      <c r="X42" s="975"/>
      <c r="Y42" s="975"/>
      <c r="Z42" s="975"/>
      <c r="AA42" s="976"/>
      <c r="AB42" s="977" t="str">
        <f>IF(D42="","","SI")</f>
        <v/>
      </c>
      <c r="AC42" s="1043" t="str">
        <f>IF(D42="","",SUM(S42:V42)*IF(AB42="SI",1,2))</f>
        <v/>
      </c>
      <c r="AD42" s="871"/>
    </row>
    <row r="43" spans="1:30" ht="17.1" customHeight="1" thickBot="1">
      <c r="A43" s="892"/>
      <c r="B43" s="867"/>
      <c r="C43" s="985"/>
      <c r="D43" s="986"/>
      <c r="E43" s="3553"/>
      <c r="F43" s="3554"/>
      <c r="G43" s="1044"/>
      <c r="H43" s="990"/>
      <c r="I43" s="991"/>
      <c r="J43" s="992"/>
      <c r="K43" s="993"/>
      <c r="L43" s="994"/>
      <c r="M43" s="995"/>
      <c r="N43" s="996"/>
      <c r="O43" s="3539"/>
      <c r="P43" s="3555"/>
      <c r="Q43" s="3540"/>
      <c r="R43" s="1030"/>
      <c r="S43" s="1040"/>
      <c r="T43" s="1041"/>
      <c r="U43" s="1042"/>
      <c r="V43" s="973"/>
      <c r="W43" s="1004"/>
      <c r="X43" s="1004"/>
      <c r="Y43" s="1004"/>
      <c r="Z43" s="1004"/>
      <c r="AA43" s="1005"/>
      <c r="AB43" s="1006"/>
      <c r="AC43" s="1043" t="str">
        <f>IF(D43="","",SUM(S43:V43)*IF(AB43="SI",1,2))</f>
        <v/>
      </c>
      <c r="AD43" s="922"/>
    </row>
    <row r="44" spans="1:30" ht="17.1" customHeight="1" thickBot="1" thickTop="1">
      <c r="A44" s="892"/>
      <c r="B44" s="867"/>
      <c r="C44" s="1008"/>
      <c r="D44" s="912"/>
      <c r="E44" s="912"/>
      <c r="F44" s="1009"/>
      <c r="G44" s="1010"/>
      <c r="H44" s="1011"/>
      <c r="I44" s="1012"/>
      <c r="J44" s="1013"/>
      <c r="K44" s="1014"/>
      <c r="L44" s="1015"/>
      <c r="M44" s="1011"/>
      <c r="N44" s="1016"/>
      <c r="O44" s="1017"/>
      <c r="P44" s="1045"/>
      <c r="Q44" s="1046"/>
      <c r="R44" s="1047"/>
      <c r="S44" s="1047"/>
      <c r="T44" s="1047"/>
      <c r="U44" s="1048"/>
      <c r="V44" s="1048"/>
      <c r="W44" s="1048"/>
      <c r="X44" s="1048"/>
      <c r="Y44" s="1048"/>
      <c r="Z44" s="1048"/>
      <c r="AA44" s="1048"/>
      <c r="AB44" s="1048"/>
      <c r="AC44" s="1022">
        <f>SUM(AC39:AC43)</f>
        <v>0</v>
      </c>
      <c r="AD44" s="922"/>
    </row>
    <row r="45" spans="1:30" ht="17.1" customHeight="1" thickBot="1" thickTop="1">
      <c r="A45" s="892"/>
      <c r="B45" s="867"/>
      <c r="C45" s="1008"/>
      <c r="D45" s="912"/>
      <c r="E45" s="912"/>
      <c r="F45" s="1009"/>
      <c r="G45" s="1010"/>
      <c r="H45" s="1011"/>
      <c r="I45" s="1012"/>
      <c r="J45" s="1013"/>
      <c r="K45" s="1014"/>
      <c r="L45" s="1015"/>
      <c r="M45" s="1011"/>
      <c r="N45" s="1016"/>
      <c r="O45" s="1017"/>
      <c r="P45" s="1045"/>
      <c r="Q45" s="1046"/>
      <c r="R45" s="1047"/>
      <c r="S45" s="1047"/>
      <c r="T45" s="1047"/>
      <c r="U45" s="1048"/>
      <c r="V45" s="1048"/>
      <c r="W45" s="1048"/>
      <c r="X45" s="1048"/>
      <c r="Y45" s="1048"/>
      <c r="Z45" s="1048"/>
      <c r="AA45" s="1048"/>
      <c r="AB45" s="1048"/>
      <c r="AC45" s="1049"/>
      <c r="AD45" s="922"/>
    </row>
    <row r="46" spans="1:30" ht="43.5" customHeight="1" thickBot="1" thickTop="1">
      <c r="A46" s="892"/>
      <c r="B46" s="893"/>
      <c r="C46" s="924" t="s">
        <v>13</v>
      </c>
      <c r="D46" s="925" t="s">
        <v>27</v>
      </c>
      <c r="E46" s="1050" t="s">
        <v>28</v>
      </c>
      <c r="F46" s="3556" t="s">
        <v>241</v>
      </c>
      <c r="G46" s="3557"/>
      <c r="H46" s="929" t="s">
        <v>16</v>
      </c>
      <c r="I46" s="1051"/>
      <c r="J46" s="1050" t="s">
        <v>17</v>
      </c>
      <c r="K46" s="1050" t="s">
        <v>18</v>
      </c>
      <c r="L46" s="1052" t="s">
        <v>36</v>
      </c>
      <c r="M46" s="1052" t="s">
        <v>31</v>
      </c>
      <c r="N46" s="931" t="s">
        <v>19</v>
      </c>
      <c r="O46" s="931" t="s">
        <v>58</v>
      </c>
      <c r="P46" s="3558" t="s">
        <v>32</v>
      </c>
      <c r="Q46" s="3559"/>
      <c r="R46" s="1053" t="s">
        <v>37</v>
      </c>
      <c r="S46" s="1054" t="s">
        <v>70</v>
      </c>
      <c r="T46" s="1055" t="s">
        <v>237</v>
      </c>
      <c r="U46" s="1056"/>
      <c r="V46" s="1057" t="s">
        <v>238</v>
      </c>
      <c r="W46" s="1058"/>
      <c r="X46" s="1059" t="s">
        <v>22</v>
      </c>
      <c r="Y46" s="1060" t="s">
        <v>21</v>
      </c>
      <c r="Z46" s="1051"/>
      <c r="AA46" s="1051"/>
      <c r="AB46" s="941" t="s">
        <v>74</v>
      </c>
      <c r="AC46" s="1061" t="s">
        <v>24</v>
      </c>
      <c r="AD46" s="1062"/>
    </row>
    <row r="47" spans="1:30" ht="17.1" customHeight="1" thickTop="1">
      <c r="A47" s="892"/>
      <c r="B47" s="893"/>
      <c r="C47" s="1063"/>
      <c r="D47" s="1064"/>
      <c r="E47" s="1064"/>
      <c r="F47" s="3545"/>
      <c r="G47" s="3546"/>
      <c r="H47" s="1065"/>
      <c r="I47" s="1051"/>
      <c r="J47" s="1066"/>
      <c r="K47" s="1066"/>
      <c r="L47" s="1067"/>
      <c r="M47" s="1067"/>
      <c r="N47" s="1064"/>
      <c r="O47" s="1068"/>
      <c r="P47" s="3545"/>
      <c r="Q47" s="3546"/>
      <c r="R47" s="1069"/>
      <c r="S47" s="1070"/>
      <c r="T47" s="1071"/>
      <c r="U47" s="1072"/>
      <c r="V47" s="1073"/>
      <c r="W47" s="1074"/>
      <c r="X47" s="1075"/>
      <c r="Y47" s="1075"/>
      <c r="Z47" s="1051"/>
      <c r="AA47" s="1051"/>
      <c r="AB47" s="1076"/>
      <c r="AC47" s="1077"/>
      <c r="AD47" s="1062"/>
    </row>
    <row r="48" spans="1:30" ht="17.1" customHeight="1">
      <c r="A48" s="892"/>
      <c r="B48" s="893"/>
      <c r="C48" s="1035" t="s">
        <v>200</v>
      </c>
      <c r="D48" s="1078"/>
      <c r="E48" s="1079"/>
      <c r="F48" s="3547"/>
      <c r="G48" s="3548"/>
      <c r="H48" s="1080">
        <f>F48*$F$20</f>
        <v>0</v>
      </c>
      <c r="I48" s="1051"/>
      <c r="J48" s="1081"/>
      <c r="K48" s="1082"/>
      <c r="L48" s="1083" t="str">
        <f aca="true" t="shared" si="0" ref="L48:L56">IF(D48="","",(K48-J48)*24)</f>
        <v/>
      </c>
      <c r="M48" s="1084" t="str">
        <f aca="true" t="shared" si="1" ref="M48:M56">IF(D48="","",ROUND((K48-J48)*24*60,0))</f>
        <v/>
      </c>
      <c r="N48" s="1085"/>
      <c r="O48" s="1086" t="str">
        <f aca="true" t="shared" si="2" ref="O48:O56">IF(D48="","","--")</f>
        <v/>
      </c>
      <c r="P48" s="3543" t="str">
        <f aca="true" t="shared" si="3" ref="P48:P55">IF(D48="","",IF(OR(N48="P",N48="RP"),"--","NO"))</f>
        <v/>
      </c>
      <c r="Q48" s="3544"/>
      <c r="R48" s="1087">
        <f aca="true" t="shared" si="4" ref="R48:R55">IF(OR(N48="P",N48="RP"),20/10,20)</f>
        <v>20</v>
      </c>
      <c r="S48" s="1088" t="str">
        <f aca="true" t="shared" si="5" ref="S48:S55">IF(N48="P",H48*R48*ROUND(M48/60,2),"--")</f>
        <v>--</v>
      </c>
      <c r="T48" s="1089" t="str">
        <f aca="true" t="shared" si="6" ref="T48:T55">IF(AND(N48="F",P48="NO"),H48*R48,"--")</f>
        <v>--</v>
      </c>
      <c r="U48" s="1090" t="str">
        <f aca="true" t="shared" si="7" ref="U48:U55">IF(N48="F",H48*R48*ROUND(M48/60,2),"--")</f>
        <v>--</v>
      </c>
      <c r="V48" s="1091" t="str">
        <f aca="true" t="shared" si="8" ref="V48:V55">IF(AND(N48="R",P48="NO"),H48*R48*O48/100,"--")</f>
        <v>--</v>
      </c>
      <c r="W48" s="1092" t="str">
        <f aca="true" t="shared" si="9" ref="W48:W55">IF(N48="R",H48*R48*O48/100*ROUND(M48/60,2),"--")</f>
        <v>--</v>
      </c>
      <c r="X48" s="1093" t="str">
        <f aca="true" t="shared" si="10" ref="X48:X55">IF(N48="RF",H48*R48*ROUND(M48/60,2),"--")</f>
        <v>--</v>
      </c>
      <c r="Y48" s="1094" t="str">
        <f aca="true" t="shared" si="11" ref="Y48:Y55">IF(N48="RP",H48*R48*O48/100*ROUND(M48/60,2),"--")</f>
        <v>--</v>
      </c>
      <c r="Z48" s="1051"/>
      <c r="AA48" s="1051"/>
      <c r="AB48" s="1095" t="str">
        <f aca="true" t="shared" si="12" ref="AB48:AB55">IF(D48="","","SI")</f>
        <v/>
      </c>
      <c r="AC48" s="1096" t="str">
        <f aca="true" t="shared" si="13" ref="AC48:AC55">IF(D48="","",SUM(S48:Y48)*IF(AB48="SI",1,2)*IF(AND(O48&lt;&gt;"--",N48="RF"),O48/100,1))</f>
        <v/>
      </c>
      <c r="AD48" s="1062"/>
    </row>
    <row r="49" spans="2:30" s="892" customFormat="1" ht="17.1" customHeight="1">
      <c r="B49" s="893"/>
      <c r="C49" s="957" t="s">
        <v>201</v>
      </c>
      <c r="D49" s="1078"/>
      <c r="E49" s="1079"/>
      <c r="F49" s="3541"/>
      <c r="G49" s="3542"/>
      <c r="H49" s="1080">
        <f aca="true" t="shared" si="14" ref="H49:H56">F49*$F$20</f>
        <v>0</v>
      </c>
      <c r="I49" s="1051"/>
      <c r="J49" s="1081"/>
      <c r="K49" s="1082"/>
      <c r="L49" s="1097" t="str">
        <f t="shared" si="0"/>
        <v/>
      </c>
      <c r="M49" s="1098" t="str">
        <f t="shared" si="1"/>
        <v/>
      </c>
      <c r="N49" s="1099"/>
      <c r="O49" s="1086" t="str">
        <f t="shared" si="2"/>
        <v/>
      </c>
      <c r="P49" s="3543" t="str">
        <f t="shared" si="3"/>
        <v/>
      </c>
      <c r="Q49" s="3544"/>
      <c r="R49" s="1087">
        <f t="shared" si="4"/>
        <v>20</v>
      </c>
      <c r="S49" s="1088" t="str">
        <f t="shared" si="5"/>
        <v>--</v>
      </c>
      <c r="T49" s="1089" t="str">
        <f t="shared" si="6"/>
        <v>--</v>
      </c>
      <c r="U49" s="1090" t="str">
        <f t="shared" si="7"/>
        <v>--</v>
      </c>
      <c r="V49" s="1091" t="str">
        <f t="shared" si="8"/>
        <v>--</v>
      </c>
      <c r="W49" s="1092" t="str">
        <f t="shared" si="9"/>
        <v>--</v>
      </c>
      <c r="X49" s="1093" t="str">
        <f t="shared" si="10"/>
        <v>--</v>
      </c>
      <c r="Y49" s="1100" t="str">
        <f t="shared" si="11"/>
        <v>--</v>
      </c>
      <c r="Z49" s="1051"/>
      <c r="AA49" s="1051"/>
      <c r="AB49" s="1101" t="str">
        <f t="shared" si="12"/>
        <v/>
      </c>
      <c r="AC49" s="1043" t="str">
        <f t="shared" si="13"/>
        <v/>
      </c>
      <c r="AD49" s="1062"/>
    </row>
    <row r="50" spans="2:30" s="892" customFormat="1" ht="17.1" customHeight="1">
      <c r="B50" s="893"/>
      <c r="C50" s="957" t="s">
        <v>202</v>
      </c>
      <c r="D50" s="1102"/>
      <c r="E50" s="1103"/>
      <c r="F50" s="3541"/>
      <c r="G50" s="3542"/>
      <c r="H50" s="1080">
        <f t="shared" si="14"/>
        <v>0</v>
      </c>
      <c r="I50" s="1051"/>
      <c r="J50" s="1104"/>
      <c r="K50" s="1105"/>
      <c r="L50" s="1097" t="str">
        <f t="shared" si="0"/>
        <v/>
      </c>
      <c r="M50" s="1098" t="str">
        <f t="shared" si="1"/>
        <v/>
      </c>
      <c r="N50" s="1099"/>
      <c r="O50" s="1086" t="str">
        <f t="shared" si="2"/>
        <v/>
      </c>
      <c r="P50" s="3543" t="str">
        <f t="shared" si="3"/>
        <v/>
      </c>
      <c r="Q50" s="3544"/>
      <c r="R50" s="1087">
        <f t="shared" si="4"/>
        <v>20</v>
      </c>
      <c r="S50" s="1088" t="str">
        <f t="shared" si="5"/>
        <v>--</v>
      </c>
      <c r="T50" s="1089" t="str">
        <f t="shared" si="6"/>
        <v>--</v>
      </c>
      <c r="U50" s="1090" t="str">
        <f t="shared" si="7"/>
        <v>--</v>
      </c>
      <c r="V50" s="1091" t="str">
        <f t="shared" si="8"/>
        <v>--</v>
      </c>
      <c r="W50" s="1092" t="str">
        <f t="shared" si="9"/>
        <v>--</v>
      </c>
      <c r="X50" s="1093" t="str">
        <f t="shared" si="10"/>
        <v>--</v>
      </c>
      <c r="Y50" s="1100" t="str">
        <f t="shared" si="11"/>
        <v>--</v>
      </c>
      <c r="Z50" s="1051"/>
      <c r="AA50" s="1051"/>
      <c r="AB50" s="1101" t="str">
        <f t="shared" si="12"/>
        <v/>
      </c>
      <c r="AC50" s="1043" t="str">
        <f t="shared" si="13"/>
        <v/>
      </c>
      <c r="AD50" s="1062"/>
    </row>
    <row r="51" spans="2:30" s="892" customFormat="1" ht="17.1" customHeight="1">
      <c r="B51" s="893"/>
      <c r="C51" s="957" t="s">
        <v>203</v>
      </c>
      <c r="D51" s="1102"/>
      <c r="E51" s="1103"/>
      <c r="F51" s="3541"/>
      <c r="G51" s="3542"/>
      <c r="H51" s="1080">
        <f t="shared" si="14"/>
        <v>0</v>
      </c>
      <c r="I51" s="1051"/>
      <c r="J51" s="1104"/>
      <c r="K51" s="1105"/>
      <c r="L51" s="1097" t="str">
        <f t="shared" si="0"/>
        <v/>
      </c>
      <c r="M51" s="1098" t="str">
        <f t="shared" si="1"/>
        <v/>
      </c>
      <c r="N51" s="1099"/>
      <c r="O51" s="1086" t="str">
        <f t="shared" si="2"/>
        <v/>
      </c>
      <c r="P51" s="3543" t="str">
        <f t="shared" si="3"/>
        <v/>
      </c>
      <c r="Q51" s="3544"/>
      <c r="R51" s="1087">
        <f t="shared" si="4"/>
        <v>20</v>
      </c>
      <c r="S51" s="1088" t="str">
        <f t="shared" si="5"/>
        <v>--</v>
      </c>
      <c r="T51" s="1089" t="str">
        <f t="shared" si="6"/>
        <v>--</v>
      </c>
      <c r="U51" s="1090" t="str">
        <f t="shared" si="7"/>
        <v>--</v>
      </c>
      <c r="V51" s="1091" t="str">
        <f t="shared" si="8"/>
        <v>--</v>
      </c>
      <c r="W51" s="1092" t="str">
        <f t="shared" si="9"/>
        <v>--</v>
      </c>
      <c r="X51" s="1093" t="str">
        <f t="shared" si="10"/>
        <v>--</v>
      </c>
      <c r="Y51" s="1100" t="str">
        <f t="shared" si="11"/>
        <v>--</v>
      </c>
      <c r="Z51" s="1051"/>
      <c r="AA51" s="1051"/>
      <c r="AB51" s="1101" t="str">
        <f t="shared" si="12"/>
        <v/>
      </c>
      <c r="AC51" s="1043" t="str">
        <f t="shared" si="13"/>
        <v/>
      </c>
      <c r="AD51" s="1062"/>
    </row>
    <row r="52" spans="2:30" s="892" customFormat="1" ht="17.1" customHeight="1">
      <c r="B52" s="893"/>
      <c r="C52" s="957" t="s">
        <v>204</v>
      </c>
      <c r="D52" s="1102"/>
      <c r="E52" s="1103"/>
      <c r="F52" s="3541"/>
      <c r="G52" s="3542"/>
      <c r="H52" s="1080">
        <f t="shared" si="14"/>
        <v>0</v>
      </c>
      <c r="I52" s="1051"/>
      <c r="J52" s="1104"/>
      <c r="K52" s="1105"/>
      <c r="L52" s="1097" t="str">
        <f t="shared" si="0"/>
        <v/>
      </c>
      <c r="M52" s="1098" t="str">
        <f t="shared" si="1"/>
        <v/>
      </c>
      <c r="N52" s="1099"/>
      <c r="O52" s="1086" t="str">
        <f t="shared" si="2"/>
        <v/>
      </c>
      <c r="P52" s="3543" t="str">
        <f t="shared" si="3"/>
        <v/>
      </c>
      <c r="Q52" s="3544"/>
      <c r="R52" s="1087">
        <f t="shared" si="4"/>
        <v>20</v>
      </c>
      <c r="S52" s="1088" t="str">
        <f t="shared" si="5"/>
        <v>--</v>
      </c>
      <c r="T52" s="1089" t="str">
        <f t="shared" si="6"/>
        <v>--</v>
      </c>
      <c r="U52" s="1090" t="str">
        <f t="shared" si="7"/>
        <v>--</v>
      </c>
      <c r="V52" s="1091" t="str">
        <f t="shared" si="8"/>
        <v>--</v>
      </c>
      <c r="W52" s="1092" t="str">
        <f t="shared" si="9"/>
        <v>--</v>
      </c>
      <c r="X52" s="1093" t="str">
        <f t="shared" si="10"/>
        <v>--</v>
      </c>
      <c r="Y52" s="1100" t="str">
        <f t="shared" si="11"/>
        <v>--</v>
      </c>
      <c r="Z52" s="1051"/>
      <c r="AA52" s="1051"/>
      <c r="AB52" s="1101" t="str">
        <f t="shared" si="12"/>
        <v/>
      </c>
      <c r="AC52" s="1043" t="str">
        <f t="shared" si="13"/>
        <v/>
      </c>
      <c r="AD52" s="1062"/>
    </row>
    <row r="53" spans="1:30" ht="17.1" customHeight="1">
      <c r="A53" s="892"/>
      <c r="B53" s="893"/>
      <c r="C53" s="957" t="s">
        <v>205</v>
      </c>
      <c r="D53" s="1102"/>
      <c r="E53" s="1103"/>
      <c r="F53" s="3541"/>
      <c r="G53" s="3542"/>
      <c r="H53" s="1080">
        <f t="shared" si="14"/>
        <v>0</v>
      </c>
      <c r="I53" s="1051"/>
      <c r="J53" s="1104"/>
      <c r="K53" s="1105"/>
      <c r="L53" s="1097" t="str">
        <f t="shared" si="0"/>
        <v/>
      </c>
      <c r="M53" s="1098" t="str">
        <f t="shared" si="1"/>
        <v/>
      </c>
      <c r="N53" s="1099"/>
      <c r="O53" s="1086" t="str">
        <f t="shared" si="2"/>
        <v/>
      </c>
      <c r="P53" s="3543" t="str">
        <f t="shared" si="3"/>
        <v/>
      </c>
      <c r="Q53" s="3544"/>
      <c r="R53" s="1087">
        <f t="shared" si="4"/>
        <v>20</v>
      </c>
      <c r="S53" s="1088" t="str">
        <f t="shared" si="5"/>
        <v>--</v>
      </c>
      <c r="T53" s="1089" t="str">
        <f t="shared" si="6"/>
        <v>--</v>
      </c>
      <c r="U53" s="1090" t="str">
        <f t="shared" si="7"/>
        <v>--</v>
      </c>
      <c r="V53" s="1091" t="str">
        <f t="shared" si="8"/>
        <v>--</v>
      </c>
      <c r="W53" s="1092" t="str">
        <f t="shared" si="9"/>
        <v>--</v>
      </c>
      <c r="X53" s="1093" t="str">
        <f t="shared" si="10"/>
        <v>--</v>
      </c>
      <c r="Y53" s="1100" t="str">
        <f t="shared" si="11"/>
        <v>--</v>
      </c>
      <c r="Z53" s="1051"/>
      <c r="AA53" s="1051"/>
      <c r="AB53" s="1101" t="str">
        <f t="shared" si="12"/>
        <v/>
      </c>
      <c r="AC53" s="1043" t="str">
        <f t="shared" si="13"/>
        <v/>
      </c>
      <c r="AD53" s="1062"/>
    </row>
    <row r="54" spans="1:30" ht="17.1" customHeight="1">
      <c r="A54" s="892"/>
      <c r="B54" s="893"/>
      <c r="C54" s="957" t="s">
        <v>206</v>
      </c>
      <c r="D54" s="1102"/>
      <c r="E54" s="1103"/>
      <c r="F54" s="3541"/>
      <c r="G54" s="3542"/>
      <c r="H54" s="1080">
        <f t="shared" si="14"/>
        <v>0</v>
      </c>
      <c r="I54" s="1051"/>
      <c r="J54" s="1104"/>
      <c r="K54" s="1105"/>
      <c r="L54" s="1097" t="str">
        <f t="shared" si="0"/>
        <v/>
      </c>
      <c r="M54" s="1098" t="str">
        <f t="shared" si="1"/>
        <v/>
      </c>
      <c r="N54" s="1099"/>
      <c r="O54" s="1086" t="str">
        <f t="shared" si="2"/>
        <v/>
      </c>
      <c r="P54" s="3543" t="str">
        <f t="shared" si="3"/>
        <v/>
      </c>
      <c r="Q54" s="3544"/>
      <c r="R54" s="1087">
        <f t="shared" si="4"/>
        <v>20</v>
      </c>
      <c r="S54" s="1088" t="str">
        <f t="shared" si="5"/>
        <v>--</v>
      </c>
      <c r="T54" s="1089" t="str">
        <f t="shared" si="6"/>
        <v>--</v>
      </c>
      <c r="U54" s="1090" t="str">
        <f t="shared" si="7"/>
        <v>--</v>
      </c>
      <c r="V54" s="1091" t="str">
        <f t="shared" si="8"/>
        <v>--</v>
      </c>
      <c r="W54" s="1092" t="str">
        <f t="shared" si="9"/>
        <v>--</v>
      </c>
      <c r="X54" s="1093" t="str">
        <f t="shared" si="10"/>
        <v>--</v>
      </c>
      <c r="Y54" s="1100" t="str">
        <f t="shared" si="11"/>
        <v>--</v>
      </c>
      <c r="Z54" s="1051"/>
      <c r="AA54" s="1051"/>
      <c r="AB54" s="1101" t="str">
        <f t="shared" si="12"/>
        <v/>
      </c>
      <c r="AC54" s="1043" t="str">
        <f t="shared" si="13"/>
        <v/>
      </c>
      <c r="AD54" s="1062"/>
    </row>
    <row r="55" spans="1:30" ht="17.1" customHeight="1">
      <c r="A55" s="892"/>
      <c r="B55" s="893"/>
      <c r="C55" s="957" t="s">
        <v>207</v>
      </c>
      <c r="D55" s="1102"/>
      <c r="E55" s="1103"/>
      <c r="F55" s="3541"/>
      <c r="G55" s="3542"/>
      <c r="H55" s="1080">
        <f t="shared" si="14"/>
        <v>0</v>
      </c>
      <c r="I55" s="1051"/>
      <c r="J55" s="1104"/>
      <c r="K55" s="1105"/>
      <c r="L55" s="1097" t="str">
        <f t="shared" si="0"/>
        <v/>
      </c>
      <c r="M55" s="1098" t="str">
        <f t="shared" si="1"/>
        <v/>
      </c>
      <c r="N55" s="1099"/>
      <c r="O55" s="1086" t="str">
        <f t="shared" si="2"/>
        <v/>
      </c>
      <c r="P55" s="3543" t="str">
        <f t="shared" si="3"/>
        <v/>
      </c>
      <c r="Q55" s="3544"/>
      <c r="R55" s="1087">
        <f t="shared" si="4"/>
        <v>20</v>
      </c>
      <c r="S55" s="1088" t="str">
        <f t="shared" si="5"/>
        <v>--</v>
      </c>
      <c r="T55" s="1089" t="str">
        <f t="shared" si="6"/>
        <v>--</v>
      </c>
      <c r="U55" s="1090" t="str">
        <f t="shared" si="7"/>
        <v>--</v>
      </c>
      <c r="V55" s="1091" t="str">
        <f t="shared" si="8"/>
        <v>--</v>
      </c>
      <c r="W55" s="1092" t="str">
        <f t="shared" si="9"/>
        <v>--</v>
      </c>
      <c r="X55" s="1093" t="str">
        <f t="shared" si="10"/>
        <v>--</v>
      </c>
      <c r="Y55" s="1100" t="str">
        <f t="shared" si="11"/>
        <v>--</v>
      </c>
      <c r="Z55" s="1051"/>
      <c r="AA55" s="1051"/>
      <c r="AB55" s="1101" t="str">
        <f t="shared" si="12"/>
        <v/>
      </c>
      <c r="AC55" s="1043" t="str">
        <f t="shared" si="13"/>
        <v/>
      </c>
      <c r="AD55" s="1062"/>
    </row>
    <row r="56" spans="1:30" ht="17.1" customHeight="1" thickBot="1">
      <c r="A56" s="892"/>
      <c r="B56" s="893"/>
      <c r="C56" s="1106"/>
      <c r="D56" s="1107"/>
      <c r="E56" s="1108"/>
      <c r="F56" s="3537"/>
      <c r="G56" s="3538"/>
      <c r="H56" s="1109">
        <f t="shared" si="14"/>
        <v>0</v>
      </c>
      <c r="I56" s="1110"/>
      <c r="J56" s="1111"/>
      <c r="K56" s="1112"/>
      <c r="L56" s="1113" t="str">
        <f t="shared" si="0"/>
        <v/>
      </c>
      <c r="M56" s="1114" t="str">
        <f t="shared" si="1"/>
        <v/>
      </c>
      <c r="N56" s="1115"/>
      <c r="O56" s="1116" t="str">
        <f t="shared" si="2"/>
        <v/>
      </c>
      <c r="P56" s="3539"/>
      <c r="Q56" s="3540"/>
      <c r="R56" s="1117"/>
      <c r="S56" s="1118"/>
      <c r="T56" s="1119"/>
      <c r="U56" s="1120"/>
      <c r="V56" s="1121"/>
      <c r="W56" s="1122"/>
      <c r="X56" s="1123"/>
      <c r="Y56" s="1124"/>
      <c r="Z56" s="1004"/>
      <c r="AA56" s="1004"/>
      <c r="AB56" s="997"/>
      <c r="AC56" s="1125"/>
      <c r="AD56" s="1062"/>
    </row>
    <row r="57" spans="1:30" ht="17.1" customHeight="1" thickBot="1" thickTop="1">
      <c r="A57" s="892"/>
      <c r="B57" s="893"/>
      <c r="C57" s="1008"/>
      <c r="D57" s="912"/>
      <c r="E57" s="1048"/>
      <c r="F57" s="1048"/>
      <c r="G57" s="1048"/>
      <c r="H57" s="1048"/>
      <c r="I57" s="1048"/>
      <c r="J57" s="1048"/>
      <c r="K57" s="1048"/>
      <c r="L57" s="1048"/>
      <c r="M57" s="1048"/>
      <c r="N57" s="1048"/>
      <c r="O57" s="1048"/>
      <c r="P57" s="1048"/>
      <c r="Q57" s="1048"/>
      <c r="R57" s="1048"/>
      <c r="S57" s="1048"/>
      <c r="T57" s="1048"/>
      <c r="U57" s="1048"/>
      <c r="V57" s="1048"/>
      <c r="W57" s="1048"/>
      <c r="X57" s="1048"/>
      <c r="Y57" s="1048"/>
      <c r="Z57" s="1048"/>
      <c r="AA57" s="1048"/>
      <c r="AB57" s="1048"/>
      <c r="AC57" s="1022">
        <f>SUM(AC47:AC56)</f>
        <v>0</v>
      </c>
      <c r="AD57" s="1062"/>
    </row>
    <row r="58" spans="1:30" ht="17.1" customHeight="1" thickBot="1" thickTop="1">
      <c r="A58" s="892"/>
      <c r="B58" s="893"/>
      <c r="C58" s="1008"/>
      <c r="D58" s="912"/>
      <c r="E58" s="1048"/>
      <c r="F58" s="1048"/>
      <c r="G58" s="1048"/>
      <c r="H58" s="1048"/>
      <c r="I58" s="1048"/>
      <c r="J58" s="1048"/>
      <c r="K58" s="1048"/>
      <c r="L58" s="1048"/>
      <c r="M58" s="1048"/>
      <c r="N58" s="1048"/>
      <c r="O58" s="1048"/>
      <c r="P58" s="1048"/>
      <c r="Q58" s="1048"/>
      <c r="R58" s="1048"/>
      <c r="S58" s="1048"/>
      <c r="T58" s="1048"/>
      <c r="U58" s="1048"/>
      <c r="V58" s="1048"/>
      <c r="W58" s="1048"/>
      <c r="X58" s="1048"/>
      <c r="Y58" s="1048"/>
      <c r="Z58" s="1048"/>
      <c r="AA58" s="1048"/>
      <c r="AB58" s="1048"/>
      <c r="AC58" s="1126"/>
      <c r="AD58" s="1062"/>
    </row>
    <row r="59" spans="1:30" ht="17.1" customHeight="1" thickBot="1" thickTop="1">
      <c r="A59" s="892"/>
      <c r="B59" s="867"/>
      <c r="C59" s="1008"/>
      <c r="D59" s="912"/>
      <c r="E59" s="912"/>
      <c r="F59" s="1009"/>
      <c r="G59" s="1010"/>
      <c r="H59" s="1011"/>
      <c r="I59" s="1012"/>
      <c r="J59" s="910" t="s">
        <v>42</v>
      </c>
      <c r="K59" s="911">
        <f>+AC36+AC44+AC57</f>
        <v>7594.860000000001</v>
      </c>
      <c r="L59" s="1015"/>
      <c r="M59" s="1011"/>
      <c r="N59" s="1127"/>
      <c r="O59" s="1128"/>
      <c r="P59" s="1045"/>
      <c r="Q59" s="1046"/>
      <c r="R59" s="1047"/>
      <c r="S59" s="1047"/>
      <c r="T59" s="1047"/>
      <c r="U59" s="1048"/>
      <c r="V59" s="1048"/>
      <c r="W59" s="1048"/>
      <c r="X59" s="1048"/>
      <c r="Y59" s="1048"/>
      <c r="Z59" s="1048"/>
      <c r="AA59" s="1048"/>
      <c r="AB59" s="1048"/>
      <c r="AC59" s="1129"/>
      <c r="AD59" s="922"/>
    </row>
    <row r="60" spans="1:30" ht="13.5" customHeight="1" thickTop="1">
      <c r="A60" s="892"/>
      <c r="B60" s="893"/>
      <c r="C60" s="897"/>
      <c r="D60" s="1130"/>
      <c r="E60" s="1131"/>
      <c r="F60" s="1132"/>
      <c r="G60" s="1133"/>
      <c r="H60" s="1133"/>
      <c r="I60" s="1131"/>
      <c r="J60" s="1134"/>
      <c r="K60" s="1134"/>
      <c r="L60" s="1131"/>
      <c r="M60" s="1131"/>
      <c r="N60" s="1131"/>
      <c r="O60" s="1135"/>
      <c r="P60" s="1131"/>
      <c r="Q60" s="1131"/>
      <c r="R60" s="1136"/>
      <c r="S60" s="1137"/>
      <c r="T60" s="1137"/>
      <c r="U60" s="1138"/>
      <c r="AC60" s="1138"/>
      <c r="AD60" s="1062"/>
    </row>
    <row r="61" spans="1:30" ht="17.1" customHeight="1">
      <c r="A61" s="892"/>
      <c r="B61" s="893"/>
      <c r="C61" s="1139" t="s">
        <v>104</v>
      </c>
      <c r="D61" s="1140" t="s">
        <v>138</v>
      </c>
      <c r="E61" s="1131"/>
      <c r="F61" s="1132"/>
      <c r="G61" s="1133"/>
      <c r="H61" s="1133"/>
      <c r="I61" s="1131"/>
      <c r="J61" s="1134"/>
      <c r="K61" s="1134"/>
      <c r="L61" s="1131"/>
      <c r="M61" s="1131"/>
      <c r="N61" s="1131"/>
      <c r="O61" s="1135"/>
      <c r="P61" s="1131"/>
      <c r="Q61" s="1131"/>
      <c r="R61" s="1136"/>
      <c r="S61" s="1137"/>
      <c r="T61" s="1137"/>
      <c r="U61" s="1138"/>
      <c r="AC61" s="1138"/>
      <c r="AD61" s="1062"/>
    </row>
    <row r="62" spans="1:30" ht="17.1" customHeight="1">
      <c r="A62" s="892"/>
      <c r="B62" s="893"/>
      <c r="C62" s="1139"/>
      <c r="D62" s="1130"/>
      <c r="E62" s="1131"/>
      <c r="F62" s="1132"/>
      <c r="G62" s="1133"/>
      <c r="H62" s="1133"/>
      <c r="I62" s="1131"/>
      <c r="J62" s="1134"/>
      <c r="K62" s="1134"/>
      <c r="L62" s="1131"/>
      <c r="M62" s="1131"/>
      <c r="N62" s="1131"/>
      <c r="O62" s="1135"/>
      <c r="P62" s="1131"/>
      <c r="Q62" s="1131"/>
      <c r="R62" s="1131"/>
      <c r="S62" s="1136"/>
      <c r="T62" s="1137"/>
      <c r="AD62" s="1062"/>
    </row>
    <row r="63" spans="1:30" ht="17.1" customHeight="1">
      <c r="A63" s="892"/>
      <c r="B63" s="893"/>
      <c r="C63" s="897"/>
      <c r="D63" s="1141" t="s">
        <v>119</v>
      </c>
      <c r="E63" s="915" t="s">
        <v>120</v>
      </c>
      <c r="F63" s="915" t="s">
        <v>43</v>
      </c>
      <c r="G63" s="1142" t="s">
        <v>143</v>
      </c>
      <c r="I63" s="1143"/>
      <c r="J63" s="915"/>
      <c r="L63" s="1144" t="s">
        <v>141</v>
      </c>
      <c r="M63" s="1143"/>
      <c r="N63" s="1145"/>
      <c r="O63" s="1146"/>
      <c r="P63" s="1146"/>
      <c r="Q63" s="1146"/>
      <c r="R63" s="1146"/>
      <c r="S63" s="1146"/>
      <c r="AC63" s="1147"/>
      <c r="AD63" s="1062"/>
    </row>
    <row r="64" spans="1:30" ht="17.1" customHeight="1">
      <c r="A64" s="892"/>
      <c r="B64" s="893"/>
      <c r="C64" s="897"/>
      <c r="D64" s="915" t="s">
        <v>362</v>
      </c>
      <c r="E64" s="1148">
        <v>300</v>
      </c>
      <c r="F64" s="1148" t="s">
        <v>135</v>
      </c>
      <c r="G64" s="1149">
        <f>E64*F20*L20*2</f>
        <v>620942.4</v>
      </c>
      <c r="H64" s="882"/>
      <c r="I64" s="882"/>
      <c r="J64" s="1150"/>
      <c r="L64" s="1150">
        <v>0</v>
      </c>
      <c r="M64" s="882"/>
      <c r="N64" s="643" t="str">
        <f ca="1">"(DTE "&amp;DATO!$G$14&amp;DATO!$H$14&amp;")"</f>
        <v>(DTE 0116)</v>
      </c>
      <c r="O64" s="1152"/>
      <c r="P64" s="1152"/>
      <c r="Q64" s="1152"/>
      <c r="R64" s="1152"/>
      <c r="S64" s="1152"/>
      <c r="AC64" s="1153">
        <f>G64</f>
        <v>620942.4</v>
      </c>
      <c r="AD64" s="1062"/>
    </row>
    <row r="65" spans="1:30" ht="17.1" customHeight="1">
      <c r="A65" s="892"/>
      <c r="B65" s="893"/>
      <c r="C65" s="897"/>
      <c r="D65" s="915"/>
      <c r="E65" s="1148"/>
      <c r="F65" s="1148"/>
      <c r="G65" s="1149"/>
      <c r="H65" s="882"/>
      <c r="I65" s="882"/>
      <c r="J65" s="1150"/>
      <c r="L65" s="1150"/>
      <c r="M65" s="882"/>
      <c r="N65" s="1154"/>
      <c r="O65" s="1152"/>
      <c r="P65" s="1152"/>
      <c r="Q65" s="1152"/>
      <c r="R65" s="1152"/>
      <c r="S65" s="1152"/>
      <c r="AC65" s="1153"/>
      <c r="AD65" s="1062"/>
    </row>
    <row r="66" spans="1:30" ht="7.5" customHeight="1" thickBot="1">
      <c r="A66" s="892"/>
      <c r="B66" s="893"/>
      <c r="C66" s="897"/>
      <c r="D66" s="915"/>
      <c r="E66" s="1155"/>
      <c r="F66" s="1156"/>
      <c r="G66" s="1148"/>
      <c r="H66" s="882"/>
      <c r="I66" s="882"/>
      <c r="J66" s="1149"/>
      <c r="L66" s="1150"/>
      <c r="M66" s="882"/>
      <c r="N66" s="1154"/>
      <c r="O66" s="1152"/>
      <c r="P66" s="1152"/>
      <c r="Q66" s="1152"/>
      <c r="R66" s="1152"/>
      <c r="S66" s="1152"/>
      <c r="AC66" s="1153"/>
      <c r="AD66" s="1062"/>
    </row>
    <row r="67" spans="1:30" ht="17.1" customHeight="1" thickBot="1" thickTop="1">
      <c r="A67" s="892"/>
      <c r="B67" s="893"/>
      <c r="C67" s="897"/>
      <c r="D67" s="915"/>
      <c r="E67" s="1155"/>
      <c r="F67" s="1156"/>
      <c r="G67" s="1148"/>
      <c r="H67" s="882"/>
      <c r="I67" s="882"/>
      <c r="J67" s="1149"/>
      <c r="L67" s="1150"/>
      <c r="M67" s="882"/>
      <c r="N67" s="1154"/>
      <c r="O67" s="1152"/>
      <c r="P67" s="1152"/>
      <c r="Q67" s="1152"/>
      <c r="R67" s="1152"/>
      <c r="S67" s="1152"/>
      <c r="AB67" s="910" t="s">
        <v>44</v>
      </c>
      <c r="AC67" s="911">
        <f>SUM(AC63:AC65)</f>
        <v>620942.4</v>
      </c>
      <c r="AD67" s="1062"/>
    </row>
    <row r="68" spans="2:30" ht="17.1" customHeight="1" thickBot="1" thickTop="1">
      <c r="B68" s="893"/>
      <c r="C68" s="1139" t="s">
        <v>108</v>
      </c>
      <c r="D68" s="1157" t="s">
        <v>109</v>
      </c>
      <c r="E68" s="915"/>
      <c r="F68" s="1158"/>
      <c r="G68" s="914"/>
      <c r="H68" s="1134"/>
      <c r="I68" s="1134"/>
      <c r="J68" s="1134"/>
      <c r="K68" s="915"/>
      <c r="L68" s="915"/>
      <c r="M68" s="1134"/>
      <c r="N68" s="915"/>
      <c r="O68" s="1134"/>
      <c r="P68" s="1134"/>
      <c r="Q68" s="1134"/>
      <c r="R68" s="1134"/>
      <c r="S68" s="1134"/>
      <c r="T68" s="1134"/>
      <c r="U68" s="1134"/>
      <c r="AC68" s="1134"/>
      <c r="AD68" s="1062"/>
    </row>
    <row r="69" spans="2:30" s="892" customFormat="1" ht="17.1" customHeight="1" thickBot="1" thickTop="1">
      <c r="B69" s="893"/>
      <c r="C69" s="897"/>
      <c r="D69" s="1141" t="s">
        <v>110</v>
      </c>
      <c r="E69" s="1159">
        <f>10*K59*K25/AC67</f>
        <v>1113.84</v>
      </c>
      <c r="G69" s="914"/>
      <c r="L69" s="915"/>
      <c r="N69" s="915"/>
      <c r="O69" s="916"/>
      <c r="V69" s="853"/>
      <c r="W69" s="853"/>
      <c r="AB69" s="910" t="s">
        <v>363</v>
      </c>
      <c r="AC69" s="911">
        <v>364262.39999999997</v>
      </c>
      <c r="AD69" s="1062"/>
    </row>
    <row r="70" spans="2:30" s="892" customFormat="1" ht="17.1" customHeight="1" thickTop="1">
      <c r="B70" s="893"/>
      <c r="C70" s="897"/>
      <c r="E70" s="1160"/>
      <c r="F70" s="908"/>
      <c r="G70" s="914"/>
      <c r="J70" s="914"/>
      <c r="K70" s="921"/>
      <c r="L70" s="915"/>
      <c r="M70" s="915"/>
      <c r="N70" s="915"/>
      <c r="O70" s="916"/>
      <c r="P70" s="915"/>
      <c r="Q70" s="915"/>
      <c r="R70" s="920"/>
      <c r="S70" s="920"/>
      <c r="T70" s="920"/>
      <c r="U70" s="1161"/>
      <c r="V70" s="853"/>
      <c r="W70" s="853"/>
      <c r="AC70" s="1161"/>
      <c r="AD70" s="1062"/>
    </row>
    <row r="71" spans="2:30" ht="17.1" customHeight="1">
      <c r="B71" s="893"/>
      <c r="C71" s="897"/>
      <c r="D71" s="1162" t="s">
        <v>364</v>
      </c>
      <c r="E71" s="1163"/>
      <c r="F71" s="908"/>
      <c r="G71" s="914"/>
      <c r="H71" s="1134"/>
      <c r="I71" s="1134"/>
      <c r="N71" s="915"/>
      <c r="O71" s="916"/>
      <c r="P71" s="915"/>
      <c r="Q71" s="915"/>
      <c r="R71" s="1143"/>
      <c r="S71" s="1143"/>
      <c r="T71" s="1143"/>
      <c r="U71" s="1145"/>
      <c r="AC71" s="1145"/>
      <c r="AD71" s="1062"/>
    </row>
    <row r="72" spans="2:30" ht="17.1" customHeight="1" thickBot="1">
      <c r="B72" s="893"/>
      <c r="C72" s="897"/>
      <c r="D72" s="1162"/>
      <c r="E72" s="1163"/>
      <c r="F72" s="908"/>
      <c r="G72" s="914"/>
      <c r="H72" s="1134"/>
      <c r="I72" s="1134"/>
      <c r="N72" s="915"/>
      <c r="O72" s="916"/>
      <c r="P72" s="915"/>
      <c r="Q72" s="915"/>
      <c r="R72" s="1143"/>
      <c r="S72" s="1143"/>
      <c r="T72" s="1143"/>
      <c r="U72" s="1145"/>
      <c r="AC72" s="1145"/>
      <c r="AD72" s="1062"/>
    </row>
    <row r="73" spans="2:30" s="1164" customFormat="1" ht="21" thickBot="1" thickTop="1">
      <c r="B73" s="1165"/>
      <c r="C73" s="1166"/>
      <c r="D73" s="1167"/>
      <c r="E73" s="1168"/>
      <c r="F73" s="1169"/>
      <c r="G73" s="1170"/>
      <c r="I73" s="853"/>
      <c r="J73" s="1171" t="s">
        <v>111</v>
      </c>
      <c r="K73" s="1172">
        <f>IF(E69&gt;3*K25,K25*3,E69)</f>
        <v>1113.84</v>
      </c>
      <c r="M73" s="1173"/>
      <c r="N73" s="1174" t="s">
        <v>365</v>
      </c>
      <c r="O73" s="1175"/>
      <c r="P73" s="1173"/>
      <c r="R73" s="1176"/>
      <c r="S73" s="1176"/>
      <c r="T73" s="1176"/>
      <c r="U73" s="1177"/>
      <c r="V73" s="853"/>
      <c r="W73" s="853"/>
      <c r="AC73" s="1177"/>
      <c r="AD73" s="1178"/>
    </row>
    <row r="74" spans="2:30" ht="17.1" customHeight="1" thickBot="1" thickTop="1">
      <c r="B74" s="1179"/>
      <c r="C74" s="1180"/>
      <c r="D74" s="1180"/>
      <c r="E74" s="1180"/>
      <c r="F74" s="1180"/>
      <c r="G74" s="1180"/>
      <c r="H74" s="1180"/>
      <c r="I74" s="1180"/>
      <c r="J74" s="1180"/>
      <c r="K74" s="1180"/>
      <c r="L74" s="1180"/>
      <c r="M74" s="1180"/>
      <c r="N74" s="1180"/>
      <c r="O74" s="1180"/>
      <c r="P74" s="1180"/>
      <c r="Q74" s="1180"/>
      <c r="R74" s="1180"/>
      <c r="S74" s="1180"/>
      <c r="T74" s="1180"/>
      <c r="U74" s="1180"/>
      <c r="V74" s="1181"/>
      <c r="W74" s="1181"/>
      <c r="X74" s="1181"/>
      <c r="Y74" s="1181"/>
      <c r="Z74" s="1181"/>
      <c r="AA74" s="1181"/>
      <c r="AB74" s="1181"/>
      <c r="AC74" s="1180"/>
      <c r="AD74" s="1182"/>
    </row>
    <row r="75" spans="2:23" ht="17.1" customHeight="1" thickTop="1">
      <c r="B75" s="889"/>
      <c r="C75" s="1183"/>
      <c r="W75" s="889"/>
    </row>
  </sheetData>
  <sheetProtection password="CC12"/>
  <mergeCells count="39">
    <mergeCell ref="E38:F38"/>
    <mergeCell ref="O38:Q38"/>
    <mergeCell ref="P31:Q31"/>
    <mergeCell ref="P32:Q32"/>
    <mergeCell ref="P33:Q33"/>
    <mergeCell ref="P34:Q34"/>
    <mergeCell ref="P35:Q35"/>
    <mergeCell ref="E39:F39"/>
    <mergeCell ref="O39:Q39"/>
    <mergeCell ref="E40:F40"/>
    <mergeCell ref="O40:Q40"/>
    <mergeCell ref="E41:F41"/>
    <mergeCell ref="O41:Q41"/>
    <mergeCell ref="E42:F42"/>
    <mergeCell ref="O42:Q42"/>
    <mergeCell ref="E43:F43"/>
    <mergeCell ref="O43:Q43"/>
    <mergeCell ref="F46:G46"/>
    <mergeCell ref="P46:Q46"/>
    <mergeCell ref="F47:G47"/>
    <mergeCell ref="P47:Q47"/>
    <mergeCell ref="F48:G48"/>
    <mergeCell ref="P48:Q48"/>
    <mergeCell ref="F49:G49"/>
    <mergeCell ref="P49:Q49"/>
    <mergeCell ref="F50:G50"/>
    <mergeCell ref="P50:Q50"/>
    <mergeCell ref="F51:G51"/>
    <mergeCell ref="P51:Q51"/>
    <mergeCell ref="F52:G52"/>
    <mergeCell ref="P52:Q52"/>
    <mergeCell ref="F56:G56"/>
    <mergeCell ref="P56:Q56"/>
    <mergeCell ref="F53:G53"/>
    <mergeCell ref="P53:Q53"/>
    <mergeCell ref="F54:G54"/>
    <mergeCell ref="P54:Q54"/>
    <mergeCell ref="F55:G55"/>
    <mergeCell ref="P55:Q55"/>
  </mergeCells>
  <printOptions horizontalCentered="1"/>
  <pageMargins left="0.1968503937007874" right="0.15748031496062992" top="0.7874015748031497" bottom="0.7874015748031497" header="0.5118110236220472" footer="0.5118110236220472"/>
  <pageSetup fitToHeight="1" fitToWidth="1" horizontalDpi="600" verticalDpi="600" orientation="portrait" paperSize="9" scale="37" r:id="rId4"/>
  <headerFooter alignWithMargins="0">
    <oddFooter>&amp;L&amp;"Times New Roman,Normal"&amp;8&amp;Z&amp;F</oddFooter>
  </headerFooter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zoomScale="80" zoomScaleNormal="80" workbookViewId="0" topLeftCell="A1">
      <selection activeCell="A48" sqref="A48"/>
    </sheetView>
  </sheetViews>
  <sheetFormatPr defaultColWidth="11.421875" defaultRowHeight="12.75"/>
  <cols>
    <col min="1" max="1" width="23.00390625" style="2346" customWidth="1"/>
    <col min="2" max="2" width="11.8515625" style="2346" customWidth="1"/>
    <col min="3" max="3" width="6.57421875" style="2346" bestFit="1" customWidth="1"/>
    <col min="4" max="4" width="27.140625" style="2346" customWidth="1"/>
    <col min="5" max="5" width="16.8515625" style="2346" customWidth="1"/>
    <col min="6" max="6" width="16.57421875" style="2346" customWidth="1"/>
    <col min="7" max="7" width="14.421875" style="2346" customWidth="1"/>
    <col min="8" max="8" width="6.28125" style="2346" hidden="1" customWidth="1"/>
    <col min="9" max="9" width="22.00390625" style="2346" customWidth="1"/>
    <col min="10" max="10" width="21.57421875" style="2346" bestFit="1" customWidth="1"/>
    <col min="11" max="11" width="18.7109375" style="2346" customWidth="1"/>
    <col min="12" max="13" width="10.7109375" style="2346" customWidth="1"/>
    <col min="14" max="14" width="9.7109375" style="2346" customWidth="1"/>
    <col min="15" max="15" width="10.28125" style="2346" customWidth="1"/>
    <col min="16" max="16" width="9.421875" style="2346" hidden="1" customWidth="1"/>
    <col min="17" max="17" width="11.8515625" style="2346" hidden="1" customWidth="1"/>
    <col min="18" max="19" width="2.140625" style="2346" hidden="1" customWidth="1"/>
    <col min="20" max="20" width="11.57421875" style="2346" hidden="1" customWidth="1"/>
    <col min="21" max="21" width="14.8515625" style="2346" customWidth="1"/>
    <col min="22" max="22" width="20.7109375" style="2346" customWidth="1"/>
    <col min="23" max="23" width="12.140625" style="2346" customWidth="1"/>
    <col min="24" max="24" width="17.7109375" style="2346" customWidth="1"/>
    <col min="25" max="25" width="12.8515625" style="2346" customWidth="1"/>
    <col min="26" max="26" width="14.28125" style="2346" customWidth="1"/>
    <col min="27" max="27" width="24.28125" style="2346" customWidth="1"/>
    <col min="28" max="28" width="9.7109375" style="2346" customWidth="1"/>
    <col min="29" max="29" width="17.28125" style="2346" customWidth="1"/>
    <col min="30" max="30" width="25.7109375" style="2346" customWidth="1"/>
    <col min="31" max="31" width="4.140625" style="2346" customWidth="1"/>
    <col min="32" max="32" width="7.140625" style="2346" customWidth="1"/>
    <col min="33" max="33" width="5.28125" style="2346" customWidth="1"/>
    <col min="34" max="34" width="5.421875" style="2346" customWidth="1"/>
    <col min="35" max="35" width="4.7109375" style="2346" customWidth="1"/>
    <col min="36" max="36" width="5.28125" style="2346" customWidth="1"/>
    <col min="37" max="38" width="13.28125" style="2346" customWidth="1"/>
    <col min="39" max="39" width="6.57421875" style="2346" customWidth="1"/>
    <col min="40" max="40" width="6.421875" style="2346" customWidth="1"/>
    <col min="41" max="44" width="11.421875" style="2346" customWidth="1"/>
    <col min="45" max="45" width="12.7109375" style="2346" customWidth="1"/>
    <col min="46" max="48" width="11.421875" style="2346" customWidth="1"/>
    <col min="49" max="49" width="21.00390625" style="2346" customWidth="1"/>
    <col min="50" max="16384" width="11.421875" style="2346" customWidth="1"/>
  </cols>
  <sheetData>
    <row r="1" spans="1:30" ht="13.5">
      <c r="A1" s="2335"/>
      <c r="B1" s="2336"/>
      <c r="C1" s="2336"/>
      <c r="D1" s="2336"/>
      <c r="E1" s="2336"/>
      <c r="F1" s="2336"/>
      <c r="G1" s="2336"/>
      <c r="H1" s="2336"/>
      <c r="I1" s="2336"/>
      <c r="J1" s="2336"/>
      <c r="K1" s="2336"/>
      <c r="L1" s="2336"/>
      <c r="M1" s="2336"/>
      <c r="N1" s="2336"/>
      <c r="O1" s="2336"/>
      <c r="P1" s="2336"/>
      <c r="Q1" s="2336"/>
      <c r="R1" s="2336"/>
      <c r="S1" s="2336"/>
      <c r="T1" s="2336"/>
      <c r="U1" s="2336"/>
      <c r="V1" s="2336"/>
      <c r="W1" s="2483"/>
      <c r="AD1" s="2483"/>
    </row>
    <row r="2" spans="1:23" ht="27" customHeight="1">
      <c r="A2" s="2335"/>
      <c r="B2" s="2336"/>
      <c r="C2" s="2336"/>
      <c r="D2" s="2336"/>
      <c r="E2" s="2336"/>
      <c r="F2" s="2336"/>
      <c r="G2" s="2336"/>
      <c r="H2" s="2336"/>
      <c r="I2" s="2336"/>
      <c r="J2" s="2336"/>
      <c r="K2" s="2336"/>
      <c r="L2" s="2336"/>
      <c r="M2" s="2336"/>
      <c r="N2" s="2336"/>
      <c r="O2" s="2336"/>
      <c r="P2" s="2336"/>
      <c r="Q2" s="2336"/>
      <c r="R2" s="2336"/>
      <c r="S2" s="2336"/>
      <c r="T2" s="2336"/>
      <c r="U2" s="2336"/>
      <c r="V2" s="2336"/>
      <c r="W2" s="2336"/>
    </row>
    <row r="3" spans="1:30" s="2487" customFormat="1" ht="30.75">
      <c r="A3" s="2484"/>
      <c r="B3" s="2485" t="str">
        <f>'TOT-0116'!B2</f>
        <v>ANEXO II al Memorándum D.T.E.E. N° 231 / 2017</v>
      </c>
      <c r="C3" s="2486"/>
      <c r="D3" s="2486"/>
      <c r="E3" s="2486"/>
      <c r="F3" s="2486"/>
      <c r="G3" s="2486"/>
      <c r="H3" s="2486"/>
      <c r="I3" s="2486"/>
      <c r="J3" s="2486"/>
      <c r="K3" s="2486"/>
      <c r="L3" s="2486"/>
      <c r="M3" s="2486"/>
      <c r="N3" s="2486"/>
      <c r="O3" s="2486"/>
      <c r="P3" s="2486"/>
      <c r="Q3" s="2486"/>
      <c r="R3" s="2486"/>
      <c r="S3" s="2486"/>
      <c r="T3" s="2486"/>
      <c r="U3" s="2486"/>
      <c r="V3" s="2486"/>
      <c r="W3" s="2486"/>
      <c r="AB3" s="2486"/>
      <c r="AC3" s="2486"/>
      <c r="AD3" s="2486"/>
    </row>
    <row r="4" spans="1:2" s="2337" customFormat="1" ht="11.25">
      <c r="A4" s="2488" t="s">
        <v>2</v>
      </c>
      <c r="B4" s="2489"/>
    </row>
    <row r="5" spans="1:2" s="2337" customFormat="1" ht="12" thickBot="1">
      <c r="A5" s="2488" t="s">
        <v>3</v>
      </c>
      <c r="B5" s="2488"/>
    </row>
    <row r="6" spans="1:23" ht="17.1" customHeight="1" thickTop="1">
      <c r="A6" s="2336"/>
      <c r="B6" s="2490"/>
      <c r="C6" s="2491"/>
      <c r="D6" s="2491"/>
      <c r="E6" s="2492"/>
      <c r="F6" s="2491"/>
      <c r="G6" s="2491"/>
      <c r="H6" s="2491"/>
      <c r="I6" s="2491"/>
      <c r="J6" s="2491"/>
      <c r="K6" s="2491"/>
      <c r="L6" s="2491"/>
      <c r="M6" s="2491"/>
      <c r="N6" s="2491"/>
      <c r="O6" s="2491"/>
      <c r="P6" s="2491"/>
      <c r="Q6" s="2491"/>
      <c r="R6" s="2491"/>
      <c r="S6" s="2491"/>
      <c r="T6" s="2491"/>
      <c r="U6" s="2491"/>
      <c r="V6" s="2491"/>
      <c r="W6" s="2338"/>
    </row>
    <row r="7" spans="1:23" ht="20.25">
      <c r="A7" s="2336"/>
      <c r="B7" s="2493"/>
      <c r="C7" s="2347"/>
      <c r="D7" s="2339" t="s">
        <v>92</v>
      </c>
      <c r="E7" s="2347"/>
      <c r="F7" s="2347"/>
      <c r="G7" s="2347"/>
      <c r="H7" s="2347"/>
      <c r="I7" s="2347"/>
      <c r="J7" s="2347"/>
      <c r="K7" s="2347"/>
      <c r="L7" s="2347"/>
      <c r="M7" s="2347"/>
      <c r="N7" s="2347"/>
      <c r="O7" s="2347"/>
      <c r="P7" s="2494"/>
      <c r="Q7" s="2494"/>
      <c r="R7" s="2347"/>
      <c r="S7" s="2347"/>
      <c r="T7" s="2347"/>
      <c r="U7" s="2347"/>
      <c r="V7" s="2347"/>
      <c r="W7" s="2341"/>
    </row>
    <row r="8" spans="1:23" ht="17.1" customHeight="1">
      <c r="A8" s="2336"/>
      <c r="B8" s="2493"/>
      <c r="C8" s="2347"/>
      <c r="D8" s="2347"/>
      <c r="E8" s="2347"/>
      <c r="F8" s="2347"/>
      <c r="G8" s="2347"/>
      <c r="H8" s="2347"/>
      <c r="I8" s="2347"/>
      <c r="J8" s="2347"/>
      <c r="K8" s="2347"/>
      <c r="L8" s="2347"/>
      <c r="M8" s="2347"/>
      <c r="N8" s="2347"/>
      <c r="O8" s="2347"/>
      <c r="P8" s="2347"/>
      <c r="Q8" s="2347"/>
      <c r="R8" s="2347"/>
      <c r="S8" s="2347"/>
      <c r="T8" s="2347"/>
      <c r="U8" s="2347"/>
      <c r="V8" s="2347"/>
      <c r="W8" s="2341"/>
    </row>
    <row r="9" spans="2:23" s="2344" customFormat="1" ht="20.25">
      <c r="B9" s="2495"/>
      <c r="C9" s="2496"/>
      <c r="D9" s="2339" t="s">
        <v>93</v>
      </c>
      <c r="E9" s="2496"/>
      <c r="F9" s="2496"/>
      <c r="G9" s="2496"/>
      <c r="H9" s="2496"/>
      <c r="N9" s="2496"/>
      <c r="O9" s="2496"/>
      <c r="P9" s="2497"/>
      <c r="Q9" s="2497"/>
      <c r="R9" s="2496"/>
      <c r="S9" s="2496"/>
      <c r="T9" s="2496"/>
      <c r="U9" s="2496"/>
      <c r="V9" s="2496"/>
      <c r="W9" s="2498"/>
    </row>
    <row r="10" spans="1:23" ht="17.1" customHeight="1">
      <c r="A10" s="2336"/>
      <c r="B10" s="2493"/>
      <c r="C10" s="2347"/>
      <c r="D10" s="2347"/>
      <c r="E10" s="2347"/>
      <c r="F10" s="2347"/>
      <c r="G10" s="2347"/>
      <c r="H10" s="2347"/>
      <c r="I10" s="2347"/>
      <c r="J10" s="2347"/>
      <c r="K10" s="2347"/>
      <c r="L10" s="2347"/>
      <c r="M10" s="2347"/>
      <c r="N10" s="2347"/>
      <c r="O10" s="2347"/>
      <c r="P10" s="2347"/>
      <c r="Q10" s="2347"/>
      <c r="R10" s="2347"/>
      <c r="S10" s="2347"/>
      <c r="T10" s="2347"/>
      <c r="U10" s="2347"/>
      <c r="V10" s="2347"/>
      <c r="W10" s="2341"/>
    </row>
    <row r="11" spans="2:23" s="2344" customFormat="1" ht="20.25">
      <c r="B11" s="2495"/>
      <c r="C11" s="2496"/>
      <c r="D11" s="2339" t="s">
        <v>476</v>
      </c>
      <c r="E11" s="2496"/>
      <c r="F11" s="2496"/>
      <c r="G11" s="2496"/>
      <c r="H11" s="2496"/>
      <c r="N11" s="2496"/>
      <c r="O11" s="2496"/>
      <c r="P11" s="2497"/>
      <c r="Q11" s="2497"/>
      <c r="R11" s="2496"/>
      <c r="S11" s="2496"/>
      <c r="T11" s="2496"/>
      <c r="U11" s="2496"/>
      <c r="V11" s="2496"/>
      <c r="W11" s="2498"/>
    </row>
    <row r="12" spans="1:23" ht="17.1" customHeight="1">
      <c r="A12" s="2336"/>
      <c r="B12" s="2493"/>
      <c r="C12" s="2347"/>
      <c r="D12" s="2347"/>
      <c r="E12" s="2336"/>
      <c r="F12" s="2336"/>
      <c r="G12" s="2336"/>
      <c r="H12" s="2336"/>
      <c r="I12" s="2499"/>
      <c r="J12" s="2499"/>
      <c r="K12" s="2499"/>
      <c r="L12" s="2499"/>
      <c r="M12" s="2499"/>
      <c r="N12" s="2499"/>
      <c r="O12" s="2499"/>
      <c r="P12" s="2499"/>
      <c r="Q12" s="2499"/>
      <c r="R12" s="2347"/>
      <c r="S12" s="2347"/>
      <c r="T12" s="2347"/>
      <c r="U12" s="2347"/>
      <c r="V12" s="2347"/>
      <c r="W12" s="2341"/>
    </row>
    <row r="13" spans="2:23" s="2344" customFormat="1" ht="19.5">
      <c r="B13" s="2342" t="str">
        <f>'TOT-0116'!B14</f>
        <v>Desde el 01 al 31 de enero de 2016</v>
      </c>
      <c r="C13" s="2500"/>
      <c r="D13" s="2343"/>
      <c r="E13" s="2343"/>
      <c r="F13" s="2343"/>
      <c r="G13" s="2343"/>
      <c r="H13" s="2343"/>
      <c r="I13" s="2501"/>
      <c r="J13" s="2502"/>
      <c r="K13" s="2501"/>
      <c r="L13" s="2501"/>
      <c r="M13" s="2501"/>
      <c r="N13" s="2501"/>
      <c r="O13" s="2501"/>
      <c r="P13" s="2501"/>
      <c r="Q13" s="2501"/>
      <c r="R13" s="2501"/>
      <c r="S13" s="2501"/>
      <c r="T13" s="2501"/>
      <c r="U13" s="2503"/>
      <c r="V13" s="2503"/>
      <c r="W13" s="2504"/>
    </row>
    <row r="14" spans="1:23" ht="17.1" customHeight="1">
      <c r="A14" s="2336"/>
      <c r="B14" s="2493"/>
      <c r="C14" s="2347"/>
      <c r="D14" s="2347"/>
      <c r="E14" s="2505"/>
      <c r="F14" s="2505"/>
      <c r="G14" s="2347"/>
      <c r="H14" s="2347"/>
      <c r="I14" s="2347"/>
      <c r="J14" s="2506"/>
      <c r="K14" s="2347"/>
      <c r="L14" s="2347"/>
      <c r="M14" s="2347"/>
      <c r="N14" s="2336"/>
      <c r="O14" s="2336"/>
      <c r="P14" s="2347"/>
      <c r="Q14" s="2347"/>
      <c r="R14" s="2347"/>
      <c r="S14" s="2347"/>
      <c r="T14" s="2347"/>
      <c r="U14" s="2347"/>
      <c r="V14" s="2347"/>
      <c r="W14" s="2341"/>
    </row>
    <row r="15" spans="1:23" ht="17.1" customHeight="1">
      <c r="A15" s="2336"/>
      <c r="B15" s="2493"/>
      <c r="C15" s="2347"/>
      <c r="D15" s="2347"/>
      <c r="E15" s="2505"/>
      <c r="F15" s="2505"/>
      <c r="G15" s="2347"/>
      <c r="H15" s="2347"/>
      <c r="I15" s="2507"/>
      <c r="J15" s="2347"/>
      <c r="K15" s="2508"/>
      <c r="M15" s="2347"/>
      <c r="N15" s="2336"/>
      <c r="O15" s="2336"/>
      <c r="P15" s="2347"/>
      <c r="Q15" s="2347"/>
      <c r="R15" s="2347"/>
      <c r="S15" s="2347"/>
      <c r="T15" s="2347"/>
      <c r="U15" s="2347"/>
      <c r="V15" s="2347"/>
      <c r="W15" s="2341"/>
    </row>
    <row r="16" spans="1:23" ht="17.1" customHeight="1">
      <c r="A16" s="2336"/>
      <c r="B16" s="2493"/>
      <c r="C16" s="2347"/>
      <c r="D16" s="2347"/>
      <c r="E16" s="2505"/>
      <c r="F16" s="2505"/>
      <c r="G16" s="2347"/>
      <c r="H16" s="2347"/>
      <c r="I16" s="2507"/>
      <c r="J16" s="2347"/>
      <c r="K16" s="2508"/>
      <c r="M16" s="2347"/>
      <c r="N16" s="2336"/>
      <c r="O16" s="2336"/>
      <c r="P16" s="2347"/>
      <c r="Q16" s="2347"/>
      <c r="R16" s="2347"/>
      <c r="S16" s="2347"/>
      <c r="T16" s="2347"/>
      <c r="U16" s="2347"/>
      <c r="V16" s="2347"/>
      <c r="W16" s="2341"/>
    </row>
    <row r="17" spans="1:23" ht="17.1" customHeight="1" thickBot="1">
      <c r="A17" s="2336"/>
      <c r="B17" s="2493"/>
      <c r="C17" s="2509" t="s">
        <v>94</v>
      </c>
      <c r="D17" s="2510" t="s">
        <v>95</v>
      </c>
      <c r="E17" s="2505"/>
      <c r="F17" s="2505"/>
      <c r="G17" s="2347"/>
      <c r="H17" s="2347"/>
      <c r="I17" s="2347"/>
      <c r="J17" s="2506"/>
      <c r="K17" s="2347"/>
      <c r="L17" s="2347"/>
      <c r="M17" s="2347"/>
      <c r="N17" s="2336"/>
      <c r="O17" s="2336"/>
      <c r="P17" s="2347"/>
      <c r="Q17" s="2347"/>
      <c r="R17" s="2347"/>
      <c r="S17" s="2347"/>
      <c r="T17" s="2347"/>
      <c r="U17" s="2347"/>
      <c r="V17" s="2347"/>
      <c r="W17" s="2341"/>
    </row>
    <row r="18" spans="2:23" s="2511" customFormat="1" ht="17.1" customHeight="1" thickBot="1">
      <c r="B18" s="2512"/>
      <c r="C18" s="2513"/>
      <c r="D18" s="2514"/>
      <c r="E18" s="2515"/>
      <c r="F18" s="2516"/>
      <c r="G18" s="2517"/>
      <c r="H18" s="2513"/>
      <c r="I18" s="2513"/>
      <c r="J18" s="2518"/>
      <c r="K18" s="2513"/>
      <c r="L18" s="2513"/>
      <c r="M18" s="2513"/>
      <c r="N18" s="2519" t="s">
        <v>37</v>
      </c>
      <c r="P18" s="2513"/>
      <c r="Q18" s="2513"/>
      <c r="R18" s="2513"/>
      <c r="S18" s="2513"/>
      <c r="T18" s="2513"/>
      <c r="U18" s="2513"/>
      <c r="V18" s="2513"/>
      <c r="W18" s="2520"/>
    </row>
    <row r="19" spans="2:23" s="2511" customFormat="1" ht="17.1" customHeight="1">
      <c r="B19" s="2512"/>
      <c r="C19" s="2513"/>
      <c r="D19" s="2521"/>
      <c r="E19" s="2515" t="s">
        <v>40</v>
      </c>
      <c r="F19" s="2522">
        <v>0.025</v>
      </c>
      <c r="G19" s="2523"/>
      <c r="H19" s="2513"/>
      <c r="I19" s="2524"/>
      <c r="J19" s="2525"/>
      <c r="K19" s="2526" t="s">
        <v>125</v>
      </c>
      <c r="L19" s="2527"/>
      <c r="M19" s="2528">
        <v>276.033</v>
      </c>
      <c r="N19" s="2529">
        <v>200</v>
      </c>
      <c r="R19" s="2513"/>
      <c r="S19" s="2513"/>
      <c r="T19" s="2513"/>
      <c r="U19" s="2513"/>
      <c r="V19" s="2530"/>
      <c r="W19" s="2520"/>
    </row>
    <row r="20" spans="2:23" s="2511" customFormat="1" ht="17.1" customHeight="1">
      <c r="B20" s="2512"/>
      <c r="C20" s="2513"/>
      <c r="D20" s="2521"/>
      <c r="E20" s="2514" t="s">
        <v>38</v>
      </c>
      <c r="F20" s="2513">
        <f>MID(B13,16,2)*24</f>
        <v>744</v>
      </c>
      <c r="G20" s="2513" t="s">
        <v>39</v>
      </c>
      <c r="H20" s="2513"/>
      <c r="I20" s="2513"/>
      <c r="J20" s="2513"/>
      <c r="K20" s="2531" t="s">
        <v>83</v>
      </c>
      <c r="L20" s="2532"/>
      <c r="M20" s="2533" t="s">
        <v>357</v>
      </c>
      <c r="N20" s="2534">
        <v>100</v>
      </c>
      <c r="O20" s="2513"/>
      <c r="P20" s="2535"/>
      <c r="Q20" s="2513"/>
      <c r="R20" s="2513"/>
      <c r="S20" s="2513"/>
      <c r="T20" s="2513"/>
      <c r="U20" s="2513"/>
      <c r="V20" s="2513"/>
      <c r="W20" s="2520"/>
    </row>
    <row r="21" spans="2:23" s="2511" customFormat="1" ht="17.1" customHeight="1" thickBot="1">
      <c r="B21" s="2512"/>
      <c r="C21" s="2513"/>
      <c r="D21" s="2521"/>
      <c r="E21" s="2514" t="s">
        <v>41</v>
      </c>
      <c r="F21" s="2513">
        <v>1.391</v>
      </c>
      <c r="G21" s="2511" t="s">
        <v>113</v>
      </c>
      <c r="H21" s="2513"/>
      <c r="I21" s="2513"/>
      <c r="J21" s="2513"/>
      <c r="K21" s="2536" t="s">
        <v>126</v>
      </c>
      <c r="L21" s="2537"/>
      <c r="M21" s="2538">
        <v>220.831</v>
      </c>
      <c r="N21" s="2539">
        <v>40</v>
      </c>
      <c r="O21" s="2513"/>
      <c r="P21" s="2535"/>
      <c r="Q21" s="2513"/>
      <c r="R21" s="2513"/>
      <c r="S21" s="2513"/>
      <c r="T21" s="2513"/>
      <c r="U21" s="2513"/>
      <c r="V21" s="2540"/>
      <c r="W21" s="2520"/>
    </row>
    <row r="22" spans="2:23" s="2511" customFormat="1" ht="17.1" customHeight="1">
      <c r="B22" s="2512"/>
      <c r="C22" s="2513"/>
      <c r="D22" s="2513"/>
      <c r="E22" s="2541"/>
      <c r="F22" s="2513"/>
      <c r="G22" s="2513"/>
      <c r="H22" s="2513"/>
      <c r="I22" s="2513"/>
      <c r="J22" s="2513"/>
      <c r="K22" s="2513"/>
      <c r="L22" s="2513"/>
      <c r="M22" s="2513"/>
      <c r="N22" s="2513"/>
      <c r="O22" s="2513"/>
      <c r="P22" s="2513"/>
      <c r="Q22" s="2513"/>
      <c r="R22" s="2513"/>
      <c r="S22" s="2513"/>
      <c r="T22" s="2513"/>
      <c r="U22" s="2513"/>
      <c r="V22" s="2513"/>
      <c r="W22" s="2520"/>
    </row>
    <row r="23" spans="1:23" ht="17.1" customHeight="1">
      <c r="A23" s="2336"/>
      <c r="B23" s="2493"/>
      <c r="C23" s="2509" t="s">
        <v>98</v>
      </c>
      <c r="D23" s="2542" t="s">
        <v>358</v>
      </c>
      <c r="I23" s="2347"/>
      <c r="J23" s="2511"/>
      <c r="O23" s="2347"/>
      <c r="P23" s="2347"/>
      <c r="Q23" s="2347"/>
      <c r="R23" s="2347"/>
      <c r="S23" s="2347"/>
      <c r="T23" s="2347"/>
      <c r="V23" s="2347"/>
      <c r="W23" s="2341"/>
    </row>
    <row r="24" spans="1:23" ht="10.5" customHeight="1" thickBot="1">
      <c r="A24" s="2336"/>
      <c r="B24" s="2493"/>
      <c r="C24" s="2505"/>
      <c r="D24" s="2542"/>
      <c r="I24" s="2347"/>
      <c r="J24" s="2511"/>
      <c r="O24" s="2347"/>
      <c r="P24" s="2347"/>
      <c r="Q24" s="2347"/>
      <c r="R24" s="2347"/>
      <c r="S24" s="2347"/>
      <c r="T24" s="2347"/>
      <c r="V24" s="2347"/>
      <c r="W24" s="2341"/>
    </row>
    <row r="25" spans="2:23" s="2511" customFormat="1" ht="21" customHeight="1" thickBot="1" thickTop="1">
      <c r="B25" s="2512"/>
      <c r="C25" s="2543"/>
      <c r="D25" s="2346"/>
      <c r="E25" s="2346"/>
      <c r="F25" s="2346"/>
      <c r="G25" s="2346"/>
      <c r="H25" s="2346"/>
      <c r="I25" s="2544" t="s">
        <v>45</v>
      </c>
      <c r="J25" s="2545">
        <f>+V63*F19</f>
        <v>51666.3238</v>
      </c>
      <c r="L25" s="2346"/>
      <c r="S25" s="2346"/>
      <c r="T25" s="2346"/>
      <c r="U25" s="2346"/>
      <c r="W25" s="2520"/>
    </row>
    <row r="26" spans="2:23" s="2511" customFormat="1" ht="11.25" customHeight="1" thickTop="1">
      <c r="B26" s="2512"/>
      <c r="C26" s="2543"/>
      <c r="D26" s="2513"/>
      <c r="E26" s="2541"/>
      <c r="F26" s="2513"/>
      <c r="G26" s="2513"/>
      <c r="H26" s="2513"/>
      <c r="I26" s="2513"/>
      <c r="J26" s="2513"/>
      <c r="K26" s="2513"/>
      <c r="L26" s="2513"/>
      <c r="M26" s="2513"/>
      <c r="N26" s="2513"/>
      <c r="O26" s="2513"/>
      <c r="P26" s="2513"/>
      <c r="Q26" s="2513"/>
      <c r="R26" s="2513"/>
      <c r="S26" s="2513"/>
      <c r="T26" s="2513"/>
      <c r="U26" s="2346"/>
      <c r="W26" s="2520"/>
    </row>
    <row r="27" spans="1:23" ht="17.1" customHeight="1">
      <c r="A27" s="2336"/>
      <c r="B27" s="2493"/>
      <c r="C27" s="2509" t="s">
        <v>99</v>
      </c>
      <c r="D27" s="2542" t="s">
        <v>137</v>
      </c>
      <c r="E27" s="2546"/>
      <c r="F27" s="2347"/>
      <c r="G27" s="2347"/>
      <c r="H27" s="2347"/>
      <c r="I27" s="2347"/>
      <c r="J27" s="2347"/>
      <c r="K27" s="2347"/>
      <c r="L27" s="2347"/>
      <c r="M27" s="2347"/>
      <c r="N27" s="2347"/>
      <c r="O27" s="2347"/>
      <c r="P27" s="2347"/>
      <c r="Q27" s="2347"/>
      <c r="R27" s="2347"/>
      <c r="S27" s="2347"/>
      <c r="T27" s="2347"/>
      <c r="U27" s="2347"/>
      <c r="V27" s="2347"/>
      <c r="W27" s="2341"/>
    </row>
    <row r="28" spans="1:23" ht="13.5" customHeight="1" thickBot="1">
      <c r="A28" s="2511"/>
      <c r="B28" s="2493"/>
      <c r="C28" s="2543"/>
      <c r="D28" s="2543"/>
      <c r="E28" s="2547"/>
      <c r="F28" s="2541"/>
      <c r="G28" s="2548"/>
      <c r="H28" s="2548"/>
      <c r="I28" s="2549"/>
      <c r="J28" s="2549"/>
      <c r="K28" s="2549"/>
      <c r="L28" s="2549"/>
      <c r="M28" s="2549"/>
      <c r="N28" s="2549"/>
      <c r="O28" s="2550"/>
      <c r="P28" s="2549"/>
      <c r="Q28" s="2549"/>
      <c r="R28" s="2551"/>
      <c r="S28" s="2552"/>
      <c r="T28" s="2553"/>
      <c r="U28" s="2553"/>
      <c r="V28" s="2553"/>
      <c r="W28" s="2554"/>
    </row>
    <row r="29" spans="1:26" s="2336" customFormat="1" ht="33.95" customHeight="1" thickBot="1" thickTop="1">
      <c r="A29" s="2335"/>
      <c r="B29" s="2340"/>
      <c r="C29" s="2348" t="s">
        <v>13</v>
      </c>
      <c r="D29" s="2350" t="s">
        <v>27</v>
      </c>
      <c r="E29" s="2351" t="s">
        <v>28</v>
      </c>
      <c r="F29" s="2352" t="s">
        <v>29</v>
      </c>
      <c r="G29" s="2353" t="s">
        <v>14</v>
      </c>
      <c r="H29" s="2354" t="s">
        <v>16</v>
      </c>
      <c r="I29" s="2351" t="s">
        <v>17</v>
      </c>
      <c r="J29" s="2351" t="s">
        <v>18</v>
      </c>
      <c r="K29" s="2350" t="s">
        <v>30</v>
      </c>
      <c r="L29" s="2350" t="s">
        <v>31</v>
      </c>
      <c r="M29" s="2355" t="s">
        <v>102</v>
      </c>
      <c r="N29" s="2351" t="s">
        <v>32</v>
      </c>
      <c r="O29" s="2555" t="s">
        <v>33</v>
      </c>
      <c r="P29" s="2354" t="s">
        <v>34</v>
      </c>
      <c r="Q29" s="2556" t="s">
        <v>20</v>
      </c>
      <c r="R29" s="2557" t="s">
        <v>103</v>
      </c>
      <c r="S29" s="2558"/>
      <c r="T29" s="2559" t="s">
        <v>22</v>
      </c>
      <c r="U29" s="2359" t="s">
        <v>74</v>
      </c>
      <c r="V29" s="2353" t="s">
        <v>24</v>
      </c>
      <c r="W29" s="2341"/>
      <c r="Y29" s="2346"/>
      <c r="Z29" s="2346"/>
    </row>
    <row r="30" spans="1:23" ht="17.1" customHeight="1" thickTop="1">
      <c r="A30" s="2336"/>
      <c r="B30" s="2493"/>
      <c r="C30" s="2364"/>
      <c r="D30" s="2364"/>
      <c r="E30" s="2364"/>
      <c r="F30" s="2364"/>
      <c r="G30" s="2560"/>
      <c r="H30" s="2561"/>
      <c r="I30" s="2364"/>
      <c r="J30" s="2364"/>
      <c r="K30" s="2364"/>
      <c r="L30" s="2364"/>
      <c r="M30" s="2364"/>
      <c r="N30" s="2562"/>
      <c r="O30" s="2563"/>
      <c r="P30" s="2564"/>
      <c r="Q30" s="2565"/>
      <c r="R30" s="2566"/>
      <c r="S30" s="2567"/>
      <c r="T30" s="2568"/>
      <c r="U30" s="2562"/>
      <c r="V30" s="2569"/>
      <c r="W30" s="2341"/>
    </row>
    <row r="31" spans="1:23" ht="17.1" customHeight="1">
      <c r="A31" s="2336"/>
      <c r="B31" s="2493"/>
      <c r="C31" s="957" t="s">
        <v>200</v>
      </c>
      <c r="D31" s="1749"/>
      <c r="E31" s="1750"/>
      <c r="F31" s="1751"/>
      <c r="G31" s="1752"/>
      <c r="H31" s="2570">
        <f>F31*$F$21</f>
        <v>0</v>
      </c>
      <c r="I31" s="2571"/>
      <c r="J31" s="2571"/>
      <c r="K31" s="2572" t="str">
        <f aca="true" t="shared" si="0" ref="K31:K32">IF(D31="","",(J31-I31)*24)</f>
        <v/>
      </c>
      <c r="L31" s="2573" t="str">
        <f aca="true" t="shared" si="1" ref="L31:L32">IF(D31="","",(J31-I31)*24*60)</f>
        <v/>
      </c>
      <c r="M31" s="2574"/>
      <c r="N31" s="2575" t="str">
        <f aca="true" t="shared" si="2" ref="N31:N32">IF(D31="","",IF(OR(M31="P",M31="RP"),"--","NO"))</f>
        <v/>
      </c>
      <c r="O31" s="2576" t="str">
        <f aca="true" t="shared" si="3" ref="O31:O32">IF(D31="","","NO")</f>
        <v/>
      </c>
      <c r="P31" s="2577">
        <f aca="true" t="shared" si="4" ref="P31:P32">200*IF(O31="SI",1,0.1)*IF(M31="P",0.1,1)</f>
        <v>20</v>
      </c>
      <c r="Q31" s="2578" t="str">
        <f aca="true" t="shared" si="5" ref="Q31:Q32">IF(M31="P",H31*P31*ROUND(L31/60,2),"--")</f>
        <v>--</v>
      </c>
      <c r="R31" s="2579" t="str">
        <f aca="true" t="shared" si="6" ref="R31:R32">IF(AND(M31="F",N31="NO"),H31*P31,"--")</f>
        <v>--</v>
      </c>
      <c r="S31" s="2580" t="str">
        <f aca="true" t="shared" si="7" ref="S31:S32">IF(M31="F",H31*P31*ROUND(L31/60,2),"--")</f>
        <v>--</v>
      </c>
      <c r="T31" s="2581" t="str">
        <f aca="true" t="shared" si="8" ref="T31:T32">IF(M31="RF",H31*P31*ROUND(L31/60,2),"--")</f>
        <v>--</v>
      </c>
      <c r="U31" s="2582" t="str">
        <f aca="true" t="shared" si="9" ref="U31:U32">IF(D31="","","SI")</f>
        <v/>
      </c>
      <c r="V31" s="2583" t="str">
        <f aca="true" t="shared" si="10" ref="V31:V32">IF(D31="","",SUM(Q31:T31)*IF(U31="SI",1,2))</f>
        <v/>
      </c>
      <c r="W31" s="2554"/>
    </row>
    <row r="32" spans="1:23" ht="17.1" customHeight="1">
      <c r="A32" s="2336"/>
      <c r="B32" s="2493"/>
      <c r="C32" s="957" t="s">
        <v>201</v>
      </c>
      <c r="D32" s="1749"/>
      <c r="E32" s="1750"/>
      <c r="F32" s="1751"/>
      <c r="G32" s="1752"/>
      <c r="H32" s="2570">
        <f aca="true" t="shared" si="11" ref="H32">F32*$F$21</f>
        <v>0</v>
      </c>
      <c r="I32" s="2571"/>
      <c r="J32" s="2571"/>
      <c r="K32" s="2572" t="str">
        <f t="shared" si="0"/>
        <v/>
      </c>
      <c r="L32" s="2573" t="str">
        <f t="shared" si="1"/>
        <v/>
      </c>
      <c r="M32" s="2574"/>
      <c r="N32" s="2575" t="str">
        <f t="shared" si="2"/>
        <v/>
      </c>
      <c r="O32" s="2576" t="str">
        <f t="shared" si="3"/>
        <v/>
      </c>
      <c r="P32" s="2577">
        <f t="shared" si="4"/>
        <v>20</v>
      </c>
      <c r="Q32" s="2578" t="str">
        <f t="shared" si="5"/>
        <v>--</v>
      </c>
      <c r="R32" s="2579" t="str">
        <f t="shared" si="6"/>
        <v>--</v>
      </c>
      <c r="S32" s="2580" t="str">
        <f t="shared" si="7"/>
        <v>--</v>
      </c>
      <c r="T32" s="2581" t="str">
        <f t="shared" si="8"/>
        <v>--</v>
      </c>
      <c r="U32" s="2582" t="str">
        <f t="shared" si="9"/>
        <v/>
      </c>
      <c r="V32" s="2583" t="str">
        <f t="shared" si="10"/>
        <v/>
      </c>
      <c r="W32" s="2554"/>
    </row>
    <row r="33" spans="1:23" ht="17.1" customHeight="1" thickBot="1">
      <c r="A33" s="2511"/>
      <c r="B33" s="2493"/>
      <c r="C33" s="2585"/>
      <c r="D33" s="2586"/>
      <c r="E33" s="2587"/>
      <c r="F33" s="2588"/>
      <c r="G33" s="2588"/>
      <c r="H33" s="2589"/>
      <c r="I33" s="2590"/>
      <c r="J33" s="2591"/>
      <c r="K33" s="2592"/>
      <c r="L33" s="2593"/>
      <c r="M33" s="2594"/>
      <c r="N33" s="2595"/>
      <c r="O33" s="2596"/>
      <c r="P33" s="2597"/>
      <c r="Q33" s="2598"/>
      <c r="R33" s="2599"/>
      <c r="S33" s="2600"/>
      <c r="T33" s="2601"/>
      <c r="U33" s="2602"/>
      <c r="V33" s="2603"/>
      <c r="W33" s="2554"/>
    </row>
    <row r="34" spans="1:23" ht="17.1" customHeight="1" thickBot="1" thickTop="1">
      <c r="A34" s="2511"/>
      <c r="B34" s="2493"/>
      <c r="C34" s="2345"/>
      <c r="D34" s="2546"/>
      <c r="E34" s="2546"/>
      <c r="F34" s="2604"/>
      <c r="G34" s="2605"/>
      <c r="H34" s="2606"/>
      <c r="I34" s="2607"/>
      <c r="J34" s="2608"/>
      <c r="K34" s="2609"/>
      <c r="L34" s="2610"/>
      <c r="M34" s="2606"/>
      <c r="N34" s="2611"/>
      <c r="O34" s="2612"/>
      <c r="P34" s="2613"/>
      <c r="Q34" s="2614"/>
      <c r="R34" s="2615"/>
      <c r="S34" s="2615"/>
      <c r="T34" s="2615"/>
      <c r="U34" s="2616"/>
      <c r="V34" s="2617">
        <f>SUM(V30:V33)</f>
        <v>0</v>
      </c>
      <c r="W34" s="2554"/>
    </row>
    <row r="35" spans="1:23" ht="17.1" customHeight="1" thickBot="1" thickTop="1">
      <c r="A35" s="2511"/>
      <c r="B35" s="2493"/>
      <c r="C35" s="2345"/>
      <c r="D35" s="2546"/>
      <c r="E35" s="2546"/>
      <c r="F35" s="2604"/>
      <c r="G35" s="2605"/>
      <c r="H35" s="2606"/>
      <c r="I35" s="2607"/>
      <c r="L35" s="2610"/>
      <c r="M35" s="2606"/>
      <c r="N35" s="2618"/>
      <c r="O35" s="2619"/>
      <c r="P35" s="2613"/>
      <c r="Q35" s="2614"/>
      <c r="R35" s="2615"/>
      <c r="S35" s="2615"/>
      <c r="T35" s="2615"/>
      <c r="U35" s="2616"/>
      <c r="V35" s="2616"/>
      <c r="W35" s="2554"/>
    </row>
    <row r="36" spans="2:23" s="2336" customFormat="1" ht="33.95" customHeight="1" thickBot="1" thickTop="1">
      <c r="B36" s="2493"/>
      <c r="C36" s="2349" t="s">
        <v>13</v>
      </c>
      <c r="D36" s="2620" t="s">
        <v>27</v>
      </c>
      <c r="E36" s="3579" t="s">
        <v>28</v>
      </c>
      <c r="F36" s="3580"/>
      <c r="G36" s="2359" t="s">
        <v>14</v>
      </c>
      <c r="H36" s="2354" t="s">
        <v>16</v>
      </c>
      <c r="I36" s="2621" t="s">
        <v>17</v>
      </c>
      <c r="J36" s="2622" t="s">
        <v>18</v>
      </c>
      <c r="K36" s="2623" t="s">
        <v>36</v>
      </c>
      <c r="L36" s="2623" t="s">
        <v>31</v>
      </c>
      <c r="M36" s="2355" t="s">
        <v>19</v>
      </c>
      <c r="N36" s="3579" t="s">
        <v>32</v>
      </c>
      <c r="O36" s="3581"/>
      <c r="P36" s="2624" t="s">
        <v>37</v>
      </c>
      <c r="Q36" s="2625" t="s">
        <v>70</v>
      </c>
      <c r="R36" s="2626" t="s">
        <v>35</v>
      </c>
      <c r="S36" s="2627"/>
      <c r="T36" s="2628" t="s">
        <v>22</v>
      </c>
      <c r="U36" s="2359" t="s">
        <v>74</v>
      </c>
      <c r="V36" s="2353" t="s">
        <v>24</v>
      </c>
      <c r="W36" s="2629"/>
    </row>
    <row r="37" spans="2:23" s="2336" customFormat="1" ht="17.1" customHeight="1" thickTop="1">
      <c r="B37" s="2493"/>
      <c r="C37" s="2630"/>
      <c r="D37" s="2631"/>
      <c r="E37" s="3582"/>
      <c r="F37" s="3583"/>
      <c r="G37" s="2631"/>
      <c r="H37" s="2632"/>
      <c r="I37" s="2631"/>
      <c r="J37" s="2631"/>
      <c r="K37" s="2631"/>
      <c r="L37" s="2631"/>
      <c r="M37" s="2631"/>
      <c r="N37" s="3584"/>
      <c r="O37" s="3585"/>
      <c r="P37" s="2633"/>
      <c r="Q37" s="2634"/>
      <c r="R37" s="2635"/>
      <c r="S37" s="2636"/>
      <c r="T37" s="2581"/>
      <c r="U37" s="2631"/>
      <c r="V37" s="2637"/>
      <c r="W37" s="2629"/>
    </row>
    <row r="38" spans="2:23" s="2336" customFormat="1" ht="17.1" customHeight="1">
      <c r="B38" s="2493"/>
      <c r="C38" s="957" t="s">
        <v>200</v>
      </c>
      <c r="D38" s="362" t="s">
        <v>336</v>
      </c>
      <c r="E38" s="3575" t="s">
        <v>337</v>
      </c>
      <c r="F38" s="3576"/>
      <c r="G38" s="676">
        <v>132</v>
      </c>
      <c r="H38" s="2638">
        <f aca="true" t="shared" si="12" ref="H38:H46">IF(G38=500,$M$19,IF(G38=220,$M$20,$M$21))</f>
        <v>220.831</v>
      </c>
      <c r="I38" s="364">
        <v>42373.472916666666</v>
      </c>
      <c r="J38" s="147">
        <v>42373.71527777778</v>
      </c>
      <c r="K38" s="2639">
        <f>IF(D38="","",(J38-I38)*24)</f>
        <v>5.81666666676756</v>
      </c>
      <c r="L38" s="2640">
        <f>IF(D38="","",ROUND((J38-I38)*24*60,0))</f>
        <v>349</v>
      </c>
      <c r="M38" s="216" t="s">
        <v>304</v>
      </c>
      <c r="N38" s="3577" t="str">
        <f aca="true" t="shared" si="13" ref="N38:N43">IF(D38="","",IF(OR(M38="P",M38="RP"),"--","NO"))</f>
        <v>--</v>
      </c>
      <c r="O38" s="3578"/>
      <c r="P38" s="2641">
        <f aca="true" t="shared" si="14" ref="P38:P43">IF(G38=500,$N$19,IF(G38=220,$N$20,$N$21))</f>
        <v>40</v>
      </c>
      <c r="Q38" s="2642">
        <f aca="true" t="shared" si="15" ref="Q38:Q43">IF(M38="P",H38*P38*ROUND(L38/60,2)*0.1,"--")</f>
        <v>5140.945680000001</v>
      </c>
      <c r="R38" s="2635" t="str">
        <f aca="true" t="shared" si="16" ref="R38:R43">IF(AND(M38="F",N38="NO"),H38*P38,"--")</f>
        <v>--</v>
      </c>
      <c r="S38" s="2636" t="str">
        <f aca="true" t="shared" si="17" ref="S38:S43">IF(M38="F",H38*P38*ROUND(L38/60,2),"--")</f>
        <v>--</v>
      </c>
      <c r="T38" s="2581" t="str">
        <f aca="true" t="shared" si="18" ref="T38:T43">IF(M38="RF",H38*P38*ROUND(L38/60,2),"--")</f>
        <v>--</v>
      </c>
      <c r="U38" s="2643" t="str">
        <f aca="true" t="shared" si="19" ref="U38:U43">IF(D38="","","SI")</f>
        <v>SI</v>
      </c>
      <c r="V38" s="2644">
        <f aca="true" t="shared" si="20" ref="V38:V43">IF(D38="","",SUM(Q38:T38)*IF(U38="SI",1,2))</f>
        <v>5140.945680000001</v>
      </c>
      <c r="W38" s="2629"/>
    </row>
    <row r="39" spans="2:23" s="2336" customFormat="1" ht="17.1" customHeight="1">
      <c r="B39" s="2493"/>
      <c r="C39" s="957" t="s">
        <v>201</v>
      </c>
      <c r="D39" s="362" t="s">
        <v>336</v>
      </c>
      <c r="E39" s="3575" t="s">
        <v>337</v>
      </c>
      <c r="F39" s="3576"/>
      <c r="G39" s="676">
        <v>132</v>
      </c>
      <c r="H39" s="2638">
        <f t="shared" si="12"/>
        <v>220.831</v>
      </c>
      <c r="I39" s="364">
        <v>42374.42152777778</v>
      </c>
      <c r="J39" s="147">
        <v>42374.71527777778</v>
      </c>
      <c r="K39" s="2639">
        <f aca="true" t="shared" si="21" ref="K39:K43">IF(D39="","",(J39-I39)*24)</f>
        <v>7.050000000104774</v>
      </c>
      <c r="L39" s="2640">
        <f aca="true" t="shared" si="22" ref="L39:L43">IF(D39="","",ROUND((J39-I39)*24*60,0))</f>
        <v>423</v>
      </c>
      <c r="M39" s="216" t="s">
        <v>304</v>
      </c>
      <c r="N39" s="3577" t="str">
        <f t="shared" si="13"/>
        <v>--</v>
      </c>
      <c r="O39" s="3578"/>
      <c r="P39" s="2641">
        <f t="shared" si="14"/>
        <v>40</v>
      </c>
      <c r="Q39" s="2642">
        <f t="shared" si="15"/>
        <v>6227.4342</v>
      </c>
      <c r="R39" s="2635" t="str">
        <f t="shared" si="16"/>
        <v>--</v>
      </c>
      <c r="S39" s="2636" t="str">
        <f t="shared" si="17"/>
        <v>--</v>
      </c>
      <c r="T39" s="2581" t="str">
        <f t="shared" si="18"/>
        <v>--</v>
      </c>
      <c r="U39" s="2643" t="str">
        <f t="shared" si="19"/>
        <v>SI</v>
      </c>
      <c r="V39" s="2644">
        <f t="shared" si="20"/>
        <v>6227.4342</v>
      </c>
      <c r="W39" s="2629"/>
    </row>
    <row r="40" spans="2:23" s="2336" customFormat="1" ht="17.1" customHeight="1">
      <c r="B40" s="2493"/>
      <c r="C40" s="957" t="s">
        <v>202</v>
      </c>
      <c r="D40" s="362" t="s">
        <v>338</v>
      </c>
      <c r="E40" s="3575" t="s">
        <v>339</v>
      </c>
      <c r="F40" s="3576"/>
      <c r="G40" s="676">
        <v>132</v>
      </c>
      <c r="H40" s="2638">
        <f t="shared" si="12"/>
        <v>220.831</v>
      </c>
      <c r="I40" s="364">
        <v>42375.364583333336</v>
      </c>
      <c r="J40" s="147">
        <v>42375.69513888889</v>
      </c>
      <c r="K40" s="2639">
        <f t="shared" si="21"/>
        <v>7.933333333348855</v>
      </c>
      <c r="L40" s="2640">
        <f t="shared" si="22"/>
        <v>476</v>
      </c>
      <c r="M40" s="216" t="s">
        <v>304</v>
      </c>
      <c r="N40" s="3577" t="str">
        <f t="shared" si="13"/>
        <v>--</v>
      </c>
      <c r="O40" s="3578"/>
      <c r="P40" s="2641">
        <f t="shared" si="14"/>
        <v>40</v>
      </c>
      <c r="Q40" s="2642">
        <f t="shared" si="15"/>
        <v>7004.759320000001</v>
      </c>
      <c r="R40" s="2635" t="str">
        <f t="shared" si="16"/>
        <v>--</v>
      </c>
      <c r="S40" s="2636" t="str">
        <f t="shared" si="17"/>
        <v>--</v>
      </c>
      <c r="T40" s="2581" t="str">
        <f t="shared" si="18"/>
        <v>--</v>
      </c>
      <c r="U40" s="2643" t="str">
        <f t="shared" si="19"/>
        <v>SI</v>
      </c>
      <c r="V40" s="2644">
        <f t="shared" si="20"/>
        <v>7004.759320000001</v>
      </c>
      <c r="W40" s="2629"/>
    </row>
    <row r="41" spans="2:23" s="2336" customFormat="1" ht="17.1" customHeight="1">
      <c r="B41" s="2493"/>
      <c r="C41" s="957" t="s">
        <v>203</v>
      </c>
      <c r="D41" s="362" t="s">
        <v>336</v>
      </c>
      <c r="E41" s="3575" t="s">
        <v>337</v>
      </c>
      <c r="F41" s="3576"/>
      <c r="G41" s="676">
        <v>132</v>
      </c>
      <c r="H41" s="2638">
        <f t="shared" si="12"/>
        <v>220.831</v>
      </c>
      <c r="I41" s="364">
        <v>42375.45208333333</v>
      </c>
      <c r="J41" s="147">
        <v>42375.71388888889</v>
      </c>
      <c r="K41" s="2639">
        <f t="shared" si="21"/>
        <v>6.28333333338378</v>
      </c>
      <c r="L41" s="2640">
        <f t="shared" si="22"/>
        <v>377</v>
      </c>
      <c r="M41" s="216" t="s">
        <v>304</v>
      </c>
      <c r="N41" s="3577" t="str">
        <f t="shared" si="13"/>
        <v>--</v>
      </c>
      <c r="O41" s="3578"/>
      <c r="P41" s="2641">
        <f t="shared" si="14"/>
        <v>40</v>
      </c>
      <c r="Q41" s="2642">
        <f t="shared" si="15"/>
        <v>5547.27472</v>
      </c>
      <c r="R41" s="2635" t="str">
        <f t="shared" si="16"/>
        <v>--</v>
      </c>
      <c r="S41" s="2636" t="str">
        <f t="shared" si="17"/>
        <v>--</v>
      </c>
      <c r="T41" s="2581" t="str">
        <f t="shared" si="18"/>
        <v>--</v>
      </c>
      <c r="U41" s="2643" t="str">
        <f t="shared" si="19"/>
        <v>SI</v>
      </c>
      <c r="V41" s="2644">
        <f t="shared" si="20"/>
        <v>5547.27472</v>
      </c>
      <c r="W41" s="2629"/>
    </row>
    <row r="42" spans="2:23" s="2336" customFormat="1" ht="17.1" customHeight="1">
      <c r="B42" s="2493"/>
      <c r="C42" s="957" t="s">
        <v>204</v>
      </c>
      <c r="D42" s="362" t="s">
        <v>336</v>
      </c>
      <c r="E42" s="3575" t="s">
        <v>337</v>
      </c>
      <c r="F42" s="3576"/>
      <c r="G42" s="676">
        <v>132</v>
      </c>
      <c r="H42" s="2638">
        <f t="shared" si="12"/>
        <v>220.831</v>
      </c>
      <c r="I42" s="364">
        <v>42376.38611111111</v>
      </c>
      <c r="J42" s="147">
        <v>42376.72152777778</v>
      </c>
      <c r="K42" s="2639">
        <f t="shared" si="21"/>
        <v>8.050000000046566</v>
      </c>
      <c r="L42" s="2640">
        <f t="shared" si="22"/>
        <v>483</v>
      </c>
      <c r="M42" s="216" t="s">
        <v>304</v>
      </c>
      <c r="N42" s="3577" t="str">
        <f t="shared" si="13"/>
        <v>--</v>
      </c>
      <c r="O42" s="3578"/>
      <c r="P42" s="2641">
        <f t="shared" si="14"/>
        <v>40</v>
      </c>
      <c r="Q42" s="2642">
        <f t="shared" si="15"/>
        <v>7110.758200000001</v>
      </c>
      <c r="R42" s="2635" t="str">
        <f t="shared" si="16"/>
        <v>--</v>
      </c>
      <c r="S42" s="2636" t="str">
        <f t="shared" si="17"/>
        <v>--</v>
      </c>
      <c r="T42" s="2581" t="str">
        <f t="shared" si="18"/>
        <v>--</v>
      </c>
      <c r="U42" s="2643" t="str">
        <f t="shared" si="19"/>
        <v>SI</v>
      </c>
      <c r="V42" s="2644">
        <f t="shared" si="20"/>
        <v>7110.758200000001</v>
      </c>
      <c r="W42" s="2629"/>
    </row>
    <row r="43" spans="2:23" s="2336" customFormat="1" ht="17.1" customHeight="1">
      <c r="B43" s="2493"/>
      <c r="C43" s="957" t="s">
        <v>205</v>
      </c>
      <c r="D43" s="362" t="s">
        <v>340</v>
      </c>
      <c r="E43" s="3575" t="s">
        <v>341</v>
      </c>
      <c r="F43" s="3576"/>
      <c r="G43" s="676">
        <v>132</v>
      </c>
      <c r="H43" s="2638">
        <f t="shared" si="12"/>
        <v>220.831</v>
      </c>
      <c r="I43" s="364">
        <v>42380.376388888886</v>
      </c>
      <c r="J43" s="147">
        <v>42380.57847222222</v>
      </c>
      <c r="K43" s="2639">
        <f t="shared" si="21"/>
        <v>4.850000000093132</v>
      </c>
      <c r="L43" s="2640">
        <f t="shared" si="22"/>
        <v>291</v>
      </c>
      <c r="M43" s="216" t="s">
        <v>304</v>
      </c>
      <c r="N43" s="3577" t="str">
        <f t="shared" si="13"/>
        <v>--</v>
      </c>
      <c r="O43" s="3578"/>
      <c r="P43" s="2641">
        <f t="shared" si="14"/>
        <v>40</v>
      </c>
      <c r="Q43" s="2642">
        <f t="shared" si="15"/>
        <v>4284.121399999999</v>
      </c>
      <c r="R43" s="2635" t="str">
        <f t="shared" si="16"/>
        <v>--</v>
      </c>
      <c r="S43" s="2636" t="str">
        <f t="shared" si="17"/>
        <v>--</v>
      </c>
      <c r="T43" s="2581" t="str">
        <f t="shared" si="18"/>
        <v>--</v>
      </c>
      <c r="U43" s="2643" t="str">
        <f t="shared" si="19"/>
        <v>SI</v>
      </c>
      <c r="V43" s="2644">
        <f t="shared" si="20"/>
        <v>4284.121399999999</v>
      </c>
      <c r="W43" s="2629"/>
    </row>
    <row r="44" spans="2:23" s="2336" customFormat="1" ht="17.1" customHeight="1">
      <c r="B44" s="2493"/>
      <c r="C44" s="957" t="s">
        <v>206</v>
      </c>
      <c r="D44" s="362" t="s">
        <v>340</v>
      </c>
      <c r="E44" s="3575" t="s">
        <v>342</v>
      </c>
      <c r="F44" s="3576"/>
      <c r="G44" s="676">
        <v>132</v>
      </c>
      <c r="H44" s="2638">
        <f t="shared" si="12"/>
        <v>220.831</v>
      </c>
      <c r="I44" s="364">
        <v>42383.32638888889</v>
      </c>
      <c r="J44" s="147">
        <v>42383.71388888889</v>
      </c>
      <c r="K44" s="2639">
        <f aca="true" t="shared" si="23" ref="K44:K46">IF(D44="","",(J44-I44)*24)</f>
        <v>9.29999999993015</v>
      </c>
      <c r="L44" s="2640">
        <f aca="true" t="shared" si="24" ref="L44:L46">IF(D44="","",ROUND((J44-I44)*24*60,0))</f>
        <v>558</v>
      </c>
      <c r="M44" s="216" t="s">
        <v>304</v>
      </c>
      <c r="N44" s="3577" t="str">
        <f aca="true" t="shared" si="25" ref="N44:N46">IF(D44="","",IF(OR(M44="P",M44="RP"),"--","NO"))</f>
        <v>--</v>
      </c>
      <c r="O44" s="3578"/>
      <c r="P44" s="2641">
        <f aca="true" t="shared" si="26" ref="P44:P46">IF(G44=500,$N$19,IF(G44=220,$N$20,$N$21))</f>
        <v>40</v>
      </c>
      <c r="Q44" s="2642">
        <f aca="true" t="shared" si="27" ref="Q44:Q46">IF(M44="P",H44*P44*ROUND(L44/60,2)*0.1,"--")</f>
        <v>8214.9132</v>
      </c>
      <c r="R44" s="2635" t="str">
        <f aca="true" t="shared" si="28" ref="R44:R46">IF(AND(M44="F",N44="NO"),H44*P44,"--")</f>
        <v>--</v>
      </c>
      <c r="S44" s="2636" t="str">
        <f aca="true" t="shared" si="29" ref="S44:S46">IF(M44="F",H44*P44*ROUND(L44/60,2),"--")</f>
        <v>--</v>
      </c>
      <c r="T44" s="2581" t="str">
        <f aca="true" t="shared" si="30" ref="T44:T46">IF(M44="RF",H44*P44*ROUND(L44/60,2),"--")</f>
        <v>--</v>
      </c>
      <c r="U44" s="2643" t="str">
        <f aca="true" t="shared" si="31" ref="U44:U46">IF(D44="","","SI")</f>
        <v>SI</v>
      </c>
      <c r="V44" s="2644">
        <f aca="true" t="shared" si="32" ref="V44:V46">IF(D44="","",SUM(Q44:T44)*IF(U44="SI",1,2))</f>
        <v>8214.9132</v>
      </c>
      <c r="W44" s="2629"/>
    </row>
    <row r="45" spans="2:23" s="2336" customFormat="1" ht="17.1" customHeight="1">
      <c r="B45" s="2493"/>
      <c r="C45" s="957" t="s">
        <v>207</v>
      </c>
      <c r="D45" s="362" t="s">
        <v>321</v>
      </c>
      <c r="E45" s="3575" t="s">
        <v>343</v>
      </c>
      <c r="F45" s="3576"/>
      <c r="G45" s="676">
        <v>132</v>
      </c>
      <c r="H45" s="2638">
        <f t="shared" si="12"/>
        <v>220.831</v>
      </c>
      <c r="I45" s="364">
        <v>42386.27291666667</v>
      </c>
      <c r="J45" s="147">
        <v>42386.36041666667</v>
      </c>
      <c r="K45" s="2639">
        <f t="shared" si="23"/>
        <v>2.1000000000349246</v>
      </c>
      <c r="L45" s="2640">
        <f t="shared" si="24"/>
        <v>126</v>
      </c>
      <c r="M45" s="216" t="s">
        <v>304</v>
      </c>
      <c r="N45" s="3577" t="str">
        <f t="shared" si="25"/>
        <v>--</v>
      </c>
      <c r="O45" s="3578"/>
      <c r="P45" s="2641">
        <f t="shared" si="26"/>
        <v>40</v>
      </c>
      <c r="Q45" s="2642">
        <f t="shared" si="27"/>
        <v>1854.9804000000001</v>
      </c>
      <c r="R45" s="2635" t="str">
        <f t="shared" si="28"/>
        <v>--</v>
      </c>
      <c r="S45" s="2636" t="str">
        <f t="shared" si="29"/>
        <v>--</v>
      </c>
      <c r="T45" s="2581" t="str">
        <f t="shared" si="30"/>
        <v>--</v>
      </c>
      <c r="U45" s="2643" t="str">
        <f t="shared" si="31"/>
        <v>SI</v>
      </c>
      <c r="V45" s="2644">
        <f t="shared" si="32"/>
        <v>1854.9804000000001</v>
      </c>
      <c r="W45" s="2629"/>
    </row>
    <row r="46" spans="2:23" s="2336" customFormat="1" ht="17.1" customHeight="1">
      <c r="B46" s="2493"/>
      <c r="C46" s="957" t="s">
        <v>208</v>
      </c>
      <c r="D46" s="362" t="s">
        <v>321</v>
      </c>
      <c r="E46" s="3575" t="s">
        <v>344</v>
      </c>
      <c r="F46" s="3576"/>
      <c r="G46" s="676">
        <v>132</v>
      </c>
      <c r="H46" s="2638">
        <f t="shared" si="12"/>
        <v>220.831</v>
      </c>
      <c r="I46" s="364">
        <v>42389.47708333333</v>
      </c>
      <c r="J46" s="147">
        <v>42389.56041666667</v>
      </c>
      <c r="K46" s="2639">
        <f t="shared" si="23"/>
        <v>2.0000000000582077</v>
      </c>
      <c r="L46" s="2640">
        <f t="shared" si="24"/>
        <v>120</v>
      </c>
      <c r="M46" s="216" t="s">
        <v>304</v>
      </c>
      <c r="N46" s="3577" t="str">
        <f t="shared" si="25"/>
        <v>--</v>
      </c>
      <c r="O46" s="3578"/>
      <c r="P46" s="2641">
        <f t="shared" si="26"/>
        <v>40</v>
      </c>
      <c r="Q46" s="2642">
        <f t="shared" si="27"/>
        <v>1766.6480000000001</v>
      </c>
      <c r="R46" s="2635" t="str">
        <f t="shared" si="28"/>
        <v>--</v>
      </c>
      <c r="S46" s="2636" t="str">
        <f t="shared" si="29"/>
        <v>--</v>
      </c>
      <c r="T46" s="2581" t="str">
        <f t="shared" si="30"/>
        <v>--</v>
      </c>
      <c r="U46" s="2643" t="str">
        <f t="shared" si="31"/>
        <v>SI</v>
      </c>
      <c r="V46" s="2644">
        <f t="shared" si="32"/>
        <v>1766.6480000000001</v>
      </c>
      <c r="W46" s="2629"/>
    </row>
    <row r="47" spans="2:28" s="2336" customFormat="1" ht="17.1" customHeight="1" thickBot="1">
      <c r="B47" s="2493"/>
      <c r="C47" s="2585"/>
      <c r="D47" s="2645"/>
      <c r="E47" s="3571"/>
      <c r="F47" s="3572"/>
      <c r="G47" s="2646"/>
      <c r="H47" s="2647"/>
      <c r="I47" s="2648"/>
      <c r="J47" s="2649"/>
      <c r="K47" s="2650"/>
      <c r="L47" s="2651"/>
      <c r="M47" s="2652"/>
      <c r="N47" s="3573"/>
      <c r="O47" s="3574"/>
      <c r="P47" s="2653"/>
      <c r="Q47" s="2654"/>
      <c r="R47" s="2655"/>
      <c r="S47" s="2656"/>
      <c r="T47" s="2657"/>
      <c r="U47" s="2658"/>
      <c r="V47" s="2659"/>
      <c r="W47" s="2629"/>
      <c r="X47" s="2346"/>
      <c r="Y47" s="2346"/>
      <c r="Z47" s="2346"/>
      <c r="AA47" s="2346"/>
      <c r="AB47" s="2346"/>
    </row>
    <row r="48" spans="1:23" ht="17.25" thickBot="1" thickTop="1">
      <c r="A48" s="2511"/>
      <c r="B48" s="2512"/>
      <c r="C48" s="2543"/>
      <c r="D48" s="2660"/>
      <c r="E48" s="2661"/>
      <c r="F48" s="2662"/>
      <c r="G48" s="2663"/>
      <c r="H48" s="2663"/>
      <c r="I48" s="2661"/>
      <c r="J48" s="2664"/>
      <c r="K48" s="2664"/>
      <c r="L48" s="2661"/>
      <c r="M48" s="2661"/>
      <c r="N48" s="2661"/>
      <c r="O48" s="2665"/>
      <c r="P48" s="2661"/>
      <c r="Q48" s="2661"/>
      <c r="R48" s="2666"/>
      <c r="S48" s="2667"/>
      <c r="T48" s="2667"/>
      <c r="U48" s="2668"/>
      <c r="V48" s="2617">
        <f>SUM(V38:V47)</f>
        <v>47151.83512</v>
      </c>
      <c r="W48" s="2669"/>
    </row>
    <row r="49" spans="1:23" ht="21" customHeight="1" thickBot="1" thickTop="1">
      <c r="A49" s="2511"/>
      <c r="B49" s="2512"/>
      <c r="C49" s="2543"/>
      <c r="D49" s="2660"/>
      <c r="E49" s="2661"/>
      <c r="F49" s="2662"/>
      <c r="G49" s="2663"/>
      <c r="H49" s="2663"/>
      <c r="I49" s="2544" t="s">
        <v>42</v>
      </c>
      <c r="J49" s="2545">
        <f>+V48+V34</f>
        <v>47151.83512</v>
      </c>
      <c r="L49" s="2661"/>
      <c r="M49" s="2661"/>
      <c r="N49" s="2661"/>
      <c r="O49" s="2665"/>
      <c r="P49" s="2661"/>
      <c r="Q49" s="2661"/>
      <c r="R49" s="2666"/>
      <c r="S49" s="2667"/>
      <c r="T49" s="2667"/>
      <c r="U49" s="2668"/>
      <c r="W49" s="2669"/>
    </row>
    <row r="50" spans="1:23" ht="13.5" customHeight="1" thickTop="1">
      <c r="A50" s="2511"/>
      <c r="B50" s="2512"/>
      <c r="C50" s="2543"/>
      <c r="D50" s="2660"/>
      <c r="E50" s="2661"/>
      <c r="F50" s="2662"/>
      <c r="G50" s="2663"/>
      <c r="H50" s="2663"/>
      <c r="I50" s="2661"/>
      <c r="J50" s="2664"/>
      <c r="K50" s="2664"/>
      <c r="L50" s="2661"/>
      <c r="M50" s="2661"/>
      <c r="N50" s="2661"/>
      <c r="O50" s="2665"/>
      <c r="P50" s="2661"/>
      <c r="Q50" s="2661"/>
      <c r="R50" s="2666"/>
      <c r="S50" s="2667"/>
      <c r="T50" s="2667"/>
      <c r="U50" s="2668"/>
      <c r="W50" s="2669"/>
    </row>
    <row r="51" spans="1:23" ht="17.1" customHeight="1">
      <c r="A51" s="2511"/>
      <c r="B51" s="2512"/>
      <c r="C51" s="2670" t="s">
        <v>104</v>
      </c>
      <c r="D51" s="2671" t="s">
        <v>138</v>
      </c>
      <c r="E51" s="2661"/>
      <c r="F51" s="2662"/>
      <c r="G51" s="2663"/>
      <c r="H51" s="2663"/>
      <c r="I51" s="2661"/>
      <c r="J51" s="2664"/>
      <c r="K51" s="2664"/>
      <c r="L51" s="2661"/>
      <c r="M51" s="2661"/>
      <c r="N51" s="2661"/>
      <c r="O51" s="2665"/>
      <c r="P51" s="2661"/>
      <c r="Q51" s="2661"/>
      <c r="R51" s="2666"/>
      <c r="S51" s="2667"/>
      <c r="T51" s="2667"/>
      <c r="U51" s="2668"/>
      <c r="W51" s="2669"/>
    </row>
    <row r="52" spans="1:23" ht="17.1" customHeight="1">
      <c r="A52" s="2511"/>
      <c r="B52" s="2512"/>
      <c r="C52" s="2670"/>
      <c r="D52" s="2660"/>
      <c r="E52" s="2661"/>
      <c r="F52" s="2662"/>
      <c r="G52" s="2663"/>
      <c r="H52" s="2663"/>
      <c r="I52" s="2661"/>
      <c r="J52" s="2664"/>
      <c r="K52" s="2664"/>
      <c r="L52" s="2661"/>
      <c r="M52" s="2661"/>
      <c r="N52" s="2661"/>
      <c r="O52" s="2665"/>
      <c r="P52" s="2661"/>
      <c r="Q52" s="2661"/>
      <c r="R52" s="2661"/>
      <c r="S52" s="2666"/>
      <c r="T52" s="2667"/>
      <c r="W52" s="2669"/>
    </row>
    <row r="53" spans="2:23" s="2511" customFormat="1" ht="17.1" customHeight="1">
      <c r="B53" s="2512"/>
      <c r="C53" s="2543"/>
      <c r="D53" s="2672" t="s">
        <v>119</v>
      </c>
      <c r="E53" s="2549" t="s">
        <v>120</v>
      </c>
      <c r="F53" s="2549" t="s">
        <v>43</v>
      </c>
      <c r="G53" s="2673" t="s">
        <v>143</v>
      </c>
      <c r="H53" s="2346"/>
      <c r="I53" s="2674"/>
      <c r="J53" s="2675" t="s">
        <v>61</v>
      </c>
      <c r="K53" s="2675"/>
      <c r="L53" s="2549" t="s">
        <v>43</v>
      </c>
      <c r="M53" s="2346" t="s">
        <v>127</v>
      </c>
      <c r="O53" s="2673" t="s">
        <v>145</v>
      </c>
      <c r="P53" s="2346"/>
      <c r="Q53" s="2676"/>
      <c r="R53" s="2676"/>
      <c r="S53" s="2513"/>
      <c r="T53" s="2346"/>
      <c r="U53" s="2346"/>
      <c r="V53" s="2346"/>
      <c r="W53" s="2669"/>
    </row>
    <row r="54" spans="2:23" s="2511" customFormat="1" ht="17.1" customHeight="1">
      <c r="B54" s="2512"/>
      <c r="C54" s="2543"/>
      <c r="D54" s="2677" t="s">
        <v>128</v>
      </c>
      <c r="E54" s="2677">
        <v>300</v>
      </c>
      <c r="F54" s="2678">
        <v>500</v>
      </c>
      <c r="G54" s="3569">
        <f>+E54*$F$20*$F$21</f>
        <v>310471.2</v>
      </c>
      <c r="H54" s="3569"/>
      <c r="I54" s="3569"/>
      <c r="J54" s="2679" t="s">
        <v>129</v>
      </c>
      <c r="K54" s="2679"/>
      <c r="L54" s="2677">
        <v>500</v>
      </c>
      <c r="M54" s="2677">
        <v>2</v>
      </c>
      <c r="O54" s="3569">
        <f>+M54*$F$20*$M$19</f>
        <v>410737.10400000005</v>
      </c>
      <c r="P54" s="3569"/>
      <c r="Q54" s="3569"/>
      <c r="R54" s="3569"/>
      <c r="S54" s="3569"/>
      <c r="T54" s="3569"/>
      <c r="U54" s="3569"/>
      <c r="V54" s="2346"/>
      <c r="W54" s="2669"/>
    </row>
    <row r="55" spans="2:23" s="2511" customFormat="1" ht="17.1" customHeight="1">
      <c r="B55" s="2512"/>
      <c r="C55" s="2543"/>
      <c r="D55" s="2677" t="s">
        <v>130</v>
      </c>
      <c r="E55" s="2680">
        <v>300</v>
      </c>
      <c r="F55" s="2678">
        <v>500</v>
      </c>
      <c r="G55" s="3569">
        <f>+E55*$F$20*$F$21</f>
        <v>310471.2</v>
      </c>
      <c r="H55" s="3569"/>
      <c r="I55" s="3569"/>
      <c r="J55" s="2679" t="s">
        <v>129</v>
      </c>
      <c r="K55" s="2679"/>
      <c r="L55" s="2677">
        <v>132</v>
      </c>
      <c r="M55" s="2677">
        <v>9</v>
      </c>
      <c r="O55" s="3569">
        <f>+M55*$F$20*$M$21</f>
        <v>1478684.376</v>
      </c>
      <c r="P55" s="3569"/>
      <c r="Q55" s="3569"/>
      <c r="R55" s="3569"/>
      <c r="S55" s="3569"/>
      <c r="T55" s="3569"/>
      <c r="U55" s="3569"/>
      <c r="V55" s="2346"/>
      <c r="W55" s="2669"/>
    </row>
    <row r="56" spans="2:23" s="2511" customFormat="1" ht="17.1" customHeight="1">
      <c r="B56" s="2512"/>
      <c r="C56" s="2543"/>
      <c r="D56" s="2681" t="s">
        <v>131</v>
      </c>
      <c r="E56" s="2680">
        <v>300</v>
      </c>
      <c r="F56" s="2678">
        <v>500</v>
      </c>
      <c r="G56" s="3569">
        <f>+E56*$F$20*$F$21</f>
        <v>310471.2</v>
      </c>
      <c r="H56" s="3569"/>
      <c r="I56" s="3569"/>
      <c r="J56" s="2679" t="s">
        <v>132</v>
      </c>
      <c r="K56" s="2679"/>
      <c r="L56" s="2677">
        <v>132</v>
      </c>
      <c r="M56" s="2677">
        <v>8</v>
      </c>
      <c r="O56" s="3569">
        <f>+M56*$F$20*$M$21</f>
        <v>1314386.112</v>
      </c>
      <c r="P56" s="3569"/>
      <c r="Q56" s="3569"/>
      <c r="R56" s="3569"/>
      <c r="S56" s="3569"/>
      <c r="T56" s="3569"/>
      <c r="U56" s="3569"/>
      <c r="V56" s="2346"/>
      <c r="W56" s="2669"/>
    </row>
    <row r="57" spans="1:23" ht="17.1" customHeight="1">
      <c r="A57" s="2511"/>
      <c r="B57" s="2512"/>
      <c r="C57" s="2543"/>
      <c r="D57" s="2681" t="s">
        <v>133</v>
      </c>
      <c r="E57" s="2680">
        <v>300</v>
      </c>
      <c r="F57" s="2678">
        <v>500</v>
      </c>
      <c r="G57" s="3569">
        <f>+E57*$F$20*$F$21</f>
        <v>310471.2</v>
      </c>
      <c r="H57" s="3569"/>
      <c r="I57" s="3569"/>
      <c r="J57" s="2679" t="s">
        <v>134</v>
      </c>
      <c r="K57" s="2679"/>
      <c r="L57" s="2677">
        <v>132</v>
      </c>
      <c r="M57" s="2677">
        <v>5</v>
      </c>
      <c r="O57" s="3570">
        <f>+M57*$F$20*$M$21</f>
        <v>821491.32</v>
      </c>
      <c r="P57" s="3570"/>
      <c r="Q57" s="3570"/>
      <c r="R57" s="3570"/>
      <c r="S57" s="3570"/>
      <c r="T57" s="3570"/>
      <c r="U57" s="3570"/>
      <c r="W57" s="2669"/>
    </row>
    <row r="58" spans="1:23" ht="17.1" customHeight="1">
      <c r="A58" s="2511"/>
      <c r="B58" s="2512"/>
      <c r="C58" s="2543"/>
      <c r="D58" s="2681" t="s">
        <v>239</v>
      </c>
      <c r="E58" s="2680">
        <v>600</v>
      </c>
      <c r="F58" s="2678">
        <v>500</v>
      </c>
      <c r="G58" s="3570">
        <f>+E58*$F$20*$F$21</f>
        <v>620942.4</v>
      </c>
      <c r="H58" s="3570"/>
      <c r="I58" s="3570"/>
      <c r="M58" s="2677"/>
      <c r="O58" s="3569">
        <f>SUM(O54:P57)</f>
        <v>4025298.912</v>
      </c>
      <c r="P58" s="3569"/>
      <c r="Q58" s="3569"/>
      <c r="R58" s="3569"/>
      <c r="S58" s="3569"/>
      <c r="T58" s="3569"/>
      <c r="U58" s="3569"/>
      <c r="W58" s="2669"/>
    </row>
    <row r="59" spans="1:23" ht="17.1" customHeight="1">
      <c r="A59" s="2511"/>
      <c r="B59" s="2512"/>
      <c r="C59" s="2543"/>
      <c r="D59" s="2681"/>
      <c r="E59" s="2680"/>
      <c r="F59" s="2678"/>
      <c r="G59" s="3569">
        <f>SUM(G54:G58)</f>
        <v>1862827.2000000002</v>
      </c>
      <c r="H59" s="3569"/>
      <c r="I59" s="3569"/>
      <c r="M59" s="2677"/>
      <c r="N59" s="2674"/>
      <c r="O59" s="2674"/>
      <c r="P59" s="2682"/>
      <c r="Q59" s="2682"/>
      <c r="R59" s="2682"/>
      <c r="S59" s="2682"/>
      <c r="W59" s="2669"/>
    </row>
    <row r="60" spans="1:23" ht="17.1" customHeight="1">
      <c r="A60" s="2511"/>
      <c r="B60" s="2512"/>
      <c r="C60" s="2543"/>
      <c r="D60" s="2681"/>
      <c r="E60" s="2680"/>
      <c r="F60" s="2678"/>
      <c r="G60" s="2683"/>
      <c r="H60" s="2683"/>
      <c r="I60" s="2683"/>
      <c r="M60" s="2677"/>
      <c r="N60" s="2674"/>
      <c r="O60" s="2674"/>
      <c r="P60" s="2682"/>
      <c r="Q60" s="2682"/>
      <c r="R60" s="2682"/>
      <c r="S60" s="2682"/>
      <c r="W60" s="2669"/>
    </row>
    <row r="61" spans="1:23" ht="17.1" customHeight="1">
      <c r="A61" s="2511"/>
      <c r="B61" s="2512"/>
      <c r="C61" s="3568" t="s">
        <v>397</v>
      </c>
      <c r="D61" s="3568"/>
      <c r="E61" s="2680" t="s">
        <v>398</v>
      </c>
      <c r="F61" s="2684">
        <v>22879</v>
      </c>
      <c r="G61" s="2683"/>
      <c r="H61" s="2683"/>
      <c r="I61" s="2683"/>
      <c r="M61" s="2677"/>
      <c r="N61" s="2674"/>
      <c r="O61" s="2674"/>
      <c r="P61" s="2682"/>
      <c r="Q61" s="2682"/>
      <c r="R61" s="2682"/>
      <c r="S61" s="2682"/>
      <c r="W61" s="2669"/>
    </row>
    <row r="62" spans="1:23" ht="17.1" customHeight="1" thickBot="1">
      <c r="A62" s="2511"/>
      <c r="B62" s="2512"/>
      <c r="C62" s="2543"/>
      <c r="D62" s="2672"/>
      <c r="E62" s="2685"/>
      <c r="F62" s="2685"/>
      <c r="G62" s="2549"/>
      <c r="I62" s="2686"/>
      <c r="J62" s="2673"/>
      <c r="L62" s="2687"/>
      <c r="M62" s="2686"/>
      <c r="N62" s="2688"/>
      <c r="O62" s="2676"/>
      <c r="P62" s="2676"/>
      <c r="Q62" s="2676"/>
      <c r="R62" s="2676"/>
      <c r="S62" s="2676"/>
      <c r="W62" s="2669"/>
    </row>
    <row r="63" spans="1:23" ht="21" customHeight="1" thickBot="1" thickTop="1">
      <c r="A63" s="2511"/>
      <c r="B63" s="2512"/>
      <c r="C63" s="2543"/>
      <c r="D63" s="2549"/>
      <c r="E63" s="2689"/>
      <c r="F63" s="2689"/>
      <c r="G63" s="2690"/>
      <c r="H63" s="2502"/>
      <c r="I63" s="2544" t="s">
        <v>44</v>
      </c>
      <c r="J63" s="2545">
        <f>+G59+O58+F61</f>
        <v>5911005.112</v>
      </c>
      <c r="L63" s="2691"/>
      <c r="M63" s="2502"/>
      <c r="N63" s="2517"/>
      <c r="O63" s="2682"/>
      <c r="P63" s="2682"/>
      <c r="Q63" s="2682"/>
      <c r="R63" s="2682"/>
      <c r="S63" s="2682"/>
      <c r="U63" s="2544" t="s">
        <v>399</v>
      </c>
      <c r="V63" s="2545">
        <v>2066652.9519999998</v>
      </c>
      <c r="W63" s="2669"/>
    </row>
    <row r="64" spans="1:23" ht="17.1" customHeight="1" thickTop="1">
      <c r="A64" s="2511"/>
      <c r="B64" s="2512"/>
      <c r="C64" s="2543"/>
      <c r="D64" s="2664"/>
      <c r="E64" s="2692"/>
      <c r="F64" s="2549"/>
      <c r="G64" s="2549"/>
      <c r="H64" s="2550"/>
      <c r="J64" s="2549"/>
      <c r="L64" s="2693"/>
      <c r="M64" s="2688"/>
      <c r="N64" s="2688"/>
      <c r="O64" s="2676"/>
      <c r="P64" s="2676"/>
      <c r="Q64" s="2676"/>
      <c r="R64" s="2676"/>
      <c r="S64" s="2676"/>
      <c r="W64" s="2669"/>
    </row>
    <row r="65" spans="2:23" ht="17.1" customHeight="1">
      <c r="B65" s="2512"/>
      <c r="C65" s="2670" t="s">
        <v>108</v>
      </c>
      <c r="D65" s="2694" t="s">
        <v>109</v>
      </c>
      <c r="E65" s="2549"/>
      <c r="F65" s="2695"/>
      <c r="G65" s="2548"/>
      <c r="H65" s="2664"/>
      <c r="I65" s="2664"/>
      <c r="J65" s="2664"/>
      <c r="K65" s="2549"/>
      <c r="L65" s="2549"/>
      <c r="M65" s="2664"/>
      <c r="N65" s="2549"/>
      <c r="O65" s="2664"/>
      <c r="P65" s="2664"/>
      <c r="Q65" s="2664"/>
      <c r="R65" s="2664"/>
      <c r="S65" s="2664"/>
      <c r="T65" s="2664"/>
      <c r="U65" s="2664"/>
      <c r="W65" s="2669"/>
    </row>
    <row r="66" spans="2:23" s="2511" customFormat="1" ht="17.1" customHeight="1">
      <c r="B66" s="2512"/>
      <c r="C66" s="2543"/>
      <c r="D66" s="2672" t="s">
        <v>110</v>
      </c>
      <c r="E66" s="2696">
        <f>10*J49*J25/J63</f>
        <v>4121.400565410528</v>
      </c>
      <c r="G66" s="2548"/>
      <c r="L66" s="2549"/>
      <c r="N66" s="2549"/>
      <c r="O66" s="2550"/>
      <c r="V66" s="2346"/>
      <c r="W66" s="2669"/>
    </row>
    <row r="67" spans="2:23" s="2511" customFormat="1" ht="12.75" customHeight="1">
      <c r="B67" s="2512"/>
      <c r="C67" s="2543"/>
      <c r="E67" s="2697"/>
      <c r="F67" s="2541"/>
      <c r="G67" s="2548"/>
      <c r="J67" s="2548"/>
      <c r="K67" s="2698"/>
      <c r="L67" s="2549"/>
      <c r="M67" s="2549"/>
      <c r="N67" s="2549"/>
      <c r="O67" s="2550"/>
      <c r="P67" s="2549"/>
      <c r="Q67" s="2549"/>
      <c r="R67" s="2699"/>
      <c r="S67" s="2699"/>
      <c r="T67" s="2699"/>
      <c r="U67" s="2700"/>
      <c r="V67" s="2346"/>
      <c r="W67" s="2669"/>
    </row>
    <row r="68" spans="2:23" ht="17.1" customHeight="1">
      <c r="B68" s="2512"/>
      <c r="C68" s="2543"/>
      <c r="D68" s="2701" t="s">
        <v>299</v>
      </c>
      <c r="E68" s="2702"/>
      <c r="F68" s="2541"/>
      <c r="G68" s="2548"/>
      <c r="H68" s="2664"/>
      <c r="I68" s="2664"/>
      <c r="N68" s="2549"/>
      <c r="O68" s="2550"/>
      <c r="P68" s="2549"/>
      <c r="Q68" s="2549"/>
      <c r="R68" s="2686"/>
      <c r="S68" s="2686"/>
      <c r="T68" s="2686"/>
      <c r="U68" s="2688"/>
      <c r="W68" s="2669"/>
    </row>
    <row r="69" spans="2:23" ht="13.5" customHeight="1" thickBot="1">
      <c r="B69" s="2512"/>
      <c r="C69" s="2543"/>
      <c r="D69" s="2701"/>
      <c r="E69" s="2702"/>
      <c r="F69" s="2541"/>
      <c r="G69" s="2548"/>
      <c r="H69" s="2664"/>
      <c r="I69" s="2664"/>
      <c r="N69" s="2549"/>
      <c r="O69" s="2550"/>
      <c r="P69" s="2549"/>
      <c r="Q69" s="2549"/>
      <c r="R69" s="2686"/>
      <c r="S69" s="2686"/>
      <c r="T69" s="2686"/>
      <c r="U69" s="2688"/>
      <c r="W69" s="2669"/>
    </row>
    <row r="70" spans="2:23" s="2703" customFormat="1" ht="21" thickBot="1" thickTop="1">
      <c r="B70" s="2704"/>
      <c r="C70" s="2705"/>
      <c r="D70" s="2706"/>
      <c r="E70" s="2707"/>
      <c r="F70" s="2708"/>
      <c r="G70" s="2709"/>
      <c r="I70" s="2710" t="s">
        <v>111</v>
      </c>
      <c r="J70" s="2711">
        <f>IF(E66&gt;3*J25,J25*3,E66)</f>
        <v>4121.400565410528</v>
      </c>
      <c r="M70" s="1174" t="s">
        <v>365</v>
      </c>
      <c r="N70" s="1174"/>
      <c r="O70" s="2712"/>
      <c r="P70" s="2713"/>
      <c r="Q70" s="2713"/>
      <c r="R70" s="2714"/>
      <c r="S70" s="2714"/>
      <c r="T70" s="2714"/>
      <c r="U70" s="2715"/>
      <c r="V70" s="2346"/>
      <c r="W70" s="2716"/>
    </row>
    <row r="71" spans="2:23" ht="17.1" customHeight="1" thickBot="1" thickTop="1">
      <c r="B71" s="2717"/>
      <c r="C71" s="2718"/>
      <c r="D71" s="2718"/>
      <c r="E71" s="2718"/>
      <c r="F71" s="2718"/>
      <c r="G71" s="2718"/>
      <c r="H71" s="2718"/>
      <c r="I71" s="2718"/>
      <c r="J71" s="2718"/>
      <c r="K71" s="2718"/>
      <c r="L71" s="2718"/>
      <c r="M71" s="2718"/>
      <c r="N71" s="2718"/>
      <c r="O71" s="2718"/>
      <c r="P71" s="2718"/>
      <c r="Q71" s="2718"/>
      <c r="R71" s="2718"/>
      <c r="S71" s="2718"/>
      <c r="T71" s="2718"/>
      <c r="U71" s="2718"/>
      <c r="V71" s="2719"/>
      <c r="W71" s="2720"/>
    </row>
    <row r="72" spans="2:23" ht="17.1" customHeight="1" thickTop="1">
      <c r="B72" s="2508"/>
      <c r="C72" s="2721"/>
      <c r="W72" s="2508"/>
    </row>
  </sheetData>
  <mergeCells count="36">
    <mergeCell ref="E36:F36"/>
    <mergeCell ref="N36:O36"/>
    <mergeCell ref="E37:F37"/>
    <mergeCell ref="N37:O37"/>
    <mergeCell ref="E38:F38"/>
    <mergeCell ref="N38:O38"/>
    <mergeCell ref="E39:F39"/>
    <mergeCell ref="N39:O39"/>
    <mergeCell ref="E40:F40"/>
    <mergeCell ref="N40:O40"/>
    <mergeCell ref="E41:F41"/>
    <mergeCell ref="N41:O41"/>
    <mergeCell ref="E47:F47"/>
    <mergeCell ref="N47:O47"/>
    <mergeCell ref="E42:F42"/>
    <mergeCell ref="N42:O42"/>
    <mergeCell ref="E43:F43"/>
    <mergeCell ref="N43:O43"/>
    <mergeCell ref="E44:F44"/>
    <mergeCell ref="E45:F45"/>
    <mergeCell ref="E46:F46"/>
    <mergeCell ref="N44:O44"/>
    <mergeCell ref="N45:O45"/>
    <mergeCell ref="N46:O46"/>
    <mergeCell ref="C61:D61"/>
    <mergeCell ref="G54:I54"/>
    <mergeCell ref="O54:U54"/>
    <mergeCell ref="G55:I55"/>
    <mergeCell ref="O55:U55"/>
    <mergeCell ref="G56:I56"/>
    <mergeCell ref="O56:U56"/>
    <mergeCell ref="G57:I57"/>
    <mergeCell ref="O57:U57"/>
    <mergeCell ref="G58:I58"/>
    <mergeCell ref="O58:U58"/>
    <mergeCell ref="G59:I59"/>
  </mergeCells>
  <printOptions horizontalCentered="1"/>
  <pageMargins left="0.1968503937007874" right="0.15748031496062992" top="0.7874015748031497" bottom="0.7874015748031497" header="0.5118110236220472" footer="0.5118110236220472"/>
  <pageSetup fitToHeight="1" fitToWidth="1" horizontalDpi="600" verticalDpi="600" orientation="portrait" paperSize="9" scale="38" r:id="rId2"/>
  <headerFooter alignWithMargins="0">
    <oddFooter>&amp;L&amp;"Times New Roman,Normal"&amp;8&amp;Z&amp;F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3"/>
  <sheetViews>
    <sheetView zoomScale="70" zoomScaleNormal="70" workbookViewId="0" topLeftCell="A1">
      <selection activeCell="A48" sqref="A48"/>
    </sheetView>
  </sheetViews>
  <sheetFormatPr defaultColWidth="11.421875" defaultRowHeight="12.75"/>
  <cols>
    <col min="1" max="1" width="14.57421875" style="2346" customWidth="1"/>
    <col min="2" max="2" width="7.28125" style="2346" customWidth="1"/>
    <col min="3" max="3" width="4.7109375" style="2346" customWidth="1"/>
    <col min="4" max="4" width="36.140625" style="2346" customWidth="1"/>
    <col min="5" max="5" width="20.7109375" style="2346" customWidth="1"/>
    <col min="6" max="6" width="15.00390625" style="2346" customWidth="1"/>
    <col min="7" max="7" width="13.8515625" style="2346" customWidth="1"/>
    <col min="8" max="8" width="7.57421875" style="2346" hidden="1" customWidth="1"/>
    <col min="9" max="9" width="8.28125" style="2346" hidden="1" customWidth="1"/>
    <col min="10" max="11" width="18.7109375" style="2346" customWidth="1"/>
    <col min="12" max="13" width="10.7109375" style="2346" customWidth="1"/>
    <col min="14" max="14" width="9.7109375" style="2346" customWidth="1"/>
    <col min="15" max="15" width="10.57421875" style="2346" customWidth="1"/>
    <col min="16" max="16" width="8.421875" style="2346" customWidth="1"/>
    <col min="17" max="17" width="12.57421875" style="2346" bestFit="1" customWidth="1"/>
    <col min="18" max="18" width="12.28125" style="2346" hidden="1" customWidth="1"/>
    <col min="19" max="19" width="13.140625" style="2346" hidden="1" customWidth="1"/>
    <col min="20" max="22" width="5.28125" style="2346" hidden="1" customWidth="1"/>
    <col min="23" max="23" width="16.57421875" style="2346" hidden="1" customWidth="1"/>
    <col min="24" max="26" width="12.28125" style="2346" hidden="1" customWidth="1"/>
    <col min="27" max="27" width="5.28125" style="2346" hidden="1" customWidth="1"/>
    <col min="28" max="28" width="10.8515625" style="2346" customWidth="1"/>
    <col min="29" max="29" width="22.8515625" style="2346" customWidth="1"/>
    <col min="30" max="30" width="6.7109375" style="2346" customWidth="1"/>
    <col min="31" max="31" width="4.140625" style="2346" customWidth="1"/>
    <col min="32" max="32" width="7.140625" style="2346" customWidth="1"/>
    <col min="33" max="33" width="5.28125" style="2346" customWidth="1"/>
    <col min="34" max="34" width="5.421875" style="2346" customWidth="1"/>
    <col min="35" max="35" width="4.7109375" style="2346" customWidth="1"/>
    <col min="36" max="36" width="5.28125" style="2346" customWidth="1"/>
    <col min="37" max="38" width="13.28125" style="2346" customWidth="1"/>
    <col min="39" max="39" width="6.57421875" style="2346" customWidth="1"/>
    <col min="40" max="40" width="6.421875" style="2346" customWidth="1"/>
    <col min="41" max="44" width="11.421875" style="2346" customWidth="1"/>
    <col min="45" max="45" width="12.7109375" style="2346" customWidth="1"/>
    <col min="46" max="48" width="11.421875" style="2346" customWidth="1"/>
    <col min="49" max="49" width="21.00390625" style="2346" customWidth="1"/>
    <col min="50" max="16384" width="11.421875" style="2346" customWidth="1"/>
  </cols>
  <sheetData>
    <row r="1" spans="1:30" ht="13.5">
      <c r="A1" s="2335"/>
      <c r="B1" s="2336"/>
      <c r="C1" s="2336"/>
      <c r="D1" s="2336"/>
      <c r="E1" s="2336"/>
      <c r="F1" s="2336"/>
      <c r="G1" s="2336"/>
      <c r="H1" s="2336"/>
      <c r="I1" s="2336"/>
      <c r="J1" s="2336"/>
      <c r="K1" s="2336"/>
      <c r="L1" s="2336"/>
      <c r="M1" s="2336"/>
      <c r="N1" s="2336"/>
      <c r="O1" s="2336"/>
      <c r="P1" s="2336"/>
      <c r="Q1" s="2336"/>
      <c r="R1" s="2336"/>
      <c r="S1" s="2336"/>
      <c r="T1" s="2336"/>
      <c r="U1" s="2336"/>
      <c r="V1" s="2336"/>
      <c r="AD1" s="2483"/>
    </row>
    <row r="2" spans="1:23" ht="27" customHeight="1">
      <c r="A2" s="2335"/>
      <c r="B2" s="2336"/>
      <c r="C2" s="2336"/>
      <c r="D2" s="2336"/>
      <c r="E2" s="2336"/>
      <c r="F2" s="2336"/>
      <c r="G2" s="2336"/>
      <c r="H2" s="2336"/>
      <c r="I2" s="2336"/>
      <c r="J2" s="2336"/>
      <c r="K2" s="2336"/>
      <c r="L2" s="2336"/>
      <c r="M2" s="2336"/>
      <c r="N2" s="2336"/>
      <c r="O2" s="2336"/>
      <c r="P2" s="2336"/>
      <c r="Q2" s="2336"/>
      <c r="R2" s="2336"/>
      <c r="S2" s="2336"/>
      <c r="T2" s="2336"/>
      <c r="U2" s="2336"/>
      <c r="V2" s="2336"/>
      <c r="W2" s="2336"/>
    </row>
    <row r="3" spans="1:30" s="2487" customFormat="1" ht="30.75">
      <c r="A3" s="2484"/>
      <c r="B3" s="2485" t="str">
        <f>'TOT-0116'!B2</f>
        <v>ANEXO II al Memorándum D.T.E.E. N° 231 / 2017</v>
      </c>
      <c r="C3" s="2486"/>
      <c r="D3" s="2486"/>
      <c r="E3" s="2486"/>
      <c r="F3" s="2486"/>
      <c r="G3" s="2486"/>
      <c r="H3" s="2486"/>
      <c r="I3" s="2486"/>
      <c r="J3" s="2486"/>
      <c r="K3" s="2486"/>
      <c r="L3" s="2486"/>
      <c r="M3" s="2486"/>
      <c r="N3" s="2486"/>
      <c r="O3" s="2486"/>
      <c r="P3" s="2486"/>
      <c r="Q3" s="2486"/>
      <c r="R3" s="2486"/>
      <c r="S3" s="2486"/>
      <c r="T3" s="2486"/>
      <c r="U3" s="2486"/>
      <c r="V3" s="2486"/>
      <c r="W3" s="2486"/>
      <c r="AB3" s="2486"/>
      <c r="AC3" s="2486"/>
      <c r="AD3" s="2486"/>
    </row>
    <row r="4" spans="1:2" s="2337" customFormat="1" ht="11.25">
      <c r="A4" s="2722" t="s">
        <v>2</v>
      </c>
      <c r="B4" s="2722"/>
    </row>
    <row r="5" spans="1:2" s="2337" customFormat="1" ht="11.25">
      <c r="A5" s="2722" t="s">
        <v>3</v>
      </c>
      <c r="B5" s="2722"/>
    </row>
    <row r="6" s="2337" customFormat="1" ht="12" thickBot="1">
      <c r="A6" s="2722"/>
    </row>
    <row r="7" spans="1:30" ht="17.1" customHeight="1" thickTop="1">
      <c r="A7" s="2336"/>
      <c r="B7" s="2490"/>
      <c r="C7" s="2491"/>
      <c r="D7" s="2491"/>
      <c r="E7" s="2492"/>
      <c r="F7" s="2491"/>
      <c r="G7" s="2491"/>
      <c r="H7" s="2491"/>
      <c r="I7" s="2491"/>
      <c r="J7" s="2491"/>
      <c r="K7" s="2491"/>
      <c r="L7" s="2491"/>
      <c r="M7" s="2491"/>
      <c r="N7" s="2491"/>
      <c r="O7" s="2491"/>
      <c r="P7" s="2491"/>
      <c r="Q7" s="2491"/>
      <c r="R7" s="2491"/>
      <c r="S7" s="2491"/>
      <c r="T7" s="2491"/>
      <c r="U7" s="2491"/>
      <c r="V7" s="2491"/>
      <c r="W7" s="2723"/>
      <c r="X7" s="2723"/>
      <c r="Y7" s="2723"/>
      <c r="Z7" s="2723"/>
      <c r="AA7" s="2723"/>
      <c r="AB7" s="2723"/>
      <c r="AC7" s="2723"/>
      <c r="AD7" s="2338"/>
    </row>
    <row r="8" spans="1:30" ht="20.25">
      <c r="A8" s="2336"/>
      <c r="B8" s="2493"/>
      <c r="C8" s="2347"/>
      <c r="D8" s="2339" t="s">
        <v>92</v>
      </c>
      <c r="E8" s="2347"/>
      <c r="F8" s="2347"/>
      <c r="G8" s="2347"/>
      <c r="H8" s="2347"/>
      <c r="I8" s="2347"/>
      <c r="J8" s="2347"/>
      <c r="K8" s="2347"/>
      <c r="L8" s="2347"/>
      <c r="M8" s="2347"/>
      <c r="N8" s="2347"/>
      <c r="O8" s="2347"/>
      <c r="P8" s="2494"/>
      <c r="Q8" s="2494"/>
      <c r="R8" s="2347"/>
      <c r="S8" s="2347"/>
      <c r="T8" s="2347"/>
      <c r="U8" s="2347"/>
      <c r="V8" s="2347"/>
      <c r="AD8" s="2341"/>
    </row>
    <row r="9" spans="1:30" ht="17.1" customHeight="1">
      <c r="A9" s="2336"/>
      <c r="B9" s="2493"/>
      <c r="C9" s="2347"/>
      <c r="D9" s="2347"/>
      <c r="E9" s="2347"/>
      <c r="F9" s="2347"/>
      <c r="G9" s="2347"/>
      <c r="H9" s="2347"/>
      <c r="I9" s="2347"/>
      <c r="J9" s="2347"/>
      <c r="K9" s="2347"/>
      <c r="L9" s="2347"/>
      <c r="M9" s="2347"/>
      <c r="N9" s="2347"/>
      <c r="O9" s="2347"/>
      <c r="P9" s="2347"/>
      <c r="Q9" s="2347"/>
      <c r="R9" s="2347"/>
      <c r="S9" s="2347"/>
      <c r="T9" s="2347"/>
      <c r="U9" s="2347"/>
      <c r="V9" s="2347"/>
      <c r="AD9" s="2341"/>
    </row>
    <row r="10" spans="2:30" s="2344" customFormat="1" ht="20.25">
      <c r="B10" s="2495"/>
      <c r="C10" s="2496"/>
      <c r="D10" s="2339" t="s">
        <v>93</v>
      </c>
      <c r="E10" s="2496"/>
      <c r="F10" s="2496"/>
      <c r="G10" s="2496"/>
      <c r="H10" s="2496"/>
      <c r="N10" s="2496"/>
      <c r="O10" s="2496"/>
      <c r="P10" s="2497"/>
      <c r="Q10" s="2497"/>
      <c r="R10" s="2496"/>
      <c r="S10" s="2496"/>
      <c r="T10" s="2496"/>
      <c r="U10" s="2496"/>
      <c r="V10" s="2496"/>
      <c r="W10" s="2346"/>
      <c r="X10" s="2496"/>
      <c r="Y10" s="2496"/>
      <c r="Z10" s="2496"/>
      <c r="AA10" s="2496"/>
      <c r="AB10" s="2496"/>
      <c r="AC10" s="2346"/>
      <c r="AD10" s="2498"/>
    </row>
    <row r="11" spans="1:30" ht="17.1" customHeight="1">
      <c r="A11" s="2336"/>
      <c r="B11" s="2493"/>
      <c r="C11" s="2347"/>
      <c r="D11" s="2347"/>
      <c r="E11" s="2347"/>
      <c r="F11" s="2347"/>
      <c r="G11" s="2347"/>
      <c r="H11" s="2347"/>
      <c r="I11" s="2347"/>
      <c r="J11" s="2347"/>
      <c r="K11" s="2347"/>
      <c r="L11" s="2347"/>
      <c r="M11" s="2347"/>
      <c r="N11" s="2347"/>
      <c r="O11" s="2347"/>
      <c r="P11" s="2347"/>
      <c r="Q11" s="2347"/>
      <c r="R11" s="2347"/>
      <c r="S11" s="2347"/>
      <c r="T11" s="2347"/>
      <c r="U11" s="2347"/>
      <c r="V11" s="2347"/>
      <c r="AD11" s="2341"/>
    </row>
    <row r="12" spans="2:30" s="2344" customFormat="1" ht="20.25">
      <c r="B12" s="2495"/>
      <c r="C12" s="2496"/>
      <c r="D12" s="2339" t="s">
        <v>477</v>
      </c>
      <c r="E12" s="2496"/>
      <c r="F12" s="2496"/>
      <c r="G12" s="2496"/>
      <c r="H12" s="2496"/>
      <c r="N12" s="2496"/>
      <c r="O12" s="2496"/>
      <c r="P12" s="2497"/>
      <c r="Q12" s="2497"/>
      <c r="R12" s="2496"/>
      <c r="S12" s="2496"/>
      <c r="T12" s="2496"/>
      <c r="U12" s="2496"/>
      <c r="V12" s="2496"/>
      <c r="W12" s="2346"/>
      <c r="X12" s="2496"/>
      <c r="Y12" s="2496"/>
      <c r="Z12" s="2496"/>
      <c r="AA12" s="2496"/>
      <c r="AB12" s="2496"/>
      <c r="AC12" s="2346"/>
      <c r="AD12" s="2498"/>
    </row>
    <row r="13" spans="1:30" ht="17.1" customHeight="1">
      <c r="A13" s="2336"/>
      <c r="B13" s="2493"/>
      <c r="C13" s="2347"/>
      <c r="D13" s="2347"/>
      <c r="E13" s="2336"/>
      <c r="F13" s="2336"/>
      <c r="G13" s="2336"/>
      <c r="H13" s="2336"/>
      <c r="I13" s="2499"/>
      <c r="J13" s="2499"/>
      <c r="K13" s="2499"/>
      <c r="L13" s="2499"/>
      <c r="M13" s="2499"/>
      <c r="N13" s="2499"/>
      <c r="O13" s="2499"/>
      <c r="P13" s="2499"/>
      <c r="Q13" s="2499"/>
      <c r="R13" s="2347"/>
      <c r="S13" s="2347"/>
      <c r="T13" s="2347"/>
      <c r="U13" s="2347"/>
      <c r="V13" s="2347"/>
      <c r="AD13" s="2341"/>
    </row>
    <row r="14" spans="2:30" s="2344" customFormat="1" ht="19.5">
      <c r="B14" s="2342" t="str">
        <f>'TOT-0116'!B14</f>
        <v>Desde el 01 al 31 de enero de 2016</v>
      </c>
      <c r="C14" s="2500"/>
      <c r="D14" s="2343"/>
      <c r="E14" s="2343"/>
      <c r="F14" s="2343"/>
      <c r="G14" s="2343"/>
      <c r="H14" s="2343"/>
      <c r="I14" s="2501"/>
      <c r="J14" s="2502"/>
      <c r="K14" s="2501"/>
      <c r="L14" s="2501"/>
      <c r="M14" s="2501"/>
      <c r="N14" s="2501"/>
      <c r="O14" s="2501"/>
      <c r="P14" s="2501"/>
      <c r="Q14" s="2501"/>
      <c r="R14" s="2501"/>
      <c r="S14" s="2501"/>
      <c r="T14" s="2501"/>
      <c r="U14" s="2503"/>
      <c r="V14" s="2503"/>
      <c r="W14" s="2346"/>
      <c r="X14" s="2724"/>
      <c r="Y14" s="2724"/>
      <c r="Z14" s="2724"/>
      <c r="AA14" s="2724"/>
      <c r="AB14" s="2503"/>
      <c r="AC14" s="2502"/>
      <c r="AD14" s="2504"/>
    </row>
    <row r="15" spans="1:30" ht="17.1" customHeight="1">
      <c r="A15" s="2336"/>
      <c r="B15" s="2493"/>
      <c r="C15" s="2347"/>
      <c r="D15" s="2347"/>
      <c r="E15" s="2505"/>
      <c r="F15" s="2505"/>
      <c r="G15" s="2347"/>
      <c r="H15" s="2347"/>
      <c r="I15" s="2347"/>
      <c r="J15" s="2506"/>
      <c r="K15" s="2347"/>
      <c r="L15" s="2347"/>
      <c r="M15" s="2347"/>
      <c r="N15" s="2336"/>
      <c r="O15" s="2336"/>
      <c r="P15" s="2347"/>
      <c r="Q15" s="2347"/>
      <c r="R15" s="2347"/>
      <c r="S15" s="2347"/>
      <c r="T15" s="2347"/>
      <c r="U15" s="2347"/>
      <c r="V15" s="2347"/>
      <c r="AD15" s="2341"/>
    </row>
    <row r="16" spans="1:30" ht="17.1" customHeight="1">
      <c r="A16" s="2336"/>
      <c r="B16" s="2493"/>
      <c r="C16" s="2347"/>
      <c r="D16" s="2347"/>
      <c r="E16" s="2505"/>
      <c r="F16" s="2505"/>
      <c r="G16" s="2347"/>
      <c r="H16" s="2347"/>
      <c r="I16" s="2507"/>
      <c r="J16" s="2347"/>
      <c r="K16" s="2508"/>
      <c r="M16" s="2347"/>
      <c r="N16" s="2336"/>
      <c r="O16" s="2336"/>
      <c r="P16" s="2347"/>
      <c r="Q16" s="2347"/>
      <c r="R16" s="2347"/>
      <c r="S16" s="2347"/>
      <c r="T16" s="2347"/>
      <c r="U16" s="2347"/>
      <c r="V16" s="2347"/>
      <c r="AD16" s="2341"/>
    </row>
    <row r="17" spans="1:30" ht="17.1" customHeight="1">
      <c r="A17" s="2336"/>
      <c r="B17" s="2493"/>
      <c r="C17" s="2347"/>
      <c r="D17" s="2347"/>
      <c r="E17" s="2505"/>
      <c r="F17" s="2505"/>
      <c r="G17" s="2347"/>
      <c r="H17" s="2347"/>
      <c r="I17" s="2507"/>
      <c r="J17" s="2347"/>
      <c r="K17" s="2508"/>
      <c r="M17" s="2347"/>
      <c r="N17" s="2336"/>
      <c r="O17" s="2336"/>
      <c r="P17" s="2347"/>
      <c r="Q17" s="2347"/>
      <c r="R17" s="2347"/>
      <c r="S17" s="2347"/>
      <c r="T17" s="2347"/>
      <c r="U17" s="2347"/>
      <c r="V17" s="2347"/>
      <c r="AD17" s="2341"/>
    </row>
    <row r="18" spans="1:30" ht="17.1" customHeight="1">
      <c r="A18" s="2336"/>
      <c r="B18" s="2493"/>
      <c r="C18" s="2509" t="s">
        <v>94</v>
      </c>
      <c r="D18" s="2510" t="s">
        <v>95</v>
      </c>
      <c r="E18" s="2505"/>
      <c r="F18" s="2505"/>
      <c r="G18" s="2347"/>
      <c r="H18" s="2347"/>
      <c r="I18" s="2347"/>
      <c r="J18" s="2506"/>
      <c r="K18" s="2347"/>
      <c r="L18" s="2347"/>
      <c r="M18" s="2347"/>
      <c r="N18" s="2336"/>
      <c r="O18" s="2336"/>
      <c r="P18" s="2347"/>
      <c r="Q18" s="2347"/>
      <c r="R18" s="2347"/>
      <c r="S18" s="2347"/>
      <c r="T18" s="2347"/>
      <c r="U18" s="2347"/>
      <c r="V18" s="2347"/>
      <c r="AD18" s="2341"/>
    </row>
    <row r="19" spans="2:30" s="2511" customFormat="1" ht="17.1" customHeight="1">
      <c r="B19" s="2512"/>
      <c r="C19" s="2513"/>
      <c r="D19" s="2514"/>
      <c r="E19" s="2725"/>
      <c r="F19" s="2543"/>
      <c r="G19" s="2513"/>
      <c r="H19" s="2513"/>
      <c r="I19" s="2513"/>
      <c r="J19" s="2518"/>
      <c r="K19" s="2513"/>
      <c r="L19" s="2513"/>
      <c r="M19" s="2513"/>
      <c r="P19" s="2513"/>
      <c r="Q19" s="2513"/>
      <c r="R19" s="2513"/>
      <c r="S19" s="2513"/>
      <c r="T19" s="2513"/>
      <c r="U19" s="2513"/>
      <c r="V19" s="2513"/>
      <c r="W19" s="2346"/>
      <c r="AD19" s="2520"/>
    </row>
    <row r="20" spans="2:30" s="2511" customFormat="1" ht="17.1" customHeight="1">
      <c r="B20" s="2512"/>
      <c r="C20" s="2513"/>
      <c r="D20" s="2726" t="s">
        <v>400</v>
      </c>
      <c r="F20" s="2523">
        <v>506.119</v>
      </c>
      <c r="G20" s="2726" t="s">
        <v>97</v>
      </c>
      <c r="H20" s="2513"/>
      <c r="I20" s="2513"/>
      <c r="J20" s="2692"/>
      <c r="K20" s="2515" t="s">
        <v>40</v>
      </c>
      <c r="L20" s="2522">
        <v>0.025</v>
      </c>
      <c r="Q20" s="2523"/>
      <c r="R20" s="2513"/>
      <c r="S20" s="2513"/>
      <c r="T20" s="2513"/>
      <c r="U20" s="2513"/>
      <c r="V20" s="2513"/>
      <c r="W20" s="2346"/>
      <c r="AD20" s="2520"/>
    </row>
    <row r="21" spans="2:30" s="2511" customFormat="1" ht="17.1" customHeight="1">
      <c r="B21" s="2512"/>
      <c r="C21" s="2513"/>
      <c r="D21" s="2726" t="s">
        <v>401</v>
      </c>
      <c r="F21" s="2523">
        <v>276.033</v>
      </c>
      <c r="G21" s="2727" t="s">
        <v>113</v>
      </c>
      <c r="H21" s="2513"/>
      <c r="I21" s="2513"/>
      <c r="J21" s="2513"/>
      <c r="K21" s="2514" t="s">
        <v>38</v>
      </c>
      <c r="L21" s="2513">
        <f>MID(B14,16,2)*24</f>
        <v>744</v>
      </c>
      <c r="M21" s="2513" t="s">
        <v>39</v>
      </c>
      <c r="Q21" s="2523"/>
      <c r="R21" s="2513"/>
      <c r="S21" s="2513"/>
      <c r="T21" s="2513"/>
      <c r="U21" s="2513"/>
      <c r="V21" s="2513"/>
      <c r="W21" s="2346"/>
      <c r="AD21" s="2520"/>
    </row>
    <row r="22" spans="2:30" s="2511" customFormat="1" ht="17.1" customHeight="1">
      <c r="B22" s="2512"/>
      <c r="C22" s="2513"/>
      <c r="D22" s="2726" t="s">
        <v>402</v>
      </c>
      <c r="E22" s="2728"/>
      <c r="F22" s="2729">
        <v>1.391</v>
      </c>
      <c r="G22" s="2727" t="s">
        <v>113</v>
      </c>
      <c r="H22" s="2513"/>
      <c r="I22" s="2513"/>
      <c r="J22" s="2513"/>
      <c r="K22" s="2514"/>
      <c r="L22" s="2513"/>
      <c r="M22" s="2513"/>
      <c r="N22" s="2513"/>
      <c r="O22" s="2524"/>
      <c r="P22" s="2525"/>
      <c r="Q22" s="2729"/>
      <c r="R22" s="2513"/>
      <c r="S22" s="2513"/>
      <c r="T22" s="2513"/>
      <c r="U22" s="2513"/>
      <c r="V22" s="2513"/>
      <c r="W22" s="2346"/>
      <c r="AD22" s="2520"/>
    </row>
    <row r="23" spans="2:30" s="2511" customFormat="1" ht="17.1" customHeight="1">
      <c r="B23" s="2512"/>
      <c r="C23" s="2513"/>
      <c r="D23" s="2726" t="s">
        <v>403</v>
      </c>
      <c r="E23" s="2728"/>
      <c r="F23" s="2730">
        <v>20</v>
      </c>
      <c r="G23" s="2727"/>
      <c r="H23" s="2513"/>
      <c r="I23" s="2513"/>
      <c r="J23" s="2513"/>
      <c r="K23" s="2514"/>
      <c r="L23" s="2513"/>
      <c r="M23" s="2513"/>
      <c r="N23" s="2513"/>
      <c r="O23" s="2524"/>
      <c r="P23" s="2525"/>
      <c r="Q23" s="2347"/>
      <c r="R23" s="2513"/>
      <c r="S23" s="2513"/>
      <c r="T23" s="2513"/>
      <c r="U23" s="2513"/>
      <c r="V23" s="2513"/>
      <c r="W23" s="2346"/>
      <c r="AD23" s="2520"/>
    </row>
    <row r="24" spans="2:30" s="2511" customFormat="1" ht="17.1" customHeight="1">
      <c r="B24" s="2512"/>
      <c r="C24" s="2513"/>
      <c r="D24" s="2726"/>
      <c r="E24" s="2728"/>
      <c r="F24" s="2730"/>
      <c r="G24" s="2727"/>
      <c r="H24" s="2513"/>
      <c r="I24" s="2513"/>
      <c r="J24" s="2513"/>
      <c r="K24" s="2514"/>
      <c r="L24" s="2513"/>
      <c r="M24" s="2513"/>
      <c r="N24" s="2513"/>
      <c r="O24" s="2524"/>
      <c r="P24" s="2525"/>
      <c r="Q24" s="2347"/>
      <c r="R24" s="2513"/>
      <c r="S24" s="2513"/>
      <c r="T24" s="2513"/>
      <c r="U24" s="2513"/>
      <c r="V24" s="2513"/>
      <c r="W24" s="2346"/>
      <c r="AD24" s="2520"/>
    </row>
    <row r="25" spans="2:30" s="2511" customFormat="1" ht="17.1" customHeight="1">
      <c r="B25" s="2512"/>
      <c r="C25" s="2513"/>
      <c r="D25" s="2513"/>
      <c r="E25" s="2541"/>
      <c r="F25" s="2513"/>
      <c r="G25" s="2513"/>
      <c r="H25" s="2513"/>
      <c r="I25" s="2513"/>
      <c r="J25" s="2513"/>
      <c r="K25" s="2513"/>
      <c r="L25" s="2513"/>
      <c r="M25" s="2513"/>
      <c r="N25" s="2513"/>
      <c r="O25" s="2513"/>
      <c r="P25" s="2513"/>
      <c r="Q25" s="2513"/>
      <c r="R25" s="2513"/>
      <c r="S25" s="2513"/>
      <c r="T25" s="2513"/>
      <c r="U25" s="2513"/>
      <c r="V25" s="2513"/>
      <c r="W25" s="2346"/>
      <c r="AD25" s="2520"/>
    </row>
    <row r="26" spans="1:30" ht="17.1" customHeight="1">
      <c r="A26" s="2336"/>
      <c r="B26" s="2493"/>
      <c r="C26" s="2509" t="s">
        <v>98</v>
      </c>
      <c r="D26" s="2542" t="s">
        <v>358</v>
      </c>
      <c r="I26" s="2347"/>
      <c r="J26" s="2511"/>
      <c r="O26" s="2347"/>
      <c r="P26" s="2347"/>
      <c r="Q26" s="2347"/>
      <c r="R26" s="2347"/>
      <c r="S26" s="2347"/>
      <c r="T26" s="2347"/>
      <c r="V26" s="2347"/>
      <c r="X26" s="2347"/>
      <c r="Y26" s="2347"/>
      <c r="Z26" s="2347"/>
      <c r="AA26" s="2347"/>
      <c r="AB26" s="2347"/>
      <c r="AC26" s="2347"/>
      <c r="AD26" s="2341"/>
    </row>
    <row r="27" spans="1:30" ht="10.5" customHeight="1" thickBot="1">
      <c r="A27" s="2336"/>
      <c r="B27" s="2493"/>
      <c r="C27" s="2505"/>
      <c r="D27" s="2542"/>
      <c r="I27" s="2347"/>
      <c r="J27" s="2511"/>
      <c r="O27" s="2347"/>
      <c r="P27" s="2347"/>
      <c r="Q27" s="2347"/>
      <c r="R27" s="2347"/>
      <c r="S27" s="2347"/>
      <c r="T27" s="2347"/>
      <c r="V27" s="2347"/>
      <c r="X27" s="2347"/>
      <c r="Y27" s="2347"/>
      <c r="Z27" s="2347"/>
      <c r="AA27" s="2347"/>
      <c r="AB27" s="2347"/>
      <c r="AC27" s="2347"/>
      <c r="AD27" s="2341"/>
    </row>
    <row r="28" spans="2:30" s="2511" customFormat="1" ht="21" customHeight="1" thickBot="1" thickTop="1">
      <c r="B28" s="2512"/>
      <c r="C28" s="2543"/>
      <c r="D28" s="2346"/>
      <c r="E28" s="2346"/>
      <c r="F28" s="2346"/>
      <c r="G28" s="2346"/>
      <c r="H28" s="2346"/>
      <c r="I28" s="2346"/>
      <c r="J28" s="2544" t="s">
        <v>45</v>
      </c>
      <c r="K28" s="2545">
        <f>AC75*L20</f>
        <v>106241.57577800001</v>
      </c>
      <c r="L28" s="2346"/>
      <c r="S28" s="2346"/>
      <c r="T28" s="2346"/>
      <c r="U28" s="2346"/>
      <c r="W28" s="2346"/>
      <c r="AD28" s="2520"/>
    </row>
    <row r="29" spans="2:30" s="2511" customFormat="1" ht="11.25" customHeight="1" thickTop="1">
      <c r="B29" s="2512"/>
      <c r="C29" s="2543"/>
      <c r="D29" s="2513"/>
      <c r="E29" s="2541"/>
      <c r="F29" s="2513"/>
      <c r="G29" s="2513"/>
      <c r="H29" s="2513"/>
      <c r="I29" s="2513"/>
      <c r="J29" s="2513"/>
      <c r="K29" s="2513"/>
      <c r="L29" s="2513"/>
      <c r="M29" s="2513"/>
      <c r="N29" s="2513"/>
      <c r="O29" s="2513"/>
      <c r="P29" s="2513"/>
      <c r="Q29" s="2513"/>
      <c r="R29" s="2513"/>
      <c r="S29" s="2513"/>
      <c r="T29" s="2513"/>
      <c r="U29" s="2346"/>
      <c r="W29" s="2346"/>
      <c r="AD29" s="2520"/>
    </row>
    <row r="30" spans="1:30" ht="17.1" customHeight="1">
      <c r="A30" s="2336"/>
      <c r="B30" s="2493"/>
      <c r="C30" s="2509" t="s">
        <v>99</v>
      </c>
      <c r="D30" s="2542" t="s">
        <v>137</v>
      </c>
      <c r="E30" s="2546"/>
      <c r="F30" s="2347"/>
      <c r="G30" s="2347"/>
      <c r="H30" s="2347"/>
      <c r="I30" s="2347"/>
      <c r="J30" s="2347"/>
      <c r="K30" s="2347"/>
      <c r="L30" s="2347"/>
      <c r="M30" s="2347"/>
      <c r="N30" s="2347"/>
      <c r="O30" s="2347"/>
      <c r="P30" s="2347"/>
      <c r="Q30" s="2347"/>
      <c r="R30" s="2347"/>
      <c r="S30" s="2347"/>
      <c r="T30" s="2347"/>
      <c r="U30" s="2347"/>
      <c r="V30" s="2347"/>
      <c r="AD30" s="2341"/>
    </row>
    <row r="31" spans="1:30" ht="21.75" customHeight="1" thickBot="1">
      <c r="A31" s="2336"/>
      <c r="B31" s="2493"/>
      <c r="C31" s="2347"/>
      <c r="D31" s="2347"/>
      <c r="E31" s="2546"/>
      <c r="F31" s="2347"/>
      <c r="G31" s="2347"/>
      <c r="H31" s="2347"/>
      <c r="I31" s="2347"/>
      <c r="J31" s="2347"/>
      <c r="K31" s="2347"/>
      <c r="L31" s="2347"/>
      <c r="M31" s="2347"/>
      <c r="N31" s="2347"/>
      <c r="O31" s="2347"/>
      <c r="P31" s="2347"/>
      <c r="Q31" s="2347"/>
      <c r="R31" s="2347"/>
      <c r="S31" s="2347"/>
      <c r="T31" s="2347"/>
      <c r="U31" s="2347"/>
      <c r="V31" s="2347"/>
      <c r="AD31" s="2341"/>
    </row>
    <row r="32" spans="2:31" s="2336" customFormat="1" ht="33.95" customHeight="1" thickBot="1" thickTop="1">
      <c r="B32" s="2493"/>
      <c r="C32" s="2349" t="s">
        <v>13</v>
      </c>
      <c r="D32" s="2731" t="s">
        <v>0</v>
      </c>
      <c r="E32" s="2732" t="s">
        <v>14</v>
      </c>
      <c r="F32" s="2733" t="s">
        <v>15</v>
      </c>
      <c r="G32" s="2734" t="s">
        <v>71</v>
      </c>
      <c r="H32" s="2735" t="s">
        <v>37</v>
      </c>
      <c r="I32" s="2624" t="s">
        <v>16</v>
      </c>
      <c r="J32" s="2621" t="s">
        <v>17</v>
      </c>
      <c r="K32" s="2736" t="s">
        <v>18</v>
      </c>
      <c r="L32" s="2355" t="s">
        <v>36</v>
      </c>
      <c r="M32" s="2620" t="s">
        <v>31</v>
      </c>
      <c r="N32" s="2355" t="s">
        <v>100</v>
      </c>
      <c r="O32" s="2355" t="s">
        <v>58</v>
      </c>
      <c r="P32" s="2736" t="s">
        <v>59</v>
      </c>
      <c r="Q32" s="2621" t="s">
        <v>32</v>
      </c>
      <c r="R32" s="2737" t="s">
        <v>20</v>
      </c>
      <c r="S32" s="2738" t="s">
        <v>21</v>
      </c>
      <c r="T32" s="2739" t="s">
        <v>72</v>
      </c>
      <c r="U32" s="2740"/>
      <c r="V32" s="2741"/>
      <c r="W32" s="2742" t="s">
        <v>101</v>
      </c>
      <c r="X32" s="2743"/>
      <c r="Y32" s="2744"/>
      <c r="Z32" s="2745" t="s">
        <v>22</v>
      </c>
      <c r="AA32" s="2746" t="s">
        <v>23</v>
      </c>
      <c r="AB32" s="2747" t="s">
        <v>74</v>
      </c>
      <c r="AC32" s="2353" t="s">
        <v>24</v>
      </c>
      <c r="AD32" s="2748"/>
      <c r="AE32" s="2346"/>
    </row>
    <row r="33" spans="1:30" ht="17.1" customHeight="1" thickTop="1">
      <c r="A33" s="2336"/>
      <c r="B33" s="2493"/>
      <c r="C33" s="2630"/>
      <c r="D33" s="2749"/>
      <c r="E33" s="2750"/>
      <c r="F33" s="2751"/>
      <c r="G33" s="2752"/>
      <c r="H33" s="2753"/>
      <c r="I33" s="2754"/>
      <c r="J33" s="2755"/>
      <c r="K33" s="2756"/>
      <c r="L33" s="2630"/>
      <c r="M33" s="2630"/>
      <c r="N33" s="2757"/>
      <c r="O33" s="2757"/>
      <c r="P33" s="2630"/>
      <c r="Q33" s="2758"/>
      <c r="R33" s="2759"/>
      <c r="S33" s="2760"/>
      <c r="T33" s="2761"/>
      <c r="U33" s="2762"/>
      <c r="V33" s="2763"/>
      <c r="W33" s="2764"/>
      <c r="X33" s="2765"/>
      <c r="Y33" s="2766"/>
      <c r="Z33" s="2767"/>
      <c r="AA33" s="2768"/>
      <c r="AB33" s="2769"/>
      <c r="AC33" s="2770"/>
      <c r="AD33" s="2341"/>
    </row>
    <row r="34" spans="1:30" ht="17.1" customHeight="1">
      <c r="A34" s="2336"/>
      <c r="B34" s="2493"/>
      <c r="C34" s="957" t="s">
        <v>200</v>
      </c>
      <c r="D34" s="1653"/>
      <c r="E34" s="1654"/>
      <c r="F34" s="1655"/>
      <c r="G34" s="1656"/>
      <c r="H34" s="2771">
        <f aca="true" t="shared" si="0" ref="H34:H39">IF(G34="A",200,IF(G34="B",60,20))</f>
        <v>20</v>
      </c>
      <c r="I34" s="2772">
        <f aca="true" t="shared" si="1" ref="I34:I39">IF(F34&gt;100,F34,100)*$F$20/100</f>
        <v>506.119</v>
      </c>
      <c r="J34" s="1659"/>
      <c r="K34" s="1660"/>
      <c r="L34" s="2773" t="str">
        <f aca="true" t="shared" si="2" ref="L34:L39">IF(D34="","",(K34-J34)*24)</f>
        <v/>
      </c>
      <c r="M34" s="2640" t="str">
        <f aca="true" t="shared" si="3" ref="M34:M39">IF(D34="","",ROUND((K34-J34)*24*60,0))</f>
        <v/>
      </c>
      <c r="N34" s="1663"/>
      <c r="O34" s="2360" t="str">
        <f aca="true" t="shared" si="4" ref="O34:O39">IF(D34="","","--")</f>
        <v/>
      </c>
      <c r="P34" s="2774" t="str">
        <f aca="true" t="shared" si="5" ref="P34:P39">IF(D34="","","NO")</f>
        <v/>
      </c>
      <c r="Q34" s="2774" t="str">
        <f aca="true" t="shared" si="6" ref="Q34:Q39">IF(D34="","",IF(OR(N34="P",N34="RP"),"--","NO"))</f>
        <v/>
      </c>
      <c r="R34" s="2775" t="str">
        <f aca="true" t="shared" si="7" ref="R34:R39">IF(N34="P",+I34*H34*ROUND(M34/60,2)/100,"--")</f>
        <v>--</v>
      </c>
      <c r="S34" s="2776" t="str">
        <f aca="true" t="shared" si="8" ref="S34:S39">IF(N34="RP",I34*H34*ROUND(M34/60,2)*0.01*O34/100,"--")</f>
        <v>--</v>
      </c>
      <c r="T34" s="2777" t="str">
        <f aca="true" t="shared" si="9" ref="T34:T39">IF(AND(N34="F",Q34="NO"),IF(P34="SI",1.2,1)*I34*H34,"--")</f>
        <v>--</v>
      </c>
      <c r="U34" s="2778" t="str">
        <f aca="true" t="shared" si="10" ref="U34:U39">IF(AND(M34&gt;10,N34="F"),IF(M34&lt;=300,ROUND(M34/60,2),5)*I34*H34*IF(P34="SI",1.2,1),"--")</f>
        <v>--</v>
      </c>
      <c r="V34" s="2779" t="str">
        <f aca="true" t="shared" si="11" ref="V34:V39">IF(AND(N34="F",M34&gt;300),IF(P34="SI",1.2,1)*(ROUND(M34/60,2)-5)*I34*H34*0.1,"--")</f>
        <v>--</v>
      </c>
      <c r="W34" s="2780" t="str">
        <f aca="true" t="shared" si="12" ref="W34:W39">IF(AND(N34="R",Q34="NO"),IF(P34="SI",1.2,1)*I34*H34*O34/100,"--")</f>
        <v>--</v>
      </c>
      <c r="X34" s="2781" t="str">
        <f aca="true" t="shared" si="13" ref="X34:X39">IF(AND(M34&gt;10,N34="R"),IF(M34&lt;=300,ROUND(M34/60,2),5)*I34*H34*O34/100*IF(P34="SI",1.2,1),"--")</f>
        <v>--</v>
      </c>
      <c r="Y34" s="2782" t="str">
        <f aca="true" t="shared" si="14" ref="Y34:Y39">IF(AND(N34="R",M34&gt;300),IF(P34="SI",1.2,1)*(ROUND(M34/60,2)-5)*I34*H34*O34/100*0.1,"--")</f>
        <v>--</v>
      </c>
      <c r="Z34" s="2783" t="str">
        <f aca="true" t="shared" si="15" ref="Z34:Z39">IF(N34="RF",IF(P34="SI",1.2,1)*ROUND(M34/60,2)*I34*H34*0.1,"--")</f>
        <v>--</v>
      </c>
      <c r="AA34" s="2784" t="str">
        <f aca="true" t="shared" si="16" ref="AA34:AA39">IF(N34="RR",IF(P34="SI",1.2,1)*ROUND(M34/60,2)*I34*H34*O34/100*0.1,"--")</f>
        <v>--</v>
      </c>
      <c r="AB34" s="2785" t="str">
        <f aca="true" t="shared" si="17" ref="AB34:AB39">IF(D34="","","SI")</f>
        <v/>
      </c>
      <c r="AC34" s="2786" t="str">
        <f aca="true" t="shared" si="18" ref="AC34:AC39">IF(D34="","",SUM(R34:AA34)*IF(AB34="SI",1,2))</f>
        <v/>
      </c>
      <c r="AD34" s="2341"/>
    </row>
    <row r="35" spans="1:30" ht="17.1" customHeight="1">
      <c r="A35" s="2336"/>
      <c r="B35" s="2493"/>
      <c r="C35" s="957" t="s">
        <v>201</v>
      </c>
      <c r="D35" s="1653"/>
      <c r="E35" s="1654"/>
      <c r="F35" s="1655"/>
      <c r="G35" s="1656"/>
      <c r="H35" s="2771">
        <f t="shared" si="0"/>
        <v>20</v>
      </c>
      <c r="I35" s="2772">
        <f t="shared" si="1"/>
        <v>506.119</v>
      </c>
      <c r="J35" s="1659"/>
      <c r="K35" s="1660"/>
      <c r="L35" s="2773" t="str">
        <f t="shared" si="2"/>
        <v/>
      </c>
      <c r="M35" s="2640" t="str">
        <f t="shared" si="3"/>
        <v/>
      </c>
      <c r="N35" s="1663"/>
      <c r="O35" s="2360" t="str">
        <f t="shared" si="4"/>
        <v/>
      </c>
      <c r="P35" s="2774" t="str">
        <f t="shared" si="5"/>
        <v/>
      </c>
      <c r="Q35" s="2774" t="str">
        <f t="shared" si="6"/>
        <v/>
      </c>
      <c r="R35" s="2775" t="str">
        <f t="shared" si="7"/>
        <v>--</v>
      </c>
      <c r="S35" s="2776" t="str">
        <f t="shared" si="8"/>
        <v>--</v>
      </c>
      <c r="T35" s="2777" t="str">
        <f t="shared" si="9"/>
        <v>--</v>
      </c>
      <c r="U35" s="2778" t="str">
        <f t="shared" si="10"/>
        <v>--</v>
      </c>
      <c r="V35" s="2779" t="str">
        <f t="shared" si="11"/>
        <v>--</v>
      </c>
      <c r="W35" s="2780" t="str">
        <f t="shared" si="12"/>
        <v>--</v>
      </c>
      <c r="X35" s="2781" t="str">
        <f t="shared" si="13"/>
        <v>--</v>
      </c>
      <c r="Y35" s="2782" t="str">
        <f t="shared" si="14"/>
        <v>--</v>
      </c>
      <c r="Z35" s="2783" t="str">
        <f t="shared" si="15"/>
        <v>--</v>
      </c>
      <c r="AA35" s="2784" t="str">
        <f t="shared" si="16"/>
        <v>--</v>
      </c>
      <c r="AB35" s="2785" t="str">
        <f t="shared" si="17"/>
        <v/>
      </c>
      <c r="AC35" s="2786" t="str">
        <f t="shared" si="18"/>
        <v/>
      </c>
      <c r="AD35" s="2341"/>
    </row>
    <row r="36" spans="1:30" ht="17.1" customHeight="1">
      <c r="A36" s="2336"/>
      <c r="B36" s="2493"/>
      <c r="C36" s="1035" t="s">
        <v>202</v>
      </c>
      <c r="D36" s="2787"/>
      <c r="E36" s="2788"/>
      <c r="F36" s="2789"/>
      <c r="G36" s="2790"/>
      <c r="H36" s="2771">
        <f t="shared" si="0"/>
        <v>20</v>
      </c>
      <c r="I36" s="2772">
        <f t="shared" si="1"/>
        <v>506.119</v>
      </c>
      <c r="J36" s="2791"/>
      <c r="K36" s="2792"/>
      <c r="L36" s="2773" t="str">
        <f t="shared" si="2"/>
        <v/>
      </c>
      <c r="M36" s="2640" t="str">
        <f t="shared" si="3"/>
        <v/>
      </c>
      <c r="N36" s="2793"/>
      <c r="O36" s="2360" t="str">
        <f t="shared" si="4"/>
        <v/>
      </c>
      <c r="P36" s="2774" t="str">
        <f t="shared" si="5"/>
        <v/>
      </c>
      <c r="Q36" s="2774" t="str">
        <f t="shared" si="6"/>
        <v/>
      </c>
      <c r="R36" s="2775" t="str">
        <f t="shared" si="7"/>
        <v>--</v>
      </c>
      <c r="S36" s="2776" t="str">
        <f t="shared" si="8"/>
        <v>--</v>
      </c>
      <c r="T36" s="2777" t="str">
        <f t="shared" si="9"/>
        <v>--</v>
      </c>
      <c r="U36" s="2778" t="str">
        <f t="shared" si="10"/>
        <v>--</v>
      </c>
      <c r="V36" s="2779" t="str">
        <f t="shared" si="11"/>
        <v>--</v>
      </c>
      <c r="W36" s="2780" t="str">
        <f t="shared" si="12"/>
        <v>--</v>
      </c>
      <c r="X36" s="2781" t="str">
        <f t="shared" si="13"/>
        <v>--</v>
      </c>
      <c r="Y36" s="2782" t="str">
        <f t="shared" si="14"/>
        <v>--</v>
      </c>
      <c r="Z36" s="2783" t="str">
        <f t="shared" si="15"/>
        <v>--</v>
      </c>
      <c r="AA36" s="2784" t="str">
        <f t="shared" si="16"/>
        <v>--</v>
      </c>
      <c r="AB36" s="2785" t="str">
        <f t="shared" si="17"/>
        <v/>
      </c>
      <c r="AC36" s="2786" t="str">
        <f t="shared" si="18"/>
        <v/>
      </c>
      <c r="AD36" s="2341"/>
    </row>
    <row r="37" spans="1:30" ht="17.1" customHeight="1">
      <c r="A37" s="2336"/>
      <c r="B37" s="2493"/>
      <c r="C37" s="1035" t="s">
        <v>203</v>
      </c>
      <c r="D37" s="2787"/>
      <c r="E37" s="2788"/>
      <c r="F37" s="2789"/>
      <c r="G37" s="2790"/>
      <c r="H37" s="2771">
        <f t="shared" si="0"/>
        <v>20</v>
      </c>
      <c r="I37" s="2772">
        <f t="shared" si="1"/>
        <v>506.119</v>
      </c>
      <c r="J37" s="2791"/>
      <c r="K37" s="2792"/>
      <c r="L37" s="2773" t="str">
        <f t="shared" si="2"/>
        <v/>
      </c>
      <c r="M37" s="2640" t="str">
        <f t="shared" si="3"/>
        <v/>
      </c>
      <c r="N37" s="2793"/>
      <c r="O37" s="2360" t="str">
        <f t="shared" si="4"/>
        <v/>
      </c>
      <c r="P37" s="2774" t="str">
        <f t="shared" si="5"/>
        <v/>
      </c>
      <c r="Q37" s="2774" t="str">
        <f t="shared" si="6"/>
        <v/>
      </c>
      <c r="R37" s="2775" t="str">
        <f t="shared" si="7"/>
        <v>--</v>
      </c>
      <c r="S37" s="2776" t="str">
        <f t="shared" si="8"/>
        <v>--</v>
      </c>
      <c r="T37" s="2777" t="str">
        <f t="shared" si="9"/>
        <v>--</v>
      </c>
      <c r="U37" s="2778" t="str">
        <f t="shared" si="10"/>
        <v>--</v>
      </c>
      <c r="V37" s="2779" t="str">
        <f t="shared" si="11"/>
        <v>--</v>
      </c>
      <c r="W37" s="2780" t="str">
        <f t="shared" si="12"/>
        <v>--</v>
      </c>
      <c r="X37" s="2781" t="str">
        <f t="shared" si="13"/>
        <v>--</v>
      </c>
      <c r="Y37" s="2782" t="str">
        <f t="shared" si="14"/>
        <v>--</v>
      </c>
      <c r="Z37" s="2783" t="str">
        <f t="shared" si="15"/>
        <v>--</v>
      </c>
      <c r="AA37" s="2784" t="str">
        <f t="shared" si="16"/>
        <v>--</v>
      </c>
      <c r="AB37" s="2785" t="str">
        <f t="shared" si="17"/>
        <v/>
      </c>
      <c r="AC37" s="2786" t="str">
        <f t="shared" si="18"/>
        <v/>
      </c>
      <c r="AD37" s="2341"/>
    </row>
    <row r="38" spans="1:30" ht="17.1" customHeight="1">
      <c r="A38" s="2511"/>
      <c r="B38" s="2493"/>
      <c r="C38" s="2794" t="s">
        <v>204</v>
      </c>
      <c r="D38" s="2787"/>
      <c r="E38" s="2788"/>
      <c r="F38" s="2789"/>
      <c r="G38" s="2790"/>
      <c r="H38" s="2771">
        <f t="shared" si="0"/>
        <v>20</v>
      </c>
      <c r="I38" s="2772">
        <f t="shared" si="1"/>
        <v>506.119</v>
      </c>
      <c r="J38" s="2791"/>
      <c r="K38" s="2792"/>
      <c r="L38" s="2773" t="str">
        <f t="shared" si="2"/>
        <v/>
      </c>
      <c r="M38" s="2640" t="str">
        <f t="shared" si="3"/>
        <v/>
      </c>
      <c r="N38" s="2795"/>
      <c r="O38" s="2360" t="str">
        <f t="shared" si="4"/>
        <v/>
      </c>
      <c r="P38" s="2774" t="str">
        <f t="shared" si="5"/>
        <v/>
      </c>
      <c r="Q38" s="2774" t="str">
        <f t="shared" si="6"/>
        <v/>
      </c>
      <c r="R38" s="2775" t="str">
        <f t="shared" si="7"/>
        <v>--</v>
      </c>
      <c r="S38" s="2776" t="str">
        <f t="shared" si="8"/>
        <v>--</v>
      </c>
      <c r="T38" s="2777" t="str">
        <f t="shared" si="9"/>
        <v>--</v>
      </c>
      <c r="U38" s="2778" t="str">
        <f t="shared" si="10"/>
        <v>--</v>
      </c>
      <c r="V38" s="2779" t="str">
        <f t="shared" si="11"/>
        <v>--</v>
      </c>
      <c r="W38" s="2780" t="str">
        <f t="shared" si="12"/>
        <v>--</v>
      </c>
      <c r="X38" s="2781" t="str">
        <f t="shared" si="13"/>
        <v>--</v>
      </c>
      <c r="Y38" s="2782" t="str">
        <f t="shared" si="14"/>
        <v>--</v>
      </c>
      <c r="Z38" s="2783" t="str">
        <f t="shared" si="15"/>
        <v>--</v>
      </c>
      <c r="AA38" s="2784" t="str">
        <f t="shared" si="16"/>
        <v>--</v>
      </c>
      <c r="AB38" s="2785" t="str">
        <f t="shared" si="17"/>
        <v/>
      </c>
      <c r="AC38" s="2786" t="str">
        <f t="shared" si="18"/>
        <v/>
      </c>
      <c r="AD38" s="2554"/>
    </row>
    <row r="39" spans="1:30" ht="16.5" thickBot="1">
      <c r="A39" s="2511"/>
      <c r="B39" s="2493"/>
      <c r="C39" s="2796" t="s">
        <v>205</v>
      </c>
      <c r="D39" s="2797"/>
      <c r="E39" s="2798"/>
      <c r="F39" s="2799"/>
      <c r="G39" s="2798"/>
      <c r="H39" s="2800">
        <f t="shared" si="0"/>
        <v>20</v>
      </c>
      <c r="I39" s="2772">
        <f t="shared" si="1"/>
        <v>506.119</v>
      </c>
      <c r="J39" s="2801"/>
      <c r="K39" s="2801"/>
      <c r="L39" s="2802" t="str">
        <f t="shared" si="2"/>
        <v/>
      </c>
      <c r="M39" s="2651" t="str">
        <f t="shared" si="3"/>
        <v/>
      </c>
      <c r="N39" s="1508"/>
      <c r="O39" s="2803" t="str">
        <f t="shared" si="4"/>
        <v/>
      </c>
      <c r="P39" s="2804" t="str">
        <f t="shared" si="5"/>
        <v/>
      </c>
      <c r="Q39" s="2804" t="str">
        <f t="shared" si="6"/>
        <v/>
      </c>
      <c r="R39" s="2805" t="str">
        <f t="shared" si="7"/>
        <v>--</v>
      </c>
      <c r="S39" s="2806" t="str">
        <f t="shared" si="8"/>
        <v>--</v>
      </c>
      <c r="T39" s="2807" t="str">
        <f t="shared" si="9"/>
        <v>--</v>
      </c>
      <c r="U39" s="2808" t="str">
        <f t="shared" si="10"/>
        <v>--</v>
      </c>
      <c r="V39" s="2809" t="str">
        <f t="shared" si="11"/>
        <v>--</v>
      </c>
      <c r="W39" s="2810" t="str">
        <f t="shared" si="12"/>
        <v>--</v>
      </c>
      <c r="X39" s="2811" t="str">
        <f t="shared" si="13"/>
        <v>--</v>
      </c>
      <c r="Y39" s="2812" t="str">
        <f t="shared" si="14"/>
        <v>--</v>
      </c>
      <c r="Z39" s="2813" t="str">
        <f t="shared" si="15"/>
        <v>--</v>
      </c>
      <c r="AA39" s="2814" t="str">
        <f t="shared" si="16"/>
        <v>--</v>
      </c>
      <c r="AB39" s="2815" t="str">
        <f t="shared" si="17"/>
        <v/>
      </c>
      <c r="AC39" s="2816" t="str">
        <f t="shared" si="18"/>
        <v/>
      </c>
      <c r="AD39" s="2554"/>
    </row>
    <row r="40" spans="1:30" ht="17.25" thickBot="1" thickTop="1">
      <c r="A40" s="2511"/>
      <c r="B40" s="2493"/>
      <c r="C40" s="2543"/>
      <c r="D40" s="1407"/>
      <c r="E40" s="2817"/>
      <c r="F40" s="1529"/>
      <c r="G40" s="2817"/>
      <c r="H40" s="2818" t="s">
        <v>16</v>
      </c>
      <c r="I40" s="2819"/>
      <c r="J40" s="2549"/>
      <c r="K40" s="2549"/>
      <c r="L40" s="2549"/>
      <c r="M40" s="2549"/>
      <c r="N40" s="2549"/>
      <c r="O40" s="2550"/>
      <c r="P40" s="2549"/>
      <c r="Q40" s="2549"/>
      <c r="R40" s="2820">
        <f aca="true" t="shared" si="19" ref="R40:AA40">SUM(R33:R39)</f>
        <v>0</v>
      </c>
      <c r="S40" s="2821">
        <f t="shared" si="19"/>
        <v>0</v>
      </c>
      <c r="T40" s="2822">
        <f t="shared" si="19"/>
        <v>0</v>
      </c>
      <c r="U40" s="2822">
        <f t="shared" si="19"/>
        <v>0</v>
      </c>
      <c r="V40" s="2822">
        <f t="shared" si="19"/>
        <v>0</v>
      </c>
      <c r="W40" s="2823">
        <f t="shared" si="19"/>
        <v>0</v>
      </c>
      <c r="X40" s="2823">
        <f t="shared" si="19"/>
        <v>0</v>
      </c>
      <c r="Y40" s="2823">
        <f t="shared" si="19"/>
        <v>0</v>
      </c>
      <c r="Z40" s="2824">
        <f t="shared" si="19"/>
        <v>0</v>
      </c>
      <c r="AA40" s="2825">
        <f t="shared" si="19"/>
        <v>0</v>
      </c>
      <c r="AB40" s="2826"/>
      <c r="AC40" s="2827">
        <f>SUM(AC33:AC39)</f>
        <v>0</v>
      </c>
      <c r="AD40" s="2554"/>
    </row>
    <row r="41" spans="1:33" s="2336" customFormat="1" ht="17.25" thickBot="1" thickTop="1">
      <c r="A41" s="2335"/>
      <c r="B41" s="2340"/>
      <c r="C41" s="2828"/>
      <c r="D41" s="2680"/>
      <c r="E41" s="2346"/>
      <c r="F41" s="2346"/>
      <c r="G41" s="2829"/>
      <c r="H41" s="2830"/>
      <c r="I41" s="2830"/>
      <c r="J41" s="2831"/>
      <c r="K41" s="2346"/>
      <c r="L41" s="2549"/>
      <c r="M41" s="2549"/>
      <c r="N41" s="2549"/>
      <c r="O41" s="2550"/>
      <c r="P41" s="2549"/>
      <c r="Q41" s="2549"/>
      <c r="R41" s="2832"/>
      <c r="S41" s="2833"/>
      <c r="T41" s="2834"/>
      <c r="U41" s="2834"/>
      <c r="V41" s="2834"/>
      <c r="W41" s="2832"/>
      <c r="X41" s="2832"/>
      <c r="Y41" s="2832"/>
      <c r="Z41" s="2832"/>
      <c r="AA41" s="2832"/>
      <c r="AB41" s="2699"/>
      <c r="AC41" s="2698"/>
      <c r="AD41" s="2341"/>
      <c r="AF41" s="2346"/>
      <c r="AG41" s="2346"/>
    </row>
    <row r="42" spans="1:30" ht="33.95" customHeight="1" thickBot="1" thickTop="1">
      <c r="A42" s="2336"/>
      <c r="B42" s="2493"/>
      <c r="C42" s="2348" t="s">
        <v>13</v>
      </c>
      <c r="D42" s="2350" t="s">
        <v>27</v>
      </c>
      <c r="E42" s="2351" t="s">
        <v>28</v>
      </c>
      <c r="F42" s="3592" t="s">
        <v>29</v>
      </c>
      <c r="G42" s="3591"/>
      <c r="H42" s="2570">
        <f>F44*$F$23</f>
        <v>0</v>
      </c>
      <c r="I42" s="2835"/>
      <c r="J42" s="2351" t="s">
        <v>17</v>
      </c>
      <c r="K42" s="2351" t="s">
        <v>18</v>
      </c>
      <c r="L42" s="2350" t="s">
        <v>30</v>
      </c>
      <c r="M42" s="2350" t="s">
        <v>31</v>
      </c>
      <c r="N42" s="2355" t="s">
        <v>102</v>
      </c>
      <c r="O42" s="2351" t="s">
        <v>32</v>
      </c>
      <c r="P42" s="3593" t="s">
        <v>232</v>
      </c>
      <c r="Q42" s="3594"/>
      <c r="R42" s="2354" t="s">
        <v>34</v>
      </c>
      <c r="S42" s="2556" t="s">
        <v>20</v>
      </c>
      <c r="T42" s="2557" t="s">
        <v>103</v>
      </c>
      <c r="U42" s="2558"/>
      <c r="V42" s="2559" t="s">
        <v>22</v>
      </c>
      <c r="W42" s="2836" t="s">
        <v>233</v>
      </c>
      <c r="X42" s="2837"/>
      <c r="Y42" s="2837"/>
      <c r="Z42" s="2837"/>
      <c r="AA42" s="2838"/>
      <c r="AB42" s="2359" t="s">
        <v>74</v>
      </c>
      <c r="AC42" s="2353" t="s">
        <v>24</v>
      </c>
      <c r="AD42" s="2341"/>
    </row>
    <row r="43" spans="1:30" ht="15.75" thickTop="1">
      <c r="A43" s="2336"/>
      <c r="B43" s="2493"/>
      <c r="C43" s="2364"/>
      <c r="D43" s="2364"/>
      <c r="E43" s="2364"/>
      <c r="F43" s="2839"/>
      <c r="G43" s="2840"/>
      <c r="H43" s="2570">
        <f>F45*$F$23</f>
        <v>0</v>
      </c>
      <c r="I43" s="2835"/>
      <c r="J43" s="2364"/>
      <c r="K43" s="2364"/>
      <c r="L43" s="2364"/>
      <c r="M43" s="2364"/>
      <c r="N43" s="2364"/>
      <c r="O43" s="2562"/>
      <c r="P43" s="3595"/>
      <c r="Q43" s="3596"/>
      <c r="R43" s="2841"/>
      <c r="S43" s="2841"/>
      <c r="T43" s="2841"/>
      <c r="U43" s="2841"/>
      <c r="V43" s="2841"/>
      <c r="W43" s="2841"/>
      <c r="X43" s="2841"/>
      <c r="Y43" s="2841"/>
      <c r="Z43" s="2841"/>
      <c r="AA43" s="2842"/>
      <c r="AB43" s="2562"/>
      <c r="AC43" s="2569"/>
      <c r="AD43" s="2554"/>
    </row>
    <row r="44" spans="1:30" ht="15">
      <c r="A44" s="2336"/>
      <c r="B44" s="2493"/>
      <c r="C44" s="957" t="s">
        <v>200</v>
      </c>
      <c r="D44" s="2843"/>
      <c r="E44" s="2844"/>
      <c r="F44" s="2845"/>
      <c r="G44" s="2846"/>
      <c r="H44" s="2570">
        <f>F46*$F$23</f>
        <v>0</v>
      </c>
      <c r="I44" s="2835"/>
      <c r="J44" s="2847"/>
      <c r="K44" s="2848"/>
      <c r="L44" s="2572" t="str">
        <f>IF(D44="","",(K44-J44)*24)</f>
        <v/>
      </c>
      <c r="M44" s="2573" t="str">
        <f>IF(D44="","",(K44-J44)*24*60)</f>
        <v/>
      </c>
      <c r="N44" s="2849"/>
      <c r="O44" s="2575" t="str">
        <f>IF(D44="","",IF(N44="P","--","NO"))</f>
        <v/>
      </c>
      <c r="P44" s="3588" t="str">
        <f>IF(D44="","","--")</f>
        <v/>
      </c>
      <c r="Q44" s="3589"/>
      <c r="R44" s="2850">
        <f>IF(OR(N44="P",N44="RP"),20/10,20)</f>
        <v>20</v>
      </c>
      <c r="S44" s="2578" t="str">
        <f>IF(N44="P",H42*R44*ROUND(M44/60,2),"--")</f>
        <v>--</v>
      </c>
      <c r="T44" s="2579" t="str">
        <f>IF(AND(N44="F",O44="NO"),H42*R44,"--")</f>
        <v>--</v>
      </c>
      <c r="U44" s="2580" t="str">
        <f>IF(N44="F",H42*R44*ROUND(M44/60,2),"--")</f>
        <v>--</v>
      </c>
      <c r="V44" s="2581" t="str">
        <f>IF(N44="RF",H42*R44*ROUND(M44/60,2),"--")</f>
        <v>--</v>
      </c>
      <c r="W44" s="2851" t="str">
        <f>IF(N44="RP",H42*R44*P44/100*ROUND(M44/60,2),"--")</f>
        <v>--</v>
      </c>
      <c r="X44" s="2852"/>
      <c r="Y44" s="2852"/>
      <c r="Z44" s="2852"/>
      <c r="AA44" s="2853"/>
      <c r="AB44" s="2582" t="str">
        <f>IF(D44="","","SI")</f>
        <v/>
      </c>
      <c r="AC44" s="2583" t="str">
        <f>IF(D44="","",SUM(S44:W44)*IF(AB44="SI",1,2)*IF(AND(P44&lt;&gt;"--",N44="RF"),P44/100,1))</f>
        <v/>
      </c>
      <c r="AD44" s="2554"/>
    </row>
    <row r="45" spans="1:30" ht="15">
      <c r="A45" s="2336"/>
      <c r="B45" s="2493"/>
      <c r="C45" s="957" t="s">
        <v>201</v>
      </c>
      <c r="D45" s="2843"/>
      <c r="E45" s="2844"/>
      <c r="F45" s="2845"/>
      <c r="G45" s="2846"/>
      <c r="H45" s="2570">
        <f>F47*$F$23</f>
        <v>0</v>
      </c>
      <c r="I45" s="2835"/>
      <c r="J45" s="2854"/>
      <c r="K45" s="2584"/>
      <c r="L45" s="2572" t="str">
        <f>IF(D45="","",(K45-J45)*24)</f>
        <v/>
      </c>
      <c r="M45" s="2573" t="str">
        <f>IF(D45="","",(K45-J45)*24*60)</f>
        <v/>
      </c>
      <c r="N45" s="2849"/>
      <c r="O45" s="2575" t="str">
        <f>IF(D45="","",IF(N45="P","--","NO"))</f>
        <v/>
      </c>
      <c r="P45" s="3588" t="str">
        <f>IF(D45="","","--")</f>
        <v/>
      </c>
      <c r="Q45" s="3589"/>
      <c r="R45" s="2850">
        <f>IF(OR(N45="P",N45="RP"),20/10,20)</f>
        <v>20</v>
      </c>
      <c r="S45" s="2578" t="str">
        <f>IF(N45="P",H43*R45*ROUND(M45/60,2),"--")</f>
        <v>--</v>
      </c>
      <c r="T45" s="2579" t="str">
        <f>IF(AND(N45="F",O45="NO"),H43*R45,"--")</f>
        <v>--</v>
      </c>
      <c r="U45" s="2580" t="str">
        <f>IF(N45="F",H43*R45*ROUND(M45/60,2),"--")</f>
        <v>--</v>
      </c>
      <c r="V45" s="2581" t="str">
        <f>IF(N45="RF",H43*R45*ROUND(M45/60,2),"--")</f>
        <v>--</v>
      </c>
      <c r="W45" s="2851" t="str">
        <f>IF(N45="RP",H43*R45*P45/100*ROUND(M45/60,2),"--")</f>
        <v>--</v>
      </c>
      <c r="X45" s="2852"/>
      <c r="Y45" s="2852"/>
      <c r="Z45" s="2852"/>
      <c r="AA45" s="2853"/>
      <c r="AB45" s="2582" t="str">
        <f>IF(D45="","","SI")</f>
        <v/>
      </c>
      <c r="AC45" s="2583" t="str">
        <f>IF(D45="","",SUM(S45:W45)*IF(AB45="SI",1,2)*IF(AND(P45&lt;&gt;"--",N45="RF"),P45/100,1))</f>
        <v/>
      </c>
      <c r="AD45" s="2554"/>
    </row>
    <row r="46" spans="1:30" ht="15.75" thickBot="1">
      <c r="A46" s="2336"/>
      <c r="B46" s="2493"/>
      <c r="C46" s="957" t="s">
        <v>202</v>
      </c>
      <c r="D46" s="2843"/>
      <c r="E46" s="2844"/>
      <c r="F46" s="2845"/>
      <c r="G46" s="2846"/>
      <c r="H46" s="2855"/>
      <c r="I46" s="2855"/>
      <c r="J46" s="2854"/>
      <c r="K46" s="2584"/>
      <c r="L46" s="2572" t="str">
        <f>IF(D46="","",(K46-J46)*24)</f>
        <v/>
      </c>
      <c r="M46" s="2573" t="str">
        <f>IF(D46="","",(K46-J46)*24*60)</f>
        <v/>
      </c>
      <c r="N46" s="2849"/>
      <c r="O46" s="2575" t="str">
        <f>IF(D46="","",IF(N46="P","--","NO"))</f>
        <v/>
      </c>
      <c r="P46" s="3588" t="str">
        <f>IF(D46="","","--")</f>
        <v/>
      </c>
      <c r="Q46" s="3589"/>
      <c r="R46" s="2850">
        <f>IF(OR(N46="P",N46="RP"),20/10,20)</f>
        <v>20</v>
      </c>
      <c r="S46" s="2578" t="str">
        <f>IF(N46="P",H44*R46*ROUND(M46/60,2),"--")</f>
        <v>--</v>
      </c>
      <c r="T46" s="2579" t="str">
        <f>IF(AND(N46="F",O46="NO"),H44*R46,"--")</f>
        <v>--</v>
      </c>
      <c r="U46" s="2580" t="str">
        <f>IF(N46="F",H44*R46*ROUND(M46/60,2),"--")</f>
        <v>--</v>
      </c>
      <c r="V46" s="2581" t="str">
        <f>IF(N46="RF",H44*R46*ROUND(M46/60,2),"--")</f>
        <v>--</v>
      </c>
      <c r="W46" s="2851" t="str">
        <f>IF(N46="RP",H44*R46*P46/100*ROUND(M46/60,2),"--")</f>
        <v>--</v>
      </c>
      <c r="X46" s="2852"/>
      <c r="Y46" s="2852"/>
      <c r="Z46" s="2852"/>
      <c r="AA46" s="2853"/>
      <c r="AB46" s="2582" t="str">
        <f>IF(D46="","","SI")</f>
        <v/>
      </c>
      <c r="AC46" s="2583" t="str">
        <f>IF(D46="","",SUM(S46:W46)*IF(AB46="SI",1,2)*IF(AND(P46&lt;&gt;"--",N46="RF"),P46/100,1))</f>
        <v/>
      </c>
      <c r="AD46" s="2554"/>
    </row>
    <row r="47" spans="1:30" ht="16.5" thickTop="1">
      <c r="A47" s="2511"/>
      <c r="B47" s="2493"/>
      <c r="C47" s="957" t="s">
        <v>203</v>
      </c>
      <c r="D47" s="2843"/>
      <c r="E47" s="2844"/>
      <c r="F47" s="2845"/>
      <c r="G47" s="2846"/>
      <c r="H47" s="2606"/>
      <c r="I47" s="2607"/>
      <c r="J47" s="2854"/>
      <c r="K47" s="2584"/>
      <c r="L47" s="2572" t="str">
        <f>IF(D47="","",(K47-J47)*24)</f>
        <v/>
      </c>
      <c r="M47" s="2573" t="str">
        <f>IF(D47="","",(K47-J47)*24*60)</f>
        <v/>
      </c>
      <c r="N47" s="2849"/>
      <c r="O47" s="2575" t="str">
        <f>IF(D47="","",IF(N47="P","--","NO"))</f>
        <v/>
      </c>
      <c r="P47" s="3588" t="str">
        <f>IF(D47="","","--")</f>
        <v/>
      </c>
      <c r="Q47" s="3589"/>
      <c r="R47" s="2850">
        <f>IF(OR(N47="P",N47="RP"),20/10,20)</f>
        <v>20</v>
      </c>
      <c r="S47" s="2578" t="str">
        <f>IF(N47="P",H45*R47*ROUND(M47/60,2),"--")</f>
        <v>--</v>
      </c>
      <c r="T47" s="2579" t="str">
        <f>IF(AND(N47="F",O47="NO"),H45*R47,"--")</f>
        <v>--</v>
      </c>
      <c r="U47" s="2580" t="str">
        <f>IF(N47="F",H45*R47*ROUND(M47/60,2),"--")</f>
        <v>--</v>
      </c>
      <c r="V47" s="2581" t="str">
        <f>IF(N47="RF",H45*R47*ROUND(M47/60,2),"--")</f>
        <v>--</v>
      </c>
      <c r="W47" s="2851" t="str">
        <f>IF(N47="RP",H45*R47*P47/100*ROUND(M47/60,2),"--")</f>
        <v>--</v>
      </c>
      <c r="X47" s="2852"/>
      <c r="Y47" s="2852"/>
      <c r="Z47" s="2852"/>
      <c r="AA47" s="2853"/>
      <c r="AB47" s="2582" t="str">
        <f>IF(D47="","","SI")</f>
        <v/>
      </c>
      <c r="AC47" s="2583" t="str">
        <f>IF(D47="","",SUM(S47:W47)*IF(AB47="SI",1,2)*IF(AND(P47&lt;&gt;"--",N47="RF"),P47/100,1))</f>
        <v/>
      </c>
      <c r="AD47" s="2554"/>
    </row>
    <row r="48" spans="1:30" ht="16.5" thickBot="1">
      <c r="A48" s="2511"/>
      <c r="B48" s="2493"/>
      <c r="C48" s="2585"/>
      <c r="D48" s="2586"/>
      <c r="E48" s="2856"/>
      <c r="F48" s="2857"/>
      <c r="G48" s="2858"/>
      <c r="H48" s="2347"/>
      <c r="I48" s="2345"/>
      <c r="J48" s="2590"/>
      <c r="K48" s="2591"/>
      <c r="L48" s="2592"/>
      <c r="M48" s="2593"/>
      <c r="N48" s="2594"/>
      <c r="O48" s="2595"/>
      <c r="P48" s="3573"/>
      <c r="Q48" s="3574"/>
      <c r="R48" s="2859"/>
      <c r="S48" s="2859"/>
      <c r="T48" s="2859"/>
      <c r="U48" s="2859"/>
      <c r="V48" s="2859"/>
      <c r="W48" s="2859"/>
      <c r="X48" s="2859"/>
      <c r="Y48" s="2859"/>
      <c r="Z48" s="2859"/>
      <c r="AA48" s="2860"/>
      <c r="AB48" s="2602"/>
      <c r="AC48" s="2603"/>
      <c r="AD48" s="2554"/>
    </row>
    <row r="49" spans="1:30" ht="17.25" thickBot="1" thickTop="1">
      <c r="A49" s="2511"/>
      <c r="B49" s="2493"/>
      <c r="C49" s="2345"/>
      <c r="D49" s="2546"/>
      <c r="E49" s="2546"/>
      <c r="F49" s="2604"/>
      <c r="G49" s="2605"/>
      <c r="H49" s="2354" t="s">
        <v>16</v>
      </c>
      <c r="I49" s="2861"/>
      <c r="J49" s="2608"/>
      <c r="K49" s="2609"/>
      <c r="L49" s="2610"/>
      <c r="M49" s="2606"/>
      <c r="N49" s="2611"/>
      <c r="O49" s="2612"/>
      <c r="P49" s="2613"/>
      <c r="Q49" s="2862"/>
      <c r="R49" s="2863"/>
      <c r="S49" s="2863"/>
      <c r="T49" s="2863"/>
      <c r="U49" s="2864"/>
      <c r="V49" s="2864"/>
      <c r="W49" s="2864"/>
      <c r="X49" s="2864"/>
      <c r="Y49" s="2864"/>
      <c r="Z49" s="2864"/>
      <c r="AA49" s="2864"/>
      <c r="AB49" s="2864"/>
      <c r="AC49" s="2617">
        <f>SUM(AC43:AC48)</f>
        <v>0</v>
      </c>
      <c r="AD49" s="2554"/>
    </row>
    <row r="50" spans="1:33" s="2336" customFormat="1" ht="31.5" customHeight="1" thickBot="1" thickTop="1">
      <c r="A50" s="2335"/>
      <c r="B50" s="2340"/>
      <c r="C50" s="2345"/>
      <c r="D50" s="2347"/>
      <c r="E50" s="2345"/>
      <c r="F50" s="2347"/>
      <c r="G50" s="2345"/>
      <c r="H50" s="2830"/>
      <c r="I50" s="2830"/>
      <c r="J50" s="2347"/>
      <c r="K50" s="2345"/>
      <c r="L50" s="2347"/>
      <c r="M50" s="2345"/>
      <c r="N50" s="2347"/>
      <c r="O50" s="2345"/>
      <c r="P50" s="2347"/>
      <c r="Q50" s="2345"/>
      <c r="R50" s="2347"/>
      <c r="S50" s="2345"/>
      <c r="T50" s="2347"/>
      <c r="U50" s="2345"/>
      <c r="V50" s="2347"/>
      <c r="W50" s="2345"/>
      <c r="X50" s="2347"/>
      <c r="Y50" s="2345"/>
      <c r="Z50" s="2347"/>
      <c r="AA50" s="2345"/>
      <c r="AB50" s="2347"/>
      <c r="AC50" s="2345"/>
      <c r="AD50" s="2341"/>
      <c r="AF50" s="2346"/>
      <c r="AG50" s="2346"/>
    </row>
    <row r="51" spans="1:30" ht="33.95" customHeight="1" thickBot="1" thickTop="1">
      <c r="A51" s="2336"/>
      <c r="B51" s="2493"/>
      <c r="C51" s="2348" t="s">
        <v>13</v>
      </c>
      <c r="D51" s="2350" t="s">
        <v>27</v>
      </c>
      <c r="E51" s="2621" t="s">
        <v>28</v>
      </c>
      <c r="F51" s="3590" t="s">
        <v>241</v>
      </c>
      <c r="G51" s="3591"/>
      <c r="H51" s="2865">
        <f aca="true" t="shared" si="20" ref="H51:H56">F53*$F$22</f>
        <v>111.28</v>
      </c>
      <c r="I51" s="2861"/>
      <c r="J51" s="2621" t="s">
        <v>17</v>
      </c>
      <c r="K51" s="2621" t="s">
        <v>18</v>
      </c>
      <c r="L51" s="2620" t="s">
        <v>36</v>
      </c>
      <c r="M51" s="2620" t="s">
        <v>31</v>
      </c>
      <c r="N51" s="2355" t="s">
        <v>19</v>
      </c>
      <c r="O51" s="2355" t="s">
        <v>58</v>
      </c>
      <c r="P51" s="3579" t="s">
        <v>32</v>
      </c>
      <c r="Q51" s="3581"/>
      <c r="R51" s="2866" t="s">
        <v>37</v>
      </c>
      <c r="S51" s="2867" t="s">
        <v>70</v>
      </c>
      <c r="T51" s="2868" t="s">
        <v>237</v>
      </c>
      <c r="U51" s="2869"/>
      <c r="V51" s="2357" t="s">
        <v>238</v>
      </c>
      <c r="W51" s="2358"/>
      <c r="X51" s="2870" t="s">
        <v>22</v>
      </c>
      <c r="Y51" s="2356" t="s">
        <v>21</v>
      </c>
      <c r="Z51" s="2861"/>
      <c r="AA51" s="2861"/>
      <c r="AB51" s="2359" t="s">
        <v>74</v>
      </c>
      <c r="AC51" s="2871" t="s">
        <v>24</v>
      </c>
      <c r="AD51" s="2341"/>
    </row>
    <row r="52" spans="1:30" ht="15.75" thickTop="1">
      <c r="A52" s="2336"/>
      <c r="B52" s="2493"/>
      <c r="C52" s="2364"/>
      <c r="D52" s="2364"/>
      <c r="E52" s="2364"/>
      <c r="F52" s="2839"/>
      <c r="G52" s="2840"/>
      <c r="H52" s="2865">
        <f t="shared" si="20"/>
        <v>111.28</v>
      </c>
      <c r="I52" s="2861"/>
      <c r="J52" s="2364"/>
      <c r="K52" s="2364"/>
      <c r="L52" s="2364"/>
      <c r="M52" s="2364"/>
      <c r="N52" s="2872"/>
      <c r="O52" s="2360" t="str">
        <f aca="true" t="shared" si="21" ref="O52:O57">IF(D52="","","--")</f>
        <v/>
      </c>
      <c r="P52" s="2873"/>
      <c r="Q52" s="2874"/>
      <c r="R52" s="2841"/>
      <c r="S52" s="2841"/>
      <c r="T52" s="2841"/>
      <c r="U52" s="2841"/>
      <c r="V52" s="2841"/>
      <c r="W52" s="2841"/>
      <c r="X52" s="2841"/>
      <c r="Y52" s="2841"/>
      <c r="Z52" s="2841"/>
      <c r="AA52" s="2842"/>
      <c r="AB52" s="2582" t="str">
        <f aca="true" t="shared" si="22" ref="AB52:AB57">IF(D52="","","SI")</f>
        <v/>
      </c>
      <c r="AC52" s="2569"/>
      <c r="AD52" s="2554"/>
    </row>
    <row r="53" spans="2:30" s="2511" customFormat="1" ht="17.1" customHeight="1">
      <c r="B53" s="2512"/>
      <c r="C53" s="957" t="s">
        <v>200</v>
      </c>
      <c r="D53" s="424" t="s">
        <v>372</v>
      </c>
      <c r="E53" s="362" t="s">
        <v>404</v>
      </c>
      <c r="F53" s="3587">
        <v>80</v>
      </c>
      <c r="G53" s="3491"/>
      <c r="H53" s="2865">
        <f t="shared" si="20"/>
        <v>0</v>
      </c>
      <c r="I53" s="2861"/>
      <c r="J53" s="364">
        <v>42370</v>
      </c>
      <c r="K53" s="181">
        <v>42400.99998842592</v>
      </c>
      <c r="L53" s="2639">
        <f aca="true" t="shared" si="23" ref="L53:L58">IF(D53="","",(K53-J53)*24)</f>
        <v>743.9997222221573</v>
      </c>
      <c r="M53" s="2640">
        <f aca="true" t="shared" si="24" ref="M53:M58">IF(D53="","",ROUND((K53-J53)*24*60,0))</f>
        <v>44640</v>
      </c>
      <c r="N53" s="2099" t="s">
        <v>304</v>
      </c>
      <c r="O53" s="2360" t="str">
        <f t="shared" si="21"/>
        <v>--</v>
      </c>
      <c r="P53" s="3577" t="str">
        <f aca="true" t="shared" si="25" ref="P53:P58">IF(D53="","",IF(OR(N53="P",N53="RP"),"--","NO"))</f>
        <v>--</v>
      </c>
      <c r="Q53" s="3578"/>
      <c r="R53" s="2875">
        <f aca="true" t="shared" si="26" ref="R53:R58">IF(OR(N53="P",N53="RP"),$F$23/10,$F$23)</f>
        <v>2</v>
      </c>
      <c r="S53" s="2876">
        <f aca="true" t="shared" si="27" ref="S53:S58">IF(N53="P",H51*R53*ROUND(M53/60,2),"--")</f>
        <v>165584.64</v>
      </c>
      <c r="T53" s="2877" t="str">
        <f aca="true" t="shared" si="28" ref="T53:T58">IF(AND(N53="F",P53="NO"),H51*R53,"--")</f>
        <v>--</v>
      </c>
      <c r="U53" s="2878" t="str">
        <f aca="true" t="shared" si="29" ref="U53:U58">IF(N53="F",H51*R53*ROUND(M53/60,2),"--")</f>
        <v>--</v>
      </c>
      <c r="V53" s="2362" t="str">
        <f aca="true" t="shared" si="30" ref="V53:V58">IF(AND(N53="R",P53="NO"),H51*R53*O53/100,"--")</f>
        <v>--</v>
      </c>
      <c r="W53" s="2363" t="str">
        <f aca="true" t="shared" si="31" ref="W53:W58">IF(N53="R",H51*R53*O53/100*ROUND(M53/60,2),"--")</f>
        <v>--</v>
      </c>
      <c r="X53" s="2879" t="str">
        <f aca="true" t="shared" si="32" ref="X53:X58">IF(N53="RF",H51*R53*ROUND(M53/60,2),"--")</f>
        <v>--</v>
      </c>
      <c r="Y53" s="2361" t="str">
        <f aca="true" t="shared" si="33" ref="Y53:Y58">IF(N53="RP",H51*R53*O53/100*ROUND(M53/60,2),"--")</f>
        <v>--</v>
      </c>
      <c r="Z53" s="2861"/>
      <c r="AA53" s="2861"/>
      <c r="AB53" s="2774" t="str">
        <f t="shared" si="22"/>
        <v>SI</v>
      </c>
      <c r="AC53" s="2644">
        <f aca="true" t="shared" si="34" ref="AC53:AC58">IF(D53="","",SUM(S53:Y53)*IF(AB53="SI",1,2)*IF(AND(O53&lt;&gt;"--",N53="RF"),O53/100,1))</f>
        <v>165584.64</v>
      </c>
      <c r="AD53" s="2669"/>
    </row>
    <row r="54" spans="1:30" ht="15">
      <c r="A54" s="2336"/>
      <c r="B54" s="2493"/>
      <c r="C54" s="957" t="s">
        <v>201</v>
      </c>
      <c r="D54" s="424" t="s">
        <v>330</v>
      </c>
      <c r="E54" s="362" t="s">
        <v>408</v>
      </c>
      <c r="F54" s="3587">
        <v>80</v>
      </c>
      <c r="G54" s="3491"/>
      <c r="H54" s="2865">
        <f t="shared" si="20"/>
        <v>0</v>
      </c>
      <c r="I54" s="2861"/>
      <c r="J54" s="364">
        <v>42391.345138888886</v>
      </c>
      <c r="K54" s="181">
        <v>42391.37708333333</v>
      </c>
      <c r="L54" s="2639">
        <f t="shared" si="23"/>
        <v>0.7666666667209938</v>
      </c>
      <c r="M54" s="2640">
        <f t="shared" si="24"/>
        <v>46</v>
      </c>
      <c r="N54" s="2099" t="s">
        <v>304</v>
      </c>
      <c r="O54" s="2360" t="str">
        <f t="shared" si="21"/>
        <v>--</v>
      </c>
      <c r="P54" s="3577" t="str">
        <f t="shared" si="25"/>
        <v>--</v>
      </c>
      <c r="Q54" s="3578"/>
      <c r="R54" s="2875">
        <f t="shared" si="26"/>
        <v>2</v>
      </c>
      <c r="S54" s="2876">
        <f t="shared" si="27"/>
        <v>171.37120000000002</v>
      </c>
      <c r="T54" s="2877" t="str">
        <f t="shared" si="28"/>
        <v>--</v>
      </c>
      <c r="U54" s="2878" t="str">
        <f t="shared" si="29"/>
        <v>--</v>
      </c>
      <c r="V54" s="2362" t="str">
        <f t="shared" si="30"/>
        <v>--</v>
      </c>
      <c r="W54" s="2363" t="str">
        <f t="shared" si="31"/>
        <v>--</v>
      </c>
      <c r="X54" s="2879" t="str">
        <f t="shared" si="32"/>
        <v>--</v>
      </c>
      <c r="Y54" s="2361" t="str">
        <f t="shared" si="33"/>
        <v>--</v>
      </c>
      <c r="Z54" s="2861"/>
      <c r="AA54" s="2861"/>
      <c r="AB54" s="2774" t="str">
        <f t="shared" si="22"/>
        <v>SI</v>
      </c>
      <c r="AC54" s="2644">
        <f t="shared" si="34"/>
        <v>171.37120000000002</v>
      </c>
      <c r="AD54" s="2554"/>
    </row>
    <row r="55" spans="1:30" ht="15">
      <c r="A55" s="2336"/>
      <c r="B55" s="2493"/>
      <c r="C55" s="957" t="s">
        <v>202</v>
      </c>
      <c r="D55" s="2269"/>
      <c r="E55" s="2257"/>
      <c r="F55" s="3587"/>
      <c r="G55" s="3491"/>
      <c r="H55" s="2865">
        <f t="shared" si="20"/>
        <v>0</v>
      </c>
      <c r="I55" s="2861"/>
      <c r="J55" s="1823"/>
      <c r="K55" s="1499"/>
      <c r="L55" s="2639" t="str">
        <f t="shared" si="23"/>
        <v/>
      </c>
      <c r="M55" s="2640" t="str">
        <f t="shared" si="24"/>
        <v/>
      </c>
      <c r="N55" s="2099"/>
      <c r="O55" s="2360" t="str">
        <f t="shared" si="21"/>
        <v/>
      </c>
      <c r="P55" s="3577" t="str">
        <f t="shared" si="25"/>
        <v/>
      </c>
      <c r="Q55" s="3578"/>
      <c r="R55" s="2875">
        <f t="shared" si="26"/>
        <v>20</v>
      </c>
      <c r="S55" s="2876" t="str">
        <f t="shared" si="27"/>
        <v>--</v>
      </c>
      <c r="T55" s="2877" t="str">
        <f t="shared" si="28"/>
        <v>--</v>
      </c>
      <c r="U55" s="2878" t="str">
        <f t="shared" si="29"/>
        <v>--</v>
      </c>
      <c r="V55" s="2362" t="str">
        <f t="shared" si="30"/>
        <v>--</v>
      </c>
      <c r="W55" s="2363" t="str">
        <f t="shared" si="31"/>
        <v>--</v>
      </c>
      <c r="X55" s="2879" t="str">
        <f t="shared" si="32"/>
        <v>--</v>
      </c>
      <c r="Y55" s="2361" t="str">
        <f t="shared" si="33"/>
        <v>--</v>
      </c>
      <c r="Z55" s="2861"/>
      <c r="AA55" s="2861"/>
      <c r="AB55" s="2774" t="str">
        <f t="shared" si="22"/>
        <v/>
      </c>
      <c r="AC55" s="2644" t="str">
        <f t="shared" si="34"/>
        <v/>
      </c>
      <c r="AD55" s="2554"/>
    </row>
    <row r="56" spans="1:30" ht="15">
      <c r="A56" s="2336"/>
      <c r="B56" s="2493"/>
      <c r="C56" s="957" t="s">
        <v>203</v>
      </c>
      <c r="D56" s="2269"/>
      <c r="E56" s="2257"/>
      <c r="F56" s="3587"/>
      <c r="G56" s="3491"/>
      <c r="H56" s="2865">
        <f t="shared" si="20"/>
        <v>0</v>
      </c>
      <c r="I56" s="2861"/>
      <c r="J56" s="1823"/>
      <c r="K56" s="1499"/>
      <c r="L56" s="2639" t="str">
        <f t="shared" si="23"/>
        <v/>
      </c>
      <c r="M56" s="2640" t="str">
        <f t="shared" si="24"/>
        <v/>
      </c>
      <c r="N56" s="2099"/>
      <c r="O56" s="2360" t="str">
        <f t="shared" si="21"/>
        <v/>
      </c>
      <c r="P56" s="3577" t="str">
        <f t="shared" si="25"/>
        <v/>
      </c>
      <c r="Q56" s="3578"/>
      <c r="R56" s="2875">
        <f t="shared" si="26"/>
        <v>20</v>
      </c>
      <c r="S56" s="2876" t="str">
        <f t="shared" si="27"/>
        <v>--</v>
      </c>
      <c r="T56" s="2877" t="str">
        <f t="shared" si="28"/>
        <v>--</v>
      </c>
      <c r="U56" s="2878" t="str">
        <f t="shared" si="29"/>
        <v>--</v>
      </c>
      <c r="V56" s="2362" t="str">
        <f t="shared" si="30"/>
        <v>--</v>
      </c>
      <c r="W56" s="2363" t="str">
        <f t="shared" si="31"/>
        <v>--</v>
      </c>
      <c r="X56" s="2879" t="str">
        <f t="shared" si="32"/>
        <v>--</v>
      </c>
      <c r="Y56" s="2361" t="str">
        <f t="shared" si="33"/>
        <v>--</v>
      </c>
      <c r="Z56" s="2861"/>
      <c r="AA56" s="2861"/>
      <c r="AB56" s="2774" t="str">
        <f t="shared" si="22"/>
        <v/>
      </c>
      <c r="AC56" s="2644" t="str">
        <f t="shared" si="34"/>
        <v/>
      </c>
      <c r="AD56" s="2554"/>
    </row>
    <row r="57" spans="1:30" ht="15.75" thickBot="1">
      <c r="A57" s="2336"/>
      <c r="B57" s="2493"/>
      <c r="C57" s="957" t="s">
        <v>204</v>
      </c>
      <c r="D57" s="2880"/>
      <c r="E57" s="2881"/>
      <c r="F57" s="3587"/>
      <c r="G57" s="3491"/>
      <c r="H57" s="2855"/>
      <c r="I57" s="2855"/>
      <c r="J57" s="1823"/>
      <c r="K57" s="1499"/>
      <c r="L57" s="2639" t="str">
        <f t="shared" si="23"/>
        <v/>
      </c>
      <c r="M57" s="2640" t="str">
        <f t="shared" si="24"/>
        <v/>
      </c>
      <c r="N57" s="2099"/>
      <c r="O57" s="2360" t="str">
        <f t="shared" si="21"/>
        <v/>
      </c>
      <c r="P57" s="3577" t="str">
        <f t="shared" si="25"/>
        <v/>
      </c>
      <c r="Q57" s="3578"/>
      <c r="R57" s="2875">
        <f t="shared" si="26"/>
        <v>20</v>
      </c>
      <c r="S57" s="2876" t="str">
        <f t="shared" si="27"/>
        <v>--</v>
      </c>
      <c r="T57" s="2877" t="str">
        <f t="shared" si="28"/>
        <v>--</v>
      </c>
      <c r="U57" s="2878" t="str">
        <f t="shared" si="29"/>
        <v>--</v>
      </c>
      <c r="V57" s="2362" t="str">
        <f t="shared" si="30"/>
        <v>--</v>
      </c>
      <c r="W57" s="2363" t="str">
        <f t="shared" si="31"/>
        <v>--</v>
      </c>
      <c r="X57" s="2879" t="str">
        <f t="shared" si="32"/>
        <v>--</v>
      </c>
      <c r="Y57" s="2361" t="str">
        <f t="shared" si="33"/>
        <v>--</v>
      </c>
      <c r="Z57" s="2861"/>
      <c r="AA57" s="2861"/>
      <c r="AB57" s="2774" t="str">
        <f t="shared" si="22"/>
        <v/>
      </c>
      <c r="AC57" s="2644" t="str">
        <f t="shared" si="34"/>
        <v/>
      </c>
      <c r="AD57" s="2554"/>
    </row>
    <row r="58" spans="1:30" ht="16.5" thickTop="1">
      <c r="A58" s="2511"/>
      <c r="B58" s="2493"/>
      <c r="C58" s="1035" t="s">
        <v>205</v>
      </c>
      <c r="D58" s="2880"/>
      <c r="E58" s="2881"/>
      <c r="F58" s="3587"/>
      <c r="G58" s="3491"/>
      <c r="H58" s="2606"/>
      <c r="I58" s="2607"/>
      <c r="J58" s="1823"/>
      <c r="K58" s="1499"/>
      <c r="L58" s="2639" t="str">
        <f t="shared" si="23"/>
        <v/>
      </c>
      <c r="M58" s="2640" t="str">
        <f t="shared" si="24"/>
        <v/>
      </c>
      <c r="N58" s="2099"/>
      <c r="O58" s="2360" t="str">
        <f>IF(D58="","","--")</f>
        <v/>
      </c>
      <c r="P58" s="3577" t="str">
        <f t="shared" si="25"/>
        <v/>
      </c>
      <c r="Q58" s="3578"/>
      <c r="R58" s="2875">
        <f t="shared" si="26"/>
        <v>20</v>
      </c>
      <c r="S58" s="2876" t="str">
        <f t="shared" si="27"/>
        <v>--</v>
      </c>
      <c r="T58" s="2877" t="str">
        <f t="shared" si="28"/>
        <v>--</v>
      </c>
      <c r="U58" s="2878" t="str">
        <f t="shared" si="29"/>
        <v>--</v>
      </c>
      <c r="V58" s="2362" t="str">
        <f t="shared" si="30"/>
        <v>--</v>
      </c>
      <c r="W58" s="2363" t="str">
        <f t="shared" si="31"/>
        <v>--</v>
      </c>
      <c r="X58" s="2879" t="str">
        <f t="shared" si="32"/>
        <v>--</v>
      </c>
      <c r="Y58" s="2361" t="str">
        <f t="shared" si="33"/>
        <v>--</v>
      </c>
      <c r="Z58" s="2861"/>
      <c r="AA58" s="2861"/>
      <c r="AB58" s="2774" t="str">
        <f>IF(D58="","","SI")</f>
        <v/>
      </c>
      <c r="AC58" s="2644" t="str">
        <f t="shared" si="34"/>
        <v/>
      </c>
      <c r="AD58" s="2554"/>
    </row>
    <row r="59" spans="1:30" ht="16.5" thickBot="1">
      <c r="A59" s="2511"/>
      <c r="B59" s="2493"/>
      <c r="C59" s="2585"/>
      <c r="D59" s="2586"/>
      <c r="E59" s="2856"/>
      <c r="F59" s="2857"/>
      <c r="G59" s="2858"/>
      <c r="H59" s="2606"/>
      <c r="I59" s="2607"/>
      <c r="J59" s="2590"/>
      <c r="K59" s="2591"/>
      <c r="L59" s="2592"/>
      <c r="M59" s="2593"/>
      <c r="N59" s="2882"/>
      <c r="O59" s="2882"/>
      <c r="P59" s="2883"/>
      <c r="Q59" s="2884"/>
      <c r="R59" s="2859"/>
      <c r="S59" s="2859"/>
      <c r="T59" s="2859"/>
      <c r="U59" s="2859"/>
      <c r="V59" s="2859"/>
      <c r="W59" s="2859"/>
      <c r="X59" s="2859"/>
      <c r="Y59" s="2859"/>
      <c r="Z59" s="2859"/>
      <c r="AA59" s="2860"/>
      <c r="AB59" s="2602"/>
      <c r="AC59" s="2603"/>
      <c r="AD59" s="2554"/>
    </row>
    <row r="60" spans="1:30" ht="17.25" thickBot="1" thickTop="1">
      <c r="A60" s="2511"/>
      <c r="B60" s="2493"/>
      <c r="C60" s="2345"/>
      <c r="D60" s="2546"/>
      <c r="E60" s="2546"/>
      <c r="F60" s="2604"/>
      <c r="G60" s="2605"/>
      <c r="H60" s="2663"/>
      <c r="I60" s="2661"/>
      <c r="J60" s="2608"/>
      <c r="K60" s="2609"/>
      <c r="L60" s="2610"/>
      <c r="M60" s="2606"/>
      <c r="N60" s="2611"/>
      <c r="O60" s="2612"/>
      <c r="P60" s="2613"/>
      <c r="Q60" s="2614"/>
      <c r="R60" s="2863"/>
      <c r="S60" s="2863"/>
      <c r="T60" s="2863"/>
      <c r="U60" s="2864"/>
      <c r="V60" s="2864"/>
      <c r="W60" s="2864"/>
      <c r="X60" s="2864"/>
      <c r="Y60" s="2864"/>
      <c r="Z60" s="2864"/>
      <c r="AA60" s="2864"/>
      <c r="AB60" s="2616"/>
      <c r="AC60" s="2617">
        <f>SUM(AC52:AC59)</f>
        <v>165756.0112</v>
      </c>
      <c r="AD60" s="2554"/>
    </row>
    <row r="61" spans="1:30" ht="21" customHeight="1" thickBot="1" thickTop="1">
      <c r="A61" s="2511"/>
      <c r="B61" s="2512"/>
      <c r="C61" s="2345"/>
      <c r="D61" s="2546"/>
      <c r="E61" s="2546"/>
      <c r="F61" s="2604"/>
      <c r="G61" s="2605"/>
      <c r="H61" s="2663"/>
      <c r="I61" s="2661"/>
      <c r="J61" s="2544" t="s">
        <v>42</v>
      </c>
      <c r="K61" s="2545">
        <f>AC40+AC49+AC60</f>
        <v>165756.0112</v>
      </c>
      <c r="L61" s="2610"/>
      <c r="M61" s="2606"/>
      <c r="N61" s="2618"/>
      <c r="O61" s="2619"/>
      <c r="P61" s="2613"/>
      <c r="Q61" s="2614"/>
      <c r="R61" s="2615"/>
      <c r="S61" s="2615"/>
      <c r="T61" s="2615"/>
      <c r="U61" s="2616"/>
      <c r="V61" s="2616"/>
      <c r="W61" s="2616"/>
      <c r="X61" s="2616"/>
      <c r="Y61" s="2616"/>
      <c r="Z61" s="2616"/>
      <c r="AA61" s="2616"/>
      <c r="AB61" s="2616"/>
      <c r="AC61" s="2885"/>
      <c r="AD61" s="2669"/>
    </row>
    <row r="62" spans="1:30" ht="17.1" customHeight="1" thickTop="1">
      <c r="A62" s="2511"/>
      <c r="B62" s="2512"/>
      <c r="C62" s="2543"/>
      <c r="D62" s="2660"/>
      <c r="E62" s="2661"/>
      <c r="F62" s="2662"/>
      <c r="G62" s="2663"/>
      <c r="H62" s="2663"/>
      <c r="I62" s="2661"/>
      <c r="J62" s="2664"/>
      <c r="K62" s="2664"/>
      <c r="L62" s="2661"/>
      <c r="M62" s="2661"/>
      <c r="N62" s="2661"/>
      <c r="O62" s="2665"/>
      <c r="P62" s="2661"/>
      <c r="Q62" s="2661"/>
      <c r="R62" s="2666"/>
      <c r="S62" s="2667"/>
      <c r="T62" s="2667"/>
      <c r="U62" s="2668"/>
      <c r="AC62" s="2668"/>
      <c r="AD62" s="2669"/>
    </row>
    <row r="63" spans="1:30" ht="17.1" customHeight="1">
      <c r="A63" s="2511"/>
      <c r="B63" s="2512"/>
      <c r="C63" s="2670" t="s">
        <v>104</v>
      </c>
      <c r="D63" s="2671" t="s">
        <v>138</v>
      </c>
      <c r="E63" s="2661"/>
      <c r="F63" s="2662"/>
      <c r="G63" s="2663"/>
      <c r="H63" s="2550"/>
      <c r="I63" s="2549"/>
      <c r="J63" s="2664"/>
      <c r="K63" s="2664"/>
      <c r="L63" s="2661"/>
      <c r="M63" s="2661"/>
      <c r="N63" s="2661"/>
      <c r="O63" s="2665"/>
      <c r="P63" s="2661"/>
      <c r="Q63" s="2661"/>
      <c r="R63" s="2666"/>
      <c r="S63" s="2667"/>
      <c r="T63" s="2667"/>
      <c r="U63" s="2668"/>
      <c r="AC63" s="2668"/>
      <c r="AD63" s="2669"/>
    </row>
    <row r="64" spans="2:30" s="2511" customFormat="1" ht="17.1" customHeight="1">
      <c r="B64" s="2512"/>
      <c r="C64" s="2670"/>
      <c r="D64" s="2660"/>
      <c r="E64" s="2661"/>
      <c r="F64" s="2662"/>
      <c r="G64" s="2663"/>
      <c r="H64" s="2516"/>
      <c r="I64" s="2516"/>
      <c r="J64" s="2664"/>
      <c r="K64" s="2664"/>
      <c r="L64" s="2661"/>
      <c r="M64" s="2661"/>
      <c r="N64" s="2661"/>
      <c r="O64" s="2665"/>
      <c r="P64" s="2661"/>
      <c r="Q64" s="2661"/>
      <c r="R64" s="2661"/>
      <c r="S64" s="2666"/>
      <c r="T64" s="2667"/>
      <c r="U64" s="2346"/>
      <c r="V64" s="2346"/>
      <c r="W64" s="2346"/>
      <c r="X64" s="2346"/>
      <c r="Y64" s="2346"/>
      <c r="Z64" s="2346"/>
      <c r="AA64" s="2346"/>
      <c r="AB64" s="2346"/>
      <c r="AC64" s="2346"/>
      <c r="AD64" s="2669"/>
    </row>
    <row r="65" spans="2:30" s="2511" customFormat="1" ht="17.1" customHeight="1">
      <c r="B65" s="2512"/>
      <c r="C65" s="2543"/>
      <c r="D65" s="2672" t="s">
        <v>0</v>
      </c>
      <c r="E65" s="2549" t="s">
        <v>105</v>
      </c>
      <c r="F65" s="2549" t="s">
        <v>43</v>
      </c>
      <c r="G65" s="2673" t="s">
        <v>139</v>
      </c>
      <c r="H65" s="2675"/>
      <c r="I65" s="2685"/>
      <c r="J65" s="2346"/>
      <c r="K65" s="2687" t="s">
        <v>140</v>
      </c>
      <c r="L65" s="2346"/>
      <c r="M65" s="2346"/>
      <c r="O65" s="2687" t="s">
        <v>141</v>
      </c>
      <c r="P65" s="2686"/>
      <c r="Q65" s="2688"/>
      <c r="R65" s="2676"/>
      <c r="S65" s="2513"/>
      <c r="T65" s="2346"/>
      <c r="U65" s="2346"/>
      <c r="V65" s="2346"/>
      <c r="W65" s="2346"/>
      <c r="X65" s="2513"/>
      <c r="Y65" s="2513"/>
      <c r="Z65" s="2513"/>
      <c r="AA65" s="2513"/>
      <c r="AB65" s="2513"/>
      <c r="AC65" s="2886" t="s">
        <v>142</v>
      </c>
      <c r="AD65" s="2669"/>
    </row>
    <row r="66" spans="2:30" s="2511" customFormat="1" ht="17.1" customHeight="1">
      <c r="B66" s="2512"/>
      <c r="C66" s="2543"/>
      <c r="D66" s="2549" t="s">
        <v>106</v>
      </c>
      <c r="E66" s="2887">
        <v>267</v>
      </c>
      <c r="F66" s="2690">
        <v>500</v>
      </c>
      <c r="G66" s="2516">
        <f>E66*$F$20*$L$21/100</f>
        <v>1005395.2711200002</v>
      </c>
      <c r="H66" s="2346"/>
      <c r="I66" s="2549"/>
      <c r="J66" s="2502"/>
      <c r="K66" s="2691">
        <v>2119807</v>
      </c>
      <c r="L66" s="2502"/>
      <c r="M66" s="643" t="str">
        <f ca="1">"(DTE "&amp;DATO!$G$14&amp;DATO!$H$14&amp;")"</f>
        <v>(DTE 0116)</v>
      </c>
      <c r="Q66" s="1151"/>
      <c r="R66" s="2676"/>
      <c r="S66" s="2513"/>
      <c r="T66" s="2346"/>
      <c r="U66" s="2346"/>
      <c r="V66" s="2346"/>
      <c r="W66" s="2346"/>
      <c r="X66" s="2513"/>
      <c r="Y66" s="2513"/>
      <c r="Z66" s="2513"/>
      <c r="AA66" s="2513"/>
      <c r="AB66" s="2888"/>
      <c r="AC66" s="2727">
        <f>K66+G66</f>
        <v>3125202.27112</v>
      </c>
      <c r="AD66" s="2669"/>
    </row>
    <row r="67" spans="2:30" s="2511" customFormat="1" ht="17.1" customHeight="1">
      <c r="B67" s="2512"/>
      <c r="C67" s="2543"/>
      <c r="D67" s="2549" t="s">
        <v>107</v>
      </c>
      <c r="E67" s="2887">
        <f>3*3.6</f>
        <v>10.8</v>
      </c>
      <c r="F67" s="2690">
        <v>500</v>
      </c>
      <c r="G67" s="2516">
        <v>50638</v>
      </c>
      <c r="H67" s="2346"/>
      <c r="I67" s="2549"/>
      <c r="J67" s="2502"/>
      <c r="K67" s="2516">
        <v>46980</v>
      </c>
      <c r="L67" s="2502"/>
      <c r="M67" s="643" t="str">
        <f ca="1">"(DTE "&amp;DATO!$G$14&amp;DATO!$H$14&amp;")"</f>
        <v>(DTE 0116)</v>
      </c>
      <c r="O67" s="2889"/>
      <c r="P67" s="2346"/>
      <c r="Q67" s="1151"/>
      <c r="R67" s="2676"/>
      <c r="S67" s="2513"/>
      <c r="T67" s="2346"/>
      <c r="U67" s="2346"/>
      <c r="V67" s="2346"/>
      <c r="W67" s="2346"/>
      <c r="X67" s="2513"/>
      <c r="Y67" s="2513"/>
      <c r="Z67" s="2513"/>
      <c r="AA67" s="2513"/>
      <c r="AB67" s="2513"/>
      <c r="AC67" s="2727">
        <f>K67+G67</f>
        <v>97618</v>
      </c>
      <c r="AD67" s="2669"/>
    </row>
    <row r="68" spans="2:30" s="2511" customFormat="1" ht="16.5" customHeight="1">
      <c r="B68" s="2512"/>
      <c r="C68" s="2543"/>
      <c r="E68" s="2692"/>
      <c r="F68" s="2549"/>
      <c r="G68" s="2550"/>
      <c r="H68" s="2550"/>
      <c r="I68" s="2346"/>
      <c r="J68" s="2549"/>
      <c r="K68" s="2346"/>
      <c r="L68" s="2727"/>
      <c r="M68" s="2688"/>
      <c r="N68" s="2688"/>
      <c r="O68" s="2691"/>
      <c r="P68" s="2502"/>
      <c r="Q68" s="1151"/>
      <c r="R68" s="2676"/>
      <c r="S68" s="2513"/>
      <c r="T68" s="2346"/>
      <c r="U68" s="2346"/>
      <c r="V68" s="2346"/>
      <c r="W68" s="2346"/>
      <c r="X68" s="2513"/>
      <c r="Y68" s="2513"/>
      <c r="Z68" s="2513"/>
      <c r="AA68" s="2513"/>
      <c r="AB68" s="2513"/>
      <c r="AC68" s="2727"/>
      <c r="AD68" s="2669"/>
    </row>
    <row r="69" spans="2:30" s="2511" customFormat="1" ht="16.5" customHeight="1">
      <c r="B69" s="2512"/>
      <c r="C69" s="2543"/>
      <c r="D69" s="2672" t="s">
        <v>61</v>
      </c>
      <c r="E69" s="2549" t="s">
        <v>43</v>
      </c>
      <c r="F69" s="2346" t="s">
        <v>127</v>
      </c>
      <c r="G69" s="2673" t="s">
        <v>145</v>
      </c>
      <c r="I69" s="2673" t="s">
        <v>145</v>
      </c>
      <c r="K69" s="2346"/>
      <c r="L69" s="2676"/>
      <c r="M69" s="2676"/>
      <c r="N69" s="2513"/>
      <c r="O69" s="2346"/>
      <c r="P69" s="2346"/>
      <c r="Q69" s="1151"/>
      <c r="R69" s="2676"/>
      <c r="S69" s="2513"/>
      <c r="T69" s="2346"/>
      <c r="U69" s="2346"/>
      <c r="V69" s="2346"/>
      <c r="W69" s="2346"/>
      <c r="X69" s="2513"/>
      <c r="Y69" s="2513"/>
      <c r="Z69" s="2513"/>
      <c r="AA69" s="2513"/>
      <c r="AB69" s="2513"/>
      <c r="AC69" s="2727"/>
      <c r="AD69" s="2669"/>
    </row>
    <row r="70" spans="2:30" s="2511" customFormat="1" ht="17.1" customHeight="1">
      <c r="B70" s="2512"/>
      <c r="C70" s="2543"/>
      <c r="D70" s="2677" t="s">
        <v>405</v>
      </c>
      <c r="E70" s="2677">
        <v>500</v>
      </c>
      <c r="F70" s="2677">
        <v>2</v>
      </c>
      <c r="G70" s="3569">
        <f>+F70*$F$21*$L$21</f>
        <v>410737.10400000005</v>
      </c>
      <c r="H70" s="3586"/>
      <c r="I70" s="3586"/>
      <c r="J70" s="3586"/>
      <c r="K70" s="2683"/>
      <c r="L70" s="2683"/>
      <c r="M70" s="2683"/>
      <c r="N70" s="2683"/>
      <c r="O70" s="2683"/>
      <c r="P70" s="2683"/>
      <c r="Q70" s="1151"/>
      <c r="R70" s="2676"/>
      <c r="S70" s="2513"/>
      <c r="T70" s="2346"/>
      <c r="U70" s="2346"/>
      <c r="V70" s="2346"/>
      <c r="W70" s="2346"/>
      <c r="X70" s="2513"/>
      <c r="Y70" s="2513"/>
      <c r="Z70" s="2513"/>
      <c r="AA70" s="2513"/>
      <c r="AB70" s="2513"/>
      <c r="AC70" s="2727">
        <f>G70</f>
        <v>410737.10400000005</v>
      </c>
      <c r="AD70" s="2669"/>
    </row>
    <row r="71" spans="1:30" ht="17.1" customHeight="1">
      <c r="A71" s="2511"/>
      <c r="B71" s="2512"/>
      <c r="C71" s="2543"/>
      <c r="D71" s="2677" t="s">
        <v>406</v>
      </c>
      <c r="E71" s="2677">
        <v>500</v>
      </c>
      <c r="F71" s="2677">
        <v>3</v>
      </c>
      <c r="G71" s="3569">
        <f>+F71*$F$21*$L$21</f>
        <v>616105.6560000001</v>
      </c>
      <c r="H71" s="3586"/>
      <c r="I71" s="3586"/>
      <c r="J71" s="3586"/>
      <c r="K71" s="2683"/>
      <c r="L71" s="2683"/>
      <c r="M71" s="2683"/>
      <c r="N71" s="2683"/>
      <c r="O71" s="2683"/>
      <c r="P71" s="2683"/>
      <c r="Q71" s="2517"/>
      <c r="R71" s="2676"/>
      <c r="S71" s="2513"/>
      <c r="X71" s="2513"/>
      <c r="Y71" s="2513"/>
      <c r="Z71" s="2513"/>
      <c r="AA71" s="2513"/>
      <c r="AB71" s="2890"/>
      <c r="AC71" s="2891">
        <f>G71</f>
        <v>616105.6560000001</v>
      </c>
      <c r="AD71" s="2669"/>
    </row>
    <row r="72" spans="1:30" ht="11.25" customHeight="1" thickBot="1">
      <c r="A72" s="2511"/>
      <c r="B72" s="2512"/>
      <c r="C72" s="2543"/>
      <c r="D72" s="2677"/>
      <c r="E72" s="2677"/>
      <c r="F72" s="2677"/>
      <c r="H72" s="2511"/>
      <c r="I72" s="2683"/>
      <c r="J72" s="2683"/>
      <c r="K72" s="2683"/>
      <c r="L72" s="2683"/>
      <c r="M72" s="2683"/>
      <c r="N72" s="2683"/>
      <c r="O72" s="2683"/>
      <c r="P72" s="2683"/>
      <c r="Q72" s="2517"/>
      <c r="R72" s="2676"/>
      <c r="S72" s="2513"/>
      <c r="X72" s="2513"/>
      <c r="Y72" s="2513"/>
      <c r="Z72" s="2513"/>
      <c r="AA72" s="2513"/>
      <c r="AB72" s="2513"/>
      <c r="AC72" s="2727"/>
      <c r="AD72" s="2669"/>
    </row>
    <row r="73" spans="1:30" ht="17.1" customHeight="1" thickBot="1" thickTop="1">
      <c r="A73" s="2511"/>
      <c r="B73" s="2512"/>
      <c r="C73" s="2543"/>
      <c r="D73" s="2664"/>
      <c r="E73" s="2692"/>
      <c r="F73" s="2549"/>
      <c r="G73" s="2549"/>
      <c r="H73" s="2550"/>
      <c r="J73" s="2549"/>
      <c r="L73" s="2693"/>
      <c r="M73" s="2688"/>
      <c r="N73" s="2688"/>
      <c r="O73" s="2676"/>
      <c r="P73" s="2676"/>
      <c r="Q73" s="2676"/>
      <c r="R73" s="2676"/>
      <c r="S73" s="2676"/>
      <c r="AB73" s="2892" t="s">
        <v>44</v>
      </c>
      <c r="AC73" s="2893">
        <f>SUM(AC66:AC71)</f>
        <v>4249663.03112</v>
      </c>
      <c r="AD73" s="2669"/>
    </row>
    <row r="74" spans="1:30" ht="21" customHeight="1" thickBot="1" thickTop="1">
      <c r="A74" s="2511"/>
      <c r="B74" s="2512"/>
      <c r="C74" s="2543"/>
      <c r="D74" s="2664"/>
      <c r="E74" s="2692"/>
      <c r="F74" s="2549"/>
      <c r="G74" s="2549"/>
      <c r="H74" s="2664"/>
      <c r="I74" s="2664"/>
      <c r="J74" s="2549"/>
      <c r="L74" s="2693"/>
      <c r="M74" s="2688"/>
      <c r="N74" s="2688"/>
      <c r="O74" s="2676"/>
      <c r="P74" s="2676"/>
      <c r="Q74" s="2676"/>
      <c r="R74" s="2676"/>
      <c r="S74" s="2676"/>
      <c r="AC74" s="2725"/>
      <c r="AD74" s="2669"/>
    </row>
    <row r="75" spans="2:30" ht="17.1" customHeight="1" thickBot="1" thickTop="1">
      <c r="B75" s="2512"/>
      <c r="C75" s="2543"/>
      <c r="D75" s="2664"/>
      <c r="E75" s="2692"/>
      <c r="F75" s="2549"/>
      <c r="G75" s="2549"/>
      <c r="H75" s="2511"/>
      <c r="I75" s="2511"/>
      <c r="J75" s="2549"/>
      <c r="L75" s="2693"/>
      <c r="M75" s="2688"/>
      <c r="N75" s="2688"/>
      <c r="O75" s="2676"/>
      <c r="P75" s="2676"/>
      <c r="Q75" s="2676"/>
      <c r="R75" s="2676"/>
      <c r="S75" s="2676"/>
      <c r="AB75" s="2892" t="s">
        <v>363</v>
      </c>
      <c r="AC75" s="2893">
        <v>4249663.03112</v>
      </c>
      <c r="AD75" s="2669"/>
    </row>
    <row r="76" spans="2:30" s="2511" customFormat="1" ht="17.1" customHeight="1" thickTop="1">
      <c r="B76" s="2512"/>
      <c r="C76" s="2670" t="s">
        <v>108</v>
      </c>
      <c r="D76" s="2694" t="s">
        <v>109</v>
      </c>
      <c r="E76" s="2549"/>
      <c r="F76" s="2695"/>
      <c r="G76" s="2548"/>
      <c r="J76" s="2664"/>
      <c r="K76" s="2549"/>
      <c r="L76" s="2549"/>
      <c r="M76" s="2664"/>
      <c r="N76" s="2549"/>
      <c r="O76" s="2664"/>
      <c r="P76" s="2664"/>
      <c r="Q76" s="2664"/>
      <c r="R76" s="2664"/>
      <c r="S76" s="2664"/>
      <c r="T76" s="2664"/>
      <c r="U76" s="2664"/>
      <c r="V76" s="2346"/>
      <c r="W76" s="2346"/>
      <c r="X76" s="2346"/>
      <c r="Y76" s="2346"/>
      <c r="Z76" s="2346"/>
      <c r="AA76" s="2346"/>
      <c r="AB76" s="2346"/>
      <c r="AC76" s="2664"/>
      <c r="AD76" s="2669"/>
    </row>
    <row r="77" spans="2:30" s="2511" customFormat="1" ht="17.1" customHeight="1">
      <c r="B77" s="2512"/>
      <c r="C77" s="2543"/>
      <c r="D77" s="2672" t="s">
        <v>110</v>
      </c>
      <c r="E77" s="2696">
        <f>10*K61*K28/AC73</f>
        <v>41439.00280000001</v>
      </c>
      <c r="G77" s="2548"/>
      <c r="H77" s="2664"/>
      <c r="I77" s="2664"/>
      <c r="L77" s="2549"/>
      <c r="N77" s="2549"/>
      <c r="O77" s="2550"/>
      <c r="V77" s="2346"/>
      <c r="W77" s="2346"/>
      <c r="AD77" s="2669"/>
    </row>
    <row r="78" spans="2:30" ht="17.1" customHeight="1">
      <c r="B78" s="2512"/>
      <c r="C78" s="2543"/>
      <c r="D78" s="2511"/>
      <c r="E78" s="2697"/>
      <c r="F78" s="2541"/>
      <c r="G78" s="2548"/>
      <c r="H78" s="2664"/>
      <c r="I78" s="2664"/>
      <c r="J78" s="2548"/>
      <c r="K78" s="2698"/>
      <c r="L78" s="2549"/>
      <c r="M78" s="2549"/>
      <c r="N78" s="2549"/>
      <c r="O78" s="2550"/>
      <c r="P78" s="2549"/>
      <c r="Q78" s="2549"/>
      <c r="R78" s="2699"/>
      <c r="S78" s="2699"/>
      <c r="T78" s="2699"/>
      <c r="U78" s="2700"/>
      <c r="X78" s="2511"/>
      <c r="Y78" s="2511"/>
      <c r="Z78" s="2511"/>
      <c r="AA78" s="2511"/>
      <c r="AB78" s="2511"/>
      <c r="AC78" s="2700"/>
      <c r="AD78" s="2669"/>
    </row>
    <row r="79" spans="2:30" ht="17.1" customHeight="1">
      <c r="B79" s="2512"/>
      <c r="C79" s="2543"/>
      <c r="D79" s="2701" t="s">
        <v>300</v>
      </c>
      <c r="E79" s="2702"/>
      <c r="F79" s="2541"/>
      <c r="G79" s="2548"/>
      <c r="H79" s="2703"/>
      <c r="N79" s="2549"/>
      <c r="O79" s="2550"/>
      <c r="P79" s="2549"/>
      <c r="Q79" s="2549"/>
      <c r="R79" s="2686"/>
      <c r="S79" s="2686"/>
      <c r="T79" s="2686"/>
      <c r="U79" s="2688"/>
      <c r="AC79" s="2688"/>
      <c r="AD79" s="2669"/>
    </row>
    <row r="80" spans="2:30" s="2703" customFormat="1" ht="20.25" thickBot="1">
      <c r="B80" s="2704"/>
      <c r="C80" s="2543"/>
      <c r="D80" s="2701"/>
      <c r="E80" s="2702"/>
      <c r="F80" s="2541"/>
      <c r="G80" s="2548"/>
      <c r="H80" s="2718"/>
      <c r="I80" s="2718"/>
      <c r="J80" s="2346"/>
      <c r="K80" s="2346"/>
      <c r="L80" s="2346"/>
      <c r="M80" s="2346"/>
      <c r="N80" s="2549"/>
      <c r="O80" s="2550"/>
      <c r="P80" s="2549"/>
      <c r="Q80" s="2549"/>
      <c r="R80" s="2686"/>
      <c r="S80" s="2686"/>
      <c r="T80" s="2686"/>
      <c r="U80" s="2688"/>
      <c r="V80" s="2346"/>
      <c r="W80" s="2346"/>
      <c r="X80" s="2346"/>
      <c r="Y80" s="2346"/>
      <c r="Z80" s="2346"/>
      <c r="AA80" s="2346"/>
      <c r="AB80" s="2346"/>
      <c r="AC80" s="2688"/>
      <c r="AD80" s="2669"/>
    </row>
    <row r="81" spans="2:30" ht="17.1" customHeight="1" thickBot="1" thickTop="1">
      <c r="B81" s="2704"/>
      <c r="C81" s="2705"/>
      <c r="D81" s="2706"/>
      <c r="E81" s="2707"/>
      <c r="F81" s="2708"/>
      <c r="G81" s="2709"/>
      <c r="J81" s="2710" t="s">
        <v>111</v>
      </c>
      <c r="K81" s="2711">
        <f>IF(E77&gt;3*K28,K28*3,E77)</f>
        <v>41439.00280000001</v>
      </c>
      <c r="L81" s="2703"/>
      <c r="M81" s="2713"/>
      <c r="N81" s="1174" t="s">
        <v>407</v>
      </c>
      <c r="O81" s="2712"/>
      <c r="P81" s="2713"/>
      <c r="Q81" s="2713"/>
      <c r="R81" s="2714"/>
      <c r="S81" s="2714"/>
      <c r="T81" s="2714"/>
      <c r="U81" s="2715"/>
      <c r="X81" s="2703"/>
      <c r="Y81" s="2703"/>
      <c r="Z81" s="2703"/>
      <c r="AA81" s="2703"/>
      <c r="AB81" s="2703"/>
      <c r="AC81" s="2715"/>
      <c r="AD81" s="2716"/>
    </row>
    <row r="82" spans="2:30" ht="17.1" customHeight="1" thickBot="1" thickTop="1">
      <c r="B82" s="2717"/>
      <c r="C82" s="2718"/>
      <c r="D82" s="2718"/>
      <c r="E82" s="2718"/>
      <c r="F82" s="2718"/>
      <c r="G82" s="2718"/>
      <c r="J82" s="2718"/>
      <c r="K82" s="2718"/>
      <c r="L82" s="2718"/>
      <c r="M82" s="2718"/>
      <c r="N82" s="2718"/>
      <c r="O82" s="2718"/>
      <c r="P82" s="2718"/>
      <c r="Q82" s="2718"/>
      <c r="R82" s="2718"/>
      <c r="S82" s="2718"/>
      <c r="T82" s="2718"/>
      <c r="U82" s="2718"/>
      <c r="V82" s="2719"/>
      <c r="W82" s="2719"/>
      <c r="X82" s="2719"/>
      <c r="Y82" s="2719"/>
      <c r="Z82" s="2719"/>
      <c r="AA82" s="2719"/>
      <c r="AB82" s="2719"/>
      <c r="AC82" s="2718"/>
      <c r="AD82" s="2720"/>
    </row>
    <row r="83" spans="2:23" ht="13.5" thickTop="1">
      <c r="B83" s="2508"/>
      <c r="C83" s="2721"/>
      <c r="W83" s="2508"/>
    </row>
  </sheetData>
  <mergeCells count="24">
    <mergeCell ref="P46:Q46"/>
    <mergeCell ref="F42:G42"/>
    <mergeCell ref="P42:Q42"/>
    <mergeCell ref="P43:Q43"/>
    <mergeCell ref="P44:Q44"/>
    <mergeCell ref="P45:Q45"/>
    <mergeCell ref="P47:Q47"/>
    <mergeCell ref="P48:Q48"/>
    <mergeCell ref="F51:G51"/>
    <mergeCell ref="P51:Q51"/>
    <mergeCell ref="F53:G53"/>
    <mergeCell ref="P53:Q53"/>
    <mergeCell ref="G71:J71"/>
    <mergeCell ref="F54:G54"/>
    <mergeCell ref="P54:Q54"/>
    <mergeCell ref="F55:G55"/>
    <mergeCell ref="P55:Q55"/>
    <mergeCell ref="F56:G56"/>
    <mergeCell ref="P56:Q56"/>
    <mergeCell ref="F57:G57"/>
    <mergeCell ref="P57:Q57"/>
    <mergeCell ref="F58:G58"/>
    <mergeCell ref="P58:Q58"/>
    <mergeCell ref="G70:J70"/>
  </mergeCells>
  <printOptions horizontalCentered="1"/>
  <pageMargins left="0.1968503937007874" right="0.15748031496062992" top="0.7874015748031497" bottom="0.7874015748031497" header="0.5118110236220472" footer="0.5118110236220472"/>
  <pageSetup fitToHeight="1" fitToWidth="1" horizontalDpi="600" verticalDpi="600" orientation="portrait" paperSize="9" scale="40" r:id="rId2"/>
  <headerFooter alignWithMargins="0">
    <oddFooter>&amp;L&amp;"Times New Roman,Normal"&amp;8&amp;Z&amp;F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C72"/>
  <sheetViews>
    <sheetView workbookViewId="0" topLeftCell="A1">
      <pane xSplit="1" ySplit="1" topLeftCell="B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2" sqref="B2"/>
    </sheetView>
  </sheetViews>
  <sheetFormatPr defaultColWidth="11.421875" defaultRowHeight="12.75"/>
  <cols>
    <col min="1" max="1" width="23.00390625" style="826" bestFit="1" customWidth="1"/>
    <col min="2" max="2" width="9.28125" style="826" customWidth="1"/>
    <col min="3" max="3" width="11.8515625" style="826" bestFit="1" customWidth="1"/>
    <col min="4" max="4" width="9.57421875" style="826" bestFit="1" customWidth="1"/>
    <col min="5" max="5" width="17.140625" style="826" bestFit="1" customWidth="1"/>
    <col min="6" max="6" width="71.8515625" style="826" bestFit="1" customWidth="1"/>
    <col min="7" max="9" width="5.8515625" style="826" customWidth="1"/>
    <col min="10" max="22" width="5.8515625" style="826" bestFit="1" customWidth="1"/>
    <col min="23" max="24" width="11.00390625" style="826" customWidth="1"/>
    <col min="25" max="29" width="11.421875" style="826" customWidth="1"/>
    <col min="30" max="16384" width="11.421875" style="815" customWidth="1"/>
  </cols>
  <sheetData>
    <row r="1" spans="1:4" ht="12.75">
      <c r="A1" s="825" t="s">
        <v>160</v>
      </c>
      <c r="B1" s="825" t="s">
        <v>160</v>
      </c>
      <c r="C1" s="825" t="s">
        <v>161</v>
      </c>
      <c r="D1" s="825" t="s">
        <v>162</v>
      </c>
    </row>
    <row r="2" spans="1:4" ht="12.75">
      <c r="A2" s="827" t="s">
        <v>46</v>
      </c>
      <c r="B2" s="828" t="s">
        <v>166</v>
      </c>
      <c r="C2" s="827">
        <v>31</v>
      </c>
      <c r="D2" s="827">
        <v>2006</v>
      </c>
    </row>
    <row r="3" spans="1:4" ht="12.75">
      <c r="A3" s="827" t="s">
        <v>47</v>
      </c>
      <c r="B3" s="828" t="s">
        <v>167</v>
      </c>
      <c r="C3" s="827">
        <f ca="1">IF(MOD(E14,4)=0,29,28)</f>
        <v>29</v>
      </c>
      <c r="D3" s="827">
        <f>+D2+1</f>
        <v>2007</v>
      </c>
    </row>
    <row r="4" spans="1:4" ht="12.75">
      <c r="A4" s="827" t="s">
        <v>48</v>
      </c>
      <c r="B4" s="828" t="s">
        <v>168</v>
      </c>
      <c r="C4" s="827">
        <v>31</v>
      </c>
      <c r="D4" s="827">
        <v>2008</v>
      </c>
    </row>
    <row r="5" spans="1:4" ht="12.75">
      <c r="A5" s="827" t="s">
        <v>49</v>
      </c>
      <c r="B5" s="828" t="s">
        <v>169</v>
      </c>
      <c r="C5" s="827">
        <v>30</v>
      </c>
      <c r="D5" s="827">
        <v>2009</v>
      </c>
    </row>
    <row r="6" spans="1:4" ht="12.75">
      <c r="A6" s="827" t="s">
        <v>50</v>
      </c>
      <c r="B6" s="828" t="s">
        <v>170</v>
      </c>
      <c r="C6" s="827">
        <v>31</v>
      </c>
      <c r="D6" s="827">
        <v>2010</v>
      </c>
    </row>
    <row r="7" spans="1:4" ht="12.75">
      <c r="A7" s="827" t="s">
        <v>51</v>
      </c>
      <c r="B7" s="828" t="s">
        <v>171</v>
      </c>
      <c r="C7" s="827">
        <v>30</v>
      </c>
      <c r="D7" s="827">
        <v>2011</v>
      </c>
    </row>
    <row r="8" spans="1:4" ht="12.75">
      <c r="A8" s="827" t="s">
        <v>52</v>
      </c>
      <c r="B8" s="828" t="s">
        <v>172</v>
      </c>
      <c r="C8" s="827">
        <v>31</v>
      </c>
      <c r="D8" s="827">
        <v>2012</v>
      </c>
    </row>
    <row r="9" spans="1:4" ht="12.75">
      <c r="A9" s="827" t="s">
        <v>53</v>
      </c>
      <c r="B9" s="828" t="s">
        <v>173</v>
      </c>
      <c r="C9" s="827">
        <v>31</v>
      </c>
      <c r="D9" s="827">
        <v>2013</v>
      </c>
    </row>
    <row r="10" spans="1:4" ht="12.75">
      <c r="A10" s="827" t="s">
        <v>54</v>
      </c>
      <c r="B10" s="828" t="s">
        <v>174</v>
      </c>
      <c r="C10" s="827">
        <v>30</v>
      </c>
      <c r="D10" s="827">
        <v>2014</v>
      </c>
    </row>
    <row r="11" spans="1:4" ht="12.75">
      <c r="A11" s="827" t="s">
        <v>55</v>
      </c>
      <c r="B11" s="828" t="s">
        <v>175</v>
      </c>
      <c r="C11" s="827">
        <v>31</v>
      </c>
      <c r="D11" s="827">
        <v>2015</v>
      </c>
    </row>
    <row r="12" spans="1:4" ht="12.75">
      <c r="A12" s="827" t="s">
        <v>56</v>
      </c>
      <c r="B12" s="828" t="s">
        <v>176</v>
      </c>
      <c r="C12" s="827">
        <v>30</v>
      </c>
      <c r="D12" s="827">
        <v>2016</v>
      </c>
    </row>
    <row r="13" spans="1:9" ht="12.75">
      <c r="A13" s="827" t="s">
        <v>57</v>
      </c>
      <c r="B13" s="828" t="s">
        <v>177</v>
      </c>
      <c r="C13" s="827">
        <v>31</v>
      </c>
      <c r="D13" s="827"/>
      <c r="E13" s="829"/>
      <c r="I13" s="830" t="s">
        <v>215</v>
      </c>
    </row>
    <row r="14" spans="1:9" ht="12.75">
      <c r="A14" s="831">
        <v>11</v>
      </c>
      <c r="B14" s="832">
        <v>1</v>
      </c>
      <c r="C14" s="831" t="str">
        <f ca="1">CELL("CONTENIDO",OFFSET(A1,B14,0))</f>
        <v>enero</v>
      </c>
      <c r="D14" s="831">
        <f ca="1">CELL("CONTENIDO",OFFSET(C1,B14,0))</f>
        <v>31</v>
      </c>
      <c r="E14" s="831">
        <f ca="1">CELL("CONTENIDO",OFFSET(D1,A14,0))</f>
        <v>2016</v>
      </c>
      <c r="F14" s="831" t="str">
        <f ca="1">"Desde el 01 al "&amp;D14&amp;" de "&amp;C14&amp;" de "&amp;E14</f>
        <v>Desde el 01 al 31 de enero de 2016</v>
      </c>
      <c r="G14" s="831" t="str">
        <f ca="1">CELL("CONTENIDO",OFFSET(B1,B14,0))</f>
        <v>01</v>
      </c>
      <c r="H14" s="831" t="str">
        <f ca="1">RIGHT(E14,2)</f>
        <v>16</v>
      </c>
      <c r="I14" s="833" t="s">
        <v>212</v>
      </c>
    </row>
    <row r="15" spans="1:8" ht="12.75">
      <c r="A15" s="831"/>
      <c r="B15" s="834" t="str">
        <f ca="1">"\\rugor\files\Transporte\Transporte\AA PROCESO AUT ARCHIVOS J\TRANSENER\"&amp;E14</f>
        <v>\\rugor\files\Transporte\Transporte\AA PROCESO AUT ARCHIVOS J\TRANSENER\2016</v>
      </c>
      <c r="C15" s="831"/>
      <c r="D15" s="831"/>
      <c r="E15" s="831"/>
      <c r="F15" s="831"/>
      <c r="G15" s="831" t="str">
        <f ca="1">"J"&amp;G14&amp;H14&amp;"NER"</f>
        <v>J0116NER</v>
      </c>
      <c r="H15" s="831"/>
    </row>
    <row r="16" spans="1:8" ht="12.75">
      <c r="A16" s="831"/>
      <c r="B16" s="834" t="str">
        <f ca="1">"\\rugor\files\Transporte\transporte\AA PROCESO AUT\INTERCAMBIO\"&amp;H14&amp;G14</f>
        <v>\\rugor\files\Transporte\transporte\AA PROCESO AUT\INTERCAMBIO\1601</v>
      </c>
      <c r="C16" s="831"/>
      <c r="D16" s="831"/>
      <c r="E16" s="831"/>
      <c r="F16" s="831"/>
      <c r="G16" s="831"/>
      <c r="H16" s="831"/>
    </row>
    <row r="17" spans="1:29" ht="12.75">
      <c r="A17" s="825" t="s">
        <v>148</v>
      </c>
      <c r="B17" s="825" t="s">
        <v>196</v>
      </c>
      <c r="C17" s="825" t="s">
        <v>180</v>
      </c>
      <c r="D17" s="825" t="s">
        <v>179</v>
      </c>
      <c r="E17" s="825" t="s">
        <v>165</v>
      </c>
      <c r="F17" s="825" t="s">
        <v>178</v>
      </c>
      <c r="G17" s="825" t="s">
        <v>195</v>
      </c>
      <c r="H17" s="825" t="s">
        <v>181</v>
      </c>
      <c r="I17" s="825" t="s">
        <v>182</v>
      </c>
      <c r="J17" s="825" t="s">
        <v>183</v>
      </c>
      <c r="K17" s="825" t="s">
        <v>184</v>
      </c>
      <c r="L17" s="825" t="s">
        <v>185</v>
      </c>
      <c r="M17" s="825" t="s">
        <v>186</v>
      </c>
      <c r="N17" s="825" t="s">
        <v>187</v>
      </c>
      <c r="O17" s="825" t="s">
        <v>188</v>
      </c>
      <c r="P17" s="825" t="s">
        <v>260</v>
      </c>
      <c r="Q17" s="825" t="s">
        <v>189</v>
      </c>
      <c r="R17" s="825" t="s">
        <v>190</v>
      </c>
      <c r="S17" s="825" t="s">
        <v>191</v>
      </c>
      <c r="T17" s="825" t="s">
        <v>192</v>
      </c>
      <c r="U17" s="825" t="s">
        <v>193</v>
      </c>
      <c r="V17" s="825" t="s">
        <v>194</v>
      </c>
      <c r="W17" s="825" t="s">
        <v>216</v>
      </c>
      <c r="X17" s="825" t="s">
        <v>217</v>
      </c>
      <c r="Y17" s="825" t="s">
        <v>219</v>
      </c>
      <c r="Z17" s="825" t="s">
        <v>218</v>
      </c>
      <c r="AA17" s="825" t="s">
        <v>221</v>
      </c>
      <c r="AB17" s="825" t="s">
        <v>220</v>
      </c>
      <c r="AC17" s="825" t="s">
        <v>240</v>
      </c>
    </row>
    <row r="18" spans="1:29" ht="12.75">
      <c r="A18" s="813" t="s">
        <v>149</v>
      </c>
      <c r="B18" s="813">
        <v>22</v>
      </c>
      <c r="C18" s="813">
        <v>20</v>
      </c>
      <c r="D18" s="813">
        <v>13</v>
      </c>
      <c r="E18" s="813" t="str">
        <f ca="1">"LI-"&amp;$G$14</f>
        <v>LI-01</v>
      </c>
      <c r="F18" s="813" t="s">
        <v>264</v>
      </c>
      <c r="G18" s="813">
        <v>3</v>
      </c>
      <c r="H18" s="814">
        <v>5</v>
      </c>
      <c r="I18" s="814">
        <v>4</v>
      </c>
      <c r="J18" s="813">
        <v>6</v>
      </c>
      <c r="K18" s="813">
        <v>7</v>
      </c>
      <c r="L18" s="813">
        <v>8</v>
      </c>
      <c r="M18" s="813">
        <v>9</v>
      </c>
      <c r="N18" s="813">
        <v>12</v>
      </c>
      <c r="O18" s="813">
        <v>13</v>
      </c>
      <c r="P18" s="813">
        <v>16</v>
      </c>
      <c r="Q18" s="813">
        <v>19</v>
      </c>
      <c r="R18" s="813">
        <v>30</v>
      </c>
      <c r="S18" s="813">
        <v>0</v>
      </c>
      <c r="T18" s="813">
        <v>0</v>
      </c>
      <c r="U18" s="813">
        <v>0</v>
      </c>
      <c r="V18" s="813">
        <v>0</v>
      </c>
      <c r="W18" s="813">
        <v>17</v>
      </c>
      <c r="X18" s="813">
        <v>9</v>
      </c>
      <c r="Y18" s="813">
        <v>43</v>
      </c>
      <c r="Z18" s="814">
        <v>31</v>
      </c>
      <c r="AA18" s="813">
        <v>20</v>
      </c>
      <c r="AB18" s="814">
        <v>31</v>
      </c>
      <c r="AC18" s="813">
        <v>16</v>
      </c>
    </row>
    <row r="19" spans="1:29" ht="12.75">
      <c r="A19" s="813" t="s">
        <v>152</v>
      </c>
      <c r="B19" s="814">
        <v>20</v>
      </c>
      <c r="C19" s="814">
        <v>20</v>
      </c>
      <c r="D19" s="814">
        <v>13</v>
      </c>
      <c r="E19" s="813" t="str">
        <f ca="1">"LI-YACY-"&amp;$G$14</f>
        <v>LI-YACY-01</v>
      </c>
      <c r="F19" s="813" t="s">
        <v>265</v>
      </c>
      <c r="G19" s="814">
        <v>3</v>
      </c>
      <c r="H19" s="814">
        <v>5</v>
      </c>
      <c r="I19" s="814">
        <v>4</v>
      </c>
      <c r="J19" s="814">
        <v>6</v>
      </c>
      <c r="K19" s="814">
        <v>7</v>
      </c>
      <c r="L19" s="814">
        <v>8</v>
      </c>
      <c r="M19" s="814">
        <v>9</v>
      </c>
      <c r="N19" s="814">
        <v>12</v>
      </c>
      <c r="O19" s="814">
        <v>13</v>
      </c>
      <c r="P19" s="814">
        <v>16</v>
      </c>
      <c r="Q19" s="814">
        <v>19</v>
      </c>
      <c r="R19" s="814">
        <v>30</v>
      </c>
      <c r="S19" s="814">
        <v>0</v>
      </c>
      <c r="T19" s="814">
        <v>0</v>
      </c>
      <c r="U19" s="814">
        <v>0</v>
      </c>
      <c r="V19" s="814">
        <v>0</v>
      </c>
      <c r="W19" s="814">
        <v>18</v>
      </c>
      <c r="X19" s="814">
        <v>9</v>
      </c>
      <c r="Y19" s="814">
        <v>41</v>
      </c>
      <c r="Z19" s="814">
        <v>31</v>
      </c>
      <c r="AA19" s="813">
        <v>20</v>
      </c>
      <c r="AB19" s="814">
        <v>31</v>
      </c>
      <c r="AC19" s="814">
        <v>16</v>
      </c>
    </row>
    <row r="20" spans="1:29" ht="12.75">
      <c r="A20" s="813" t="s">
        <v>153</v>
      </c>
      <c r="B20" s="813">
        <v>22</v>
      </c>
      <c r="C20" s="813">
        <v>20</v>
      </c>
      <c r="D20" s="813">
        <v>13</v>
      </c>
      <c r="E20" s="813" t="str">
        <f ca="1">"LI-LITSA-"&amp;$G$14</f>
        <v>LI-LITSA-01</v>
      </c>
      <c r="F20" s="813" t="s">
        <v>266</v>
      </c>
      <c r="G20" s="813">
        <v>3</v>
      </c>
      <c r="H20" s="814">
        <v>5</v>
      </c>
      <c r="I20" s="814">
        <v>4</v>
      </c>
      <c r="J20" s="813">
        <v>6</v>
      </c>
      <c r="K20" s="813">
        <v>7</v>
      </c>
      <c r="L20" s="813">
        <v>8</v>
      </c>
      <c r="M20" s="813">
        <v>9</v>
      </c>
      <c r="N20" s="813">
        <v>12</v>
      </c>
      <c r="O20" s="813">
        <v>13</v>
      </c>
      <c r="P20" s="813">
        <v>16</v>
      </c>
      <c r="Q20" s="813">
        <v>19</v>
      </c>
      <c r="R20" s="813">
        <v>30</v>
      </c>
      <c r="S20" s="813">
        <v>0</v>
      </c>
      <c r="T20" s="813">
        <v>0</v>
      </c>
      <c r="U20" s="813">
        <v>0</v>
      </c>
      <c r="V20" s="813">
        <v>0</v>
      </c>
      <c r="W20" s="814">
        <v>19</v>
      </c>
      <c r="X20" s="813">
        <v>9</v>
      </c>
      <c r="Y20" s="813">
        <v>43</v>
      </c>
      <c r="Z20" s="814">
        <v>32</v>
      </c>
      <c r="AA20" s="813">
        <v>20</v>
      </c>
      <c r="AB20" s="814">
        <v>32</v>
      </c>
      <c r="AC20" s="813">
        <v>16</v>
      </c>
    </row>
    <row r="21" spans="1:29" ht="12.75">
      <c r="A21" s="813" t="s">
        <v>198</v>
      </c>
      <c r="B21" s="813">
        <v>22</v>
      </c>
      <c r="C21" s="814">
        <v>20</v>
      </c>
      <c r="D21" s="813">
        <v>13</v>
      </c>
      <c r="E21" s="813" t="str">
        <f ca="1">"LI-IV-"&amp;$G$14</f>
        <v>LI-IV-01</v>
      </c>
      <c r="F21" s="813" t="s">
        <v>267</v>
      </c>
      <c r="G21" s="813">
        <v>3</v>
      </c>
      <c r="H21" s="814">
        <v>5</v>
      </c>
      <c r="I21" s="814">
        <v>4</v>
      </c>
      <c r="J21" s="813">
        <v>6</v>
      </c>
      <c r="K21" s="813">
        <v>7</v>
      </c>
      <c r="L21" s="813">
        <v>8</v>
      </c>
      <c r="M21" s="813">
        <v>9</v>
      </c>
      <c r="N21" s="813">
        <v>12</v>
      </c>
      <c r="O21" s="813">
        <v>13</v>
      </c>
      <c r="P21" s="813">
        <v>16</v>
      </c>
      <c r="Q21" s="813">
        <v>19</v>
      </c>
      <c r="R21" s="813">
        <v>30</v>
      </c>
      <c r="S21" s="813">
        <v>0</v>
      </c>
      <c r="T21" s="813">
        <v>0</v>
      </c>
      <c r="U21" s="813">
        <v>0</v>
      </c>
      <c r="V21" s="813">
        <v>0</v>
      </c>
      <c r="W21" s="814">
        <v>20</v>
      </c>
      <c r="X21" s="814">
        <v>9</v>
      </c>
      <c r="Y21" s="813">
        <v>43</v>
      </c>
      <c r="Z21" s="814">
        <v>31</v>
      </c>
      <c r="AA21" s="813">
        <v>20</v>
      </c>
      <c r="AB21" s="814">
        <v>31</v>
      </c>
      <c r="AC21" s="813">
        <v>16</v>
      </c>
    </row>
    <row r="22" spans="1:29" ht="12.75">
      <c r="A22" s="814" t="s">
        <v>247</v>
      </c>
      <c r="B22" s="814">
        <v>20</v>
      </c>
      <c r="C22" s="814">
        <v>20</v>
      </c>
      <c r="D22" s="814">
        <v>13</v>
      </c>
      <c r="E22" s="814" t="str">
        <f ca="1">"LI-INTESAR-"&amp;$G$14</f>
        <v>LI-INTESAR-01</v>
      </c>
      <c r="F22" s="814" t="s">
        <v>268</v>
      </c>
      <c r="G22" s="814">
        <v>3</v>
      </c>
      <c r="H22" s="814">
        <v>5</v>
      </c>
      <c r="I22" s="814">
        <v>4</v>
      </c>
      <c r="J22" s="814">
        <v>6</v>
      </c>
      <c r="K22" s="814">
        <v>7</v>
      </c>
      <c r="L22" s="814">
        <v>8</v>
      </c>
      <c r="M22" s="814">
        <v>9</v>
      </c>
      <c r="N22" s="814">
        <v>12</v>
      </c>
      <c r="O22" s="814">
        <v>13</v>
      </c>
      <c r="P22" s="814">
        <v>16</v>
      </c>
      <c r="Q22" s="814">
        <v>19</v>
      </c>
      <c r="R22" s="814">
        <v>30</v>
      </c>
      <c r="S22" s="814">
        <v>0</v>
      </c>
      <c r="T22" s="814">
        <v>0</v>
      </c>
      <c r="U22" s="814">
        <v>0</v>
      </c>
      <c r="V22" s="814">
        <v>0</v>
      </c>
      <c r="W22" s="814">
        <v>21</v>
      </c>
      <c r="X22" s="814">
        <v>9</v>
      </c>
      <c r="Y22" s="814">
        <v>41</v>
      </c>
      <c r="Z22" s="814">
        <v>31</v>
      </c>
      <c r="AA22" s="813">
        <v>20</v>
      </c>
      <c r="AB22" s="814">
        <v>31</v>
      </c>
      <c r="AC22" s="814">
        <v>16</v>
      </c>
    </row>
    <row r="23" spans="1:29" ht="12.75">
      <c r="A23" s="814" t="s">
        <v>248</v>
      </c>
      <c r="B23" s="814">
        <v>20</v>
      </c>
      <c r="C23" s="814">
        <v>20</v>
      </c>
      <c r="D23" s="814">
        <v>13</v>
      </c>
      <c r="E23" s="814" t="str">
        <f ca="1">"LI-CUYANA-"&amp;$G$14</f>
        <v>LI-CUYANA-01</v>
      </c>
      <c r="F23" s="814" t="s">
        <v>269</v>
      </c>
      <c r="G23" s="814">
        <v>3</v>
      </c>
      <c r="H23" s="814">
        <v>5</v>
      </c>
      <c r="I23" s="814">
        <v>4</v>
      </c>
      <c r="J23" s="814">
        <v>6</v>
      </c>
      <c r="K23" s="814">
        <v>7</v>
      </c>
      <c r="L23" s="814">
        <v>8</v>
      </c>
      <c r="M23" s="814">
        <v>9</v>
      </c>
      <c r="N23" s="814">
        <v>12</v>
      </c>
      <c r="O23" s="814">
        <v>13</v>
      </c>
      <c r="P23" s="814">
        <v>16</v>
      </c>
      <c r="Q23" s="814">
        <v>19</v>
      </c>
      <c r="R23" s="814">
        <v>30</v>
      </c>
      <c r="S23" s="814">
        <v>0</v>
      </c>
      <c r="T23" s="814">
        <v>0</v>
      </c>
      <c r="U23" s="814">
        <v>0</v>
      </c>
      <c r="V23" s="814">
        <v>0</v>
      </c>
      <c r="W23" s="814">
        <v>22</v>
      </c>
      <c r="X23" s="814">
        <v>9</v>
      </c>
      <c r="Y23" s="814">
        <v>41</v>
      </c>
      <c r="Z23" s="814">
        <v>31</v>
      </c>
      <c r="AA23" s="813">
        <v>20</v>
      </c>
      <c r="AB23" s="814">
        <v>31</v>
      </c>
      <c r="AC23" s="814">
        <v>16</v>
      </c>
    </row>
    <row r="24" spans="1:29" ht="12.75">
      <c r="A24" s="814" t="s">
        <v>244</v>
      </c>
      <c r="B24" s="814">
        <v>20</v>
      </c>
      <c r="C24" s="814">
        <v>20</v>
      </c>
      <c r="D24" s="814">
        <v>13</v>
      </c>
      <c r="E24" s="814" t="str">
        <f ca="1">"LI-LIMSA-"&amp;$G$14</f>
        <v>LI-LIMSA-01</v>
      </c>
      <c r="F24" s="814" t="s">
        <v>270</v>
      </c>
      <c r="G24" s="814">
        <v>3</v>
      </c>
      <c r="H24" s="814">
        <v>5</v>
      </c>
      <c r="I24" s="814">
        <v>4</v>
      </c>
      <c r="J24" s="814">
        <v>6</v>
      </c>
      <c r="K24" s="814">
        <v>7</v>
      </c>
      <c r="L24" s="814">
        <v>8</v>
      </c>
      <c r="M24" s="814">
        <v>9</v>
      </c>
      <c r="N24" s="814">
        <v>12</v>
      </c>
      <c r="O24" s="814">
        <v>13</v>
      </c>
      <c r="P24" s="814">
        <v>16</v>
      </c>
      <c r="Q24" s="814">
        <v>19</v>
      </c>
      <c r="R24" s="814">
        <v>30</v>
      </c>
      <c r="S24" s="814">
        <v>0</v>
      </c>
      <c r="T24" s="814">
        <v>0</v>
      </c>
      <c r="U24" s="814">
        <v>0</v>
      </c>
      <c r="V24" s="814">
        <v>0</v>
      </c>
      <c r="W24" s="814">
        <v>23</v>
      </c>
      <c r="X24" s="814">
        <v>9</v>
      </c>
      <c r="Y24" s="814">
        <v>41</v>
      </c>
      <c r="Z24" s="814">
        <v>31</v>
      </c>
      <c r="AA24" s="813">
        <v>20</v>
      </c>
      <c r="AB24" s="814">
        <v>31</v>
      </c>
      <c r="AC24" s="814">
        <v>16</v>
      </c>
    </row>
    <row r="25" spans="1:29" ht="12.75">
      <c r="A25" s="814" t="s">
        <v>290</v>
      </c>
      <c r="B25" s="814">
        <v>20</v>
      </c>
      <c r="C25" s="814">
        <v>20</v>
      </c>
      <c r="D25" s="814">
        <v>13</v>
      </c>
      <c r="E25" s="814" t="str">
        <f ca="1">"LI-RIOJA-"&amp;$G$14</f>
        <v>LI-RIOJA-01</v>
      </c>
      <c r="F25" s="814" t="s">
        <v>291</v>
      </c>
      <c r="G25" s="814">
        <v>3</v>
      </c>
      <c r="H25" s="814">
        <v>5</v>
      </c>
      <c r="I25" s="814">
        <v>4</v>
      </c>
      <c r="J25" s="814">
        <v>6</v>
      </c>
      <c r="K25" s="814">
        <v>7</v>
      </c>
      <c r="L25" s="814">
        <v>8</v>
      </c>
      <c r="M25" s="814">
        <v>9</v>
      </c>
      <c r="N25" s="814">
        <v>12</v>
      </c>
      <c r="O25" s="814">
        <v>13</v>
      </c>
      <c r="P25" s="814">
        <v>16</v>
      </c>
      <c r="Q25" s="814">
        <v>19</v>
      </c>
      <c r="R25" s="814">
        <v>30</v>
      </c>
      <c r="S25" s="814">
        <v>0</v>
      </c>
      <c r="T25" s="814">
        <v>0</v>
      </c>
      <c r="U25" s="814">
        <v>0</v>
      </c>
      <c r="V25" s="814">
        <v>0</v>
      </c>
      <c r="W25" s="814">
        <v>24</v>
      </c>
      <c r="X25" s="814">
        <v>9</v>
      </c>
      <c r="Y25" s="814">
        <v>41</v>
      </c>
      <c r="Z25" s="814">
        <v>31</v>
      </c>
      <c r="AA25" s="813">
        <v>20</v>
      </c>
      <c r="AB25" s="814">
        <v>31</v>
      </c>
      <c r="AC25" s="814">
        <v>16</v>
      </c>
    </row>
    <row r="26" spans="1:29" ht="12.75">
      <c r="A26" s="816" t="s">
        <v>150</v>
      </c>
      <c r="B26" s="816">
        <v>22</v>
      </c>
      <c r="C26" s="817">
        <v>20</v>
      </c>
      <c r="D26" s="816">
        <v>14</v>
      </c>
      <c r="E26" s="816" t="str">
        <f ca="1">"TR-"&amp;$G$14</f>
        <v>TR-01</v>
      </c>
      <c r="F26" s="816" t="s">
        <v>271</v>
      </c>
      <c r="G26" s="814">
        <v>3</v>
      </c>
      <c r="H26" s="814">
        <v>5</v>
      </c>
      <c r="I26" s="814">
        <v>4</v>
      </c>
      <c r="J26" s="814">
        <v>6</v>
      </c>
      <c r="K26" s="814">
        <v>7</v>
      </c>
      <c r="L26" s="817">
        <v>8</v>
      </c>
      <c r="M26" s="817">
        <v>9</v>
      </c>
      <c r="N26" s="817">
        <v>11</v>
      </c>
      <c r="O26" s="817">
        <v>12</v>
      </c>
      <c r="P26" s="817">
        <v>15</v>
      </c>
      <c r="Q26" s="817">
        <v>17</v>
      </c>
      <c r="R26" s="817">
        <v>18</v>
      </c>
      <c r="S26" s="817">
        <v>28</v>
      </c>
      <c r="T26" s="817">
        <v>0</v>
      </c>
      <c r="U26" s="817">
        <v>0</v>
      </c>
      <c r="V26" s="817">
        <v>0</v>
      </c>
      <c r="W26" s="817">
        <v>28</v>
      </c>
      <c r="X26" s="814">
        <v>9</v>
      </c>
      <c r="Y26" s="816">
        <v>43</v>
      </c>
      <c r="Z26" s="816">
        <v>29</v>
      </c>
      <c r="AA26" s="816">
        <v>20</v>
      </c>
      <c r="AB26" s="816">
        <v>29</v>
      </c>
      <c r="AC26" s="816">
        <v>15</v>
      </c>
    </row>
    <row r="27" spans="1:29" ht="12.75">
      <c r="A27" s="813" t="s">
        <v>154</v>
      </c>
      <c r="B27" s="813">
        <v>22</v>
      </c>
      <c r="C27" s="814">
        <v>20</v>
      </c>
      <c r="D27" s="816">
        <v>14</v>
      </c>
      <c r="E27" s="813" t="str">
        <f ca="1">"TR-LITSA-"&amp;$G$14</f>
        <v>TR-LITSA-01</v>
      </c>
      <c r="F27" s="813" t="s">
        <v>272</v>
      </c>
      <c r="G27" s="814">
        <v>3</v>
      </c>
      <c r="H27" s="814">
        <v>5</v>
      </c>
      <c r="I27" s="814">
        <v>4</v>
      </c>
      <c r="J27" s="814">
        <v>6</v>
      </c>
      <c r="K27" s="814">
        <v>7</v>
      </c>
      <c r="L27" s="817">
        <v>8</v>
      </c>
      <c r="M27" s="817">
        <v>9</v>
      </c>
      <c r="N27" s="817">
        <v>11</v>
      </c>
      <c r="O27" s="817">
        <v>12</v>
      </c>
      <c r="P27" s="817">
        <v>15</v>
      </c>
      <c r="Q27" s="817">
        <v>17</v>
      </c>
      <c r="R27" s="817">
        <v>18</v>
      </c>
      <c r="S27" s="817">
        <v>28</v>
      </c>
      <c r="T27" s="817">
        <v>0</v>
      </c>
      <c r="U27" s="817">
        <v>0</v>
      </c>
      <c r="V27" s="817">
        <v>0</v>
      </c>
      <c r="W27" s="817">
        <v>29</v>
      </c>
      <c r="X27" s="814">
        <v>9</v>
      </c>
      <c r="Y27" s="816">
        <v>43</v>
      </c>
      <c r="Z27" s="816">
        <v>29</v>
      </c>
      <c r="AA27" s="816">
        <v>20</v>
      </c>
      <c r="AB27" s="816">
        <v>29</v>
      </c>
      <c r="AC27" s="816">
        <v>15</v>
      </c>
    </row>
    <row r="28" spans="1:29" ht="12.75">
      <c r="A28" s="813" t="s">
        <v>155</v>
      </c>
      <c r="B28" s="813">
        <v>20</v>
      </c>
      <c r="C28" s="814">
        <v>20</v>
      </c>
      <c r="D28" s="816">
        <v>14</v>
      </c>
      <c r="E28" s="813" t="str">
        <f ca="1">"TR-TIBA-"&amp;$G$14</f>
        <v>TR-TIBA-01</v>
      </c>
      <c r="F28" s="813" t="s">
        <v>273</v>
      </c>
      <c r="G28" s="814">
        <v>3</v>
      </c>
      <c r="H28" s="814">
        <v>5</v>
      </c>
      <c r="I28" s="814">
        <v>4</v>
      </c>
      <c r="J28" s="814">
        <v>6</v>
      </c>
      <c r="K28" s="814">
        <v>7</v>
      </c>
      <c r="L28" s="817">
        <v>8</v>
      </c>
      <c r="M28" s="817">
        <v>9</v>
      </c>
      <c r="N28" s="817">
        <v>11</v>
      </c>
      <c r="O28" s="817">
        <v>12</v>
      </c>
      <c r="P28" s="817">
        <v>15</v>
      </c>
      <c r="Q28" s="817">
        <v>17</v>
      </c>
      <c r="R28" s="817">
        <v>18</v>
      </c>
      <c r="S28" s="817">
        <v>28</v>
      </c>
      <c r="T28" s="817">
        <v>0</v>
      </c>
      <c r="U28" s="817">
        <v>0</v>
      </c>
      <c r="V28" s="817">
        <v>0</v>
      </c>
      <c r="W28" s="817">
        <v>30</v>
      </c>
      <c r="X28" s="814">
        <v>9</v>
      </c>
      <c r="Y28" s="816">
        <v>41</v>
      </c>
      <c r="Z28" s="816">
        <v>29</v>
      </c>
      <c r="AA28" s="816">
        <v>18</v>
      </c>
      <c r="AB28" s="816">
        <v>29</v>
      </c>
      <c r="AC28" s="816">
        <v>15</v>
      </c>
    </row>
    <row r="29" spans="1:29" ht="12.75">
      <c r="A29" s="813" t="s">
        <v>156</v>
      </c>
      <c r="B29" s="813">
        <v>20</v>
      </c>
      <c r="C29" s="814">
        <v>20</v>
      </c>
      <c r="D29" s="816">
        <v>14</v>
      </c>
      <c r="E29" s="813" t="str">
        <f ca="1">"TR-ENECOR-"&amp;$G$14</f>
        <v>TR-ENECOR-01</v>
      </c>
      <c r="F29" s="813" t="s">
        <v>274</v>
      </c>
      <c r="G29" s="814">
        <v>3</v>
      </c>
      <c r="H29" s="814">
        <v>5</v>
      </c>
      <c r="I29" s="814">
        <v>4</v>
      </c>
      <c r="J29" s="814">
        <v>6</v>
      </c>
      <c r="K29" s="814">
        <v>7</v>
      </c>
      <c r="L29" s="817">
        <v>8</v>
      </c>
      <c r="M29" s="817">
        <v>9</v>
      </c>
      <c r="N29" s="817">
        <v>11</v>
      </c>
      <c r="O29" s="817">
        <v>12</v>
      </c>
      <c r="P29" s="817">
        <v>15</v>
      </c>
      <c r="Q29" s="817">
        <v>17</v>
      </c>
      <c r="R29" s="817">
        <v>18</v>
      </c>
      <c r="S29" s="817">
        <v>28</v>
      </c>
      <c r="T29" s="817">
        <v>0</v>
      </c>
      <c r="U29" s="817">
        <v>0</v>
      </c>
      <c r="V29" s="817">
        <v>0</v>
      </c>
      <c r="W29" s="817">
        <v>31</v>
      </c>
      <c r="X29" s="814">
        <v>9</v>
      </c>
      <c r="Y29" s="816">
        <v>41</v>
      </c>
      <c r="Z29" s="816">
        <v>29</v>
      </c>
      <c r="AA29" s="816">
        <v>20</v>
      </c>
      <c r="AB29" s="816">
        <v>29</v>
      </c>
      <c r="AC29" s="816">
        <v>15</v>
      </c>
    </row>
    <row r="30" spans="1:29" ht="12.75">
      <c r="A30" s="814" t="s">
        <v>256</v>
      </c>
      <c r="B30" s="814">
        <v>20</v>
      </c>
      <c r="C30" s="814">
        <v>20</v>
      </c>
      <c r="D30" s="817">
        <v>14</v>
      </c>
      <c r="E30" s="814" t="str">
        <f ca="1">"TR-INTESAR-"&amp;$G$14</f>
        <v>TR-INTESAR-01</v>
      </c>
      <c r="F30" s="814" t="s">
        <v>275</v>
      </c>
      <c r="G30" s="814">
        <v>3</v>
      </c>
      <c r="H30" s="814">
        <v>5</v>
      </c>
      <c r="I30" s="814">
        <v>4</v>
      </c>
      <c r="J30" s="814">
        <v>6</v>
      </c>
      <c r="K30" s="814">
        <v>7</v>
      </c>
      <c r="L30" s="817">
        <v>8</v>
      </c>
      <c r="M30" s="817">
        <v>9</v>
      </c>
      <c r="N30" s="817">
        <v>11</v>
      </c>
      <c r="O30" s="817">
        <v>12</v>
      </c>
      <c r="P30" s="817">
        <v>15</v>
      </c>
      <c r="Q30" s="817">
        <v>17</v>
      </c>
      <c r="R30" s="817">
        <v>18</v>
      </c>
      <c r="S30" s="817">
        <v>28</v>
      </c>
      <c r="T30" s="817">
        <v>0</v>
      </c>
      <c r="U30" s="817">
        <v>0</v>
      </c>
      <c r="V30" s="817">
        <v>0</v>
      </c>
      <c r="W30" s="817">
        <v>32</v>
      </c>
      <c r="X30" s="814">
        <v>9</v>
      </c>
      <c r="Y30" s="816">
        <v>41</v>
      </c>
      <c r="Z30" s="817">
        <v>29</v>
      </c>
      <c r="AA30" s="817">
        <v>20</v>
      </c>
      <c r="AB30" s="817">
        <v>29</v>
      </c>
      <c r="AC30" s="817">
        <v>15</v>
      </c>
    </row>
    <row r="31" spans="1:29" ht="12.75">
      <c r="A31" s="814" t="s">
        <v>245</v>
      </c>
      <c r="B31" s="814">
        <v>20</v>
      </c>
      <c r="C31" s="814">
        <v>20</v>
      </c>
      <c r="D31" s="817">
        <v>14</v>
      </c>
      <c r="E31" s="814" t="str">
        <f ca="1">"TR-LIMSA-"&amp;$G$14</f>
        <v>TR-LIMSA-01</v>
      </c>
      <c r="F31" s="814" t="s">
        <v>276</v>
      </c>
      <c r="G31" s="814">
        <v>3</v>
      </c>
      <c r="H31" s="814">
        <v>5</v>
      </c>
      <c r="I31" s="814">
        <v>4</v>
      </c>
      <c r="J31" s="814">
        <v>6</v>
      </c>
      <c r="K31" s="814">
        <v>7</v>
      </c>
      <c r="L31" s="817">
        <v>8</v>
      </c>
      <c r="M31" s="817">
        <v>9</v>
      </c>
      <c r="N31" s="817">
        <v>11</v>
      </c>
      <c r="O31" s="817">
        <v>12</v>
      </c>
      <c r="P31" s="817">
        <v>15</v>
      </c>
      <c r="Q31" s="817">
        <v>17</v>
      </c>
      <c r="R31" s="817">
        <v>18</v>
      </c>
      <c r="S31" s="817">
        <v>28</v>
      </c>
      <c r="T31" s="817">
        <v>0</v>
      </c>
      <c r="U31" s="817">
        <v>0</v>
      </c>
      <c r="V31" s="817">
        <v>0</v>
      </c>
      <c r="W31" s="817">
        <v>33</v>
      </c>
      <c r="X31" s="814">
        <v>9</v>
      </c>
      <c r="Y31" s="816">
        <v>41</v>
      </c>
      <c r="Z31" s="817">
        <v>29</v>
      </c>
      <c r="AA31" s="817">
        <v>20</v>
      </c>
      <c r="AB31" s="817">
        <v>29</v>
      </c>
      <c r="AC31" s="817">
        <v>15</v>
      </c>
    </row>
    <row r="32" spans="1:29" ht="12.75">
      <c r="A32" s="814" t="s">
        <v>249</v>
      </c>
      <c r="B32" s="814">
        <v>20</v>
      </c>
      <c r="C32" s="814">
        <v>20</v>
      </c>
      <c r="D32" s="817">
        <v>14</v>
      </c>
      <c r="E32" s="814" t="str">
        <f ca="1">"TR-CUYANA-"&amp;$G$14</f>
        <v>TR-CUYANA-01</v>
      </c>
      <c r="F32" s="814" t="s">
        <v>277</v>
      </c>
      <c r="G32" s="814">
        <v>3</v>
      </c>
      <c r="H32" s="814">
        <v>5</v>
      </c>
      <c r="I32" s="814">
        <v>4</v>
      </c>
      <c r="J32" s="814">
        <v>6</v>
      </c>
      <c r="K32" s="814">
        <v>7</v>
      </c>
      <c r="L32" s="817">
        <v>8</v>
      </c>
      <c r="M32" s="817">
        <v>9</v>
      </c>
      <c r="N32" s="817">
        <v>11</v>
      </c>
      <c r="O32" s="817">
        <v>12</v>
      </c>
      <c r="P32" s="817">
        <v>15</v>
      </c>
      <c r="Q32" s="817">
        <v>17</v>
      </c>
      <c r="R32" s="817">
        <v>18</v>
      </c>
      <c r="S32" s="817">
        <v>28</v>
      </c>
      <c r="T32" s="817">
        <v>0</v>
      </c>
      <c r="U32" s="817">
        <v>0</v>
      </c>
      <c r="V32" s="817">
        <v>0</v>
      </c>
      <c r="W32" s="817">
        <v>34</v>
      </c>
      <c r="X32" s="814">
        <v>9</v>
      </c>
      <c r="Y32" s="816">
        <v>41</v>
      </c>
      <c r="Z32" s="817">
        <v>29</v>
      </c>
      <c r="AA32" s="817">
        <v>20</v>
      </c>
      <c r="AB32" s="817">
        <v>29</v>
      </c>
      <c r="AC32" s="817">
        <v>15</v>
      </c>
    </row>
    <row r="33" spans="1:29" ht="12.75">
      <c r="A33" s="814" t="s">
        <v>292</v>
      </c>
      <c r="B33" s="814">
        <v>20</v>
      </c>
      <c r="C33" s="814">
        <v>20</v>
      </c>
      <c r="D33" s="817">
        <v>14</v>
      </c>
      <c r="E33" s="814" t="str">
        <f ca="1">"TR-COBRA-"&amp;$G$14</f>
        <v>TR-COBRA-01</v>
      </c>
      <c r="F33" s="814" t="s">
        <v>293</v>
      </c>
      <c r="G33" s="814">
        <v>3</v>
      </c>
      <c r="H33" s="814">
        <v>5</v>
      </c>
      <c r="I33" s="814">
        <v>4</v>
      </c>
      <c r="J33" s="814">
        <v>6</v>
      </c>
      <c r="K33" s="814">
        <v>7</v>
      </c>
      <c r="L33" s="817">
        <v>8</v>
      </c>
      <c r="M33" s="817">
        <v>9</v>
      </c>
      <c r="N33" s="817">
        <v>11</v>
      </c>
      <c r="O33" s="817">
        <v>12</v>
      </c>
      <c r="P33" s="817">
        <v>15</v>
      </c>
      <c r="Q33" s="817">
        <v>17</v>
      </c>
      <c r="R33" s="817">
        <v>18</v>
      </c>
      <c r="S33" s="817">
        <v>28</v>
      </c>
      <c r="T33" s="817">
        <v>0</v>
      </c>
      <c r="U33" s="817">
        <v>0</v>
      </c>
      <c r="V33" s="817">
        <v>0</v>
      </c>
      <c r="W33" s="817">
        <v>35</v>
      </c>
      <c r="X33" s="814">
        <v>9</v>
      </c>
      <c r="Y33" s="816">
        <v>41</v>
      </c>
      <c r="Z33" s="817">
        <v>29</v>
      </c>
      <c r="AA33" s="817">
        <v>20</v>
      </c>
      <c r="AB33" s="817">
        <v>29</v>
      </c>
      <c r="AC33" s="817">
        <v>15</v>
      </c>
    </row>
    <row r="34" spans="1:29" ht="12.75">
      <c r="A34" s="813" t="s">
        <v>151</v>
      </c>
      <c r="B34" s="813">
        <v>24</v>
      </c>
      <c r="C34" s="814">
        <v>20</v>
      </c>
      <c r="D34" s="814">
        <v>11</v>
      </c>
      <c r="E34" s="813" t="str">
        <f ca="1">"SA-"&amp;$G$14</f>
        <v>SA-01</v>
      </c>
      <c r="F34" s="813" t="s">
        <v>278</v>
      </c>
      <c r="G34" s="813">
        <v>3</v>
      </c>
      <c r="H34" s="814">
        <v>5</v>
      </c>
      <c r="I34" s="814">
        <v>4</v>
      </c>
      <c r="J34" s="813">
        <v>6</v>
      </c>
      <c r="K34" s="813">
        <v>7</v>
      </c>
      <c r="L34" s="813">
        <v>8</v>
      </c>
      <c r="M34" s="813">
        <v>10</v>
      </c>
      <c r="N34" s="813">
        <v>11</v>
      </c>
      <c r="O34" s="813">
        <v>14</v>
      </c>
      <c r="P34" s="813">
        <v>15</v>
      </c>
      <c r="Q34" s="813">
        <v>21</v>
      </c>
      <c r="R34" s="813">
        <v>0</v>
      </c>
      <c r="S34" s="813">
        <v>0</v>
      </c>
      <c r="T34" s="813">
        <v>0</v>
      </c>
      <c r="U34" s="813">
        <v>0</v>
      </c>
      <c r="V34" s="813">
        <v>0</v>
      </c>
      <c r="W34" s="814">
        <v>37</v>
      </c>
      <c r="X34" s="814">
        <v>9</v>
      </c>
      <c r="Y34" s="813">
        <v>45</v>
      </c>
      <c r="Z34" s="813">
        <v>22</v>
      </c>
      <c r="AA34" s="813">
        <v>22</v>
      </c>
      <c r="AB34" s="813">
        <v>22</v>
      </c>
      <c r="AC34" s="814">
        <v>14</v>
      </c>
    </row>
    <row r="35" spans="1:29" ht="12.75">
      <c r="A35" s="813" t="s">
        <v>157</v>
      </c>
      <c r="B35" s="813">
        <v>22</v>
      </c>
      <c r="C35" s="814">
        <v>20</v>
      </c>
      <c r="D35" s="814">
        <v>11</v>
      </c>
      <c r="E35" s="813" t="str">
        <f ca="1">"SA-TIBA-"&amp;$G$14</f>
        <v>SA-TIBA-01</v>
      </c>
      <c r="F35" s="813" t="s">
        <v>279</v>
      </c>
      <c r="G35" s="813">
        <v>3</v>
      </c>
      <c r="H35" s="814">
        <v>5</v>
      </c>
      <c r="I35" s="814">
        <v>4</v>
      </c>
      <c r="J35" s="813">
        <v>6</v>
      </c>
      <c r="K35" s="813">
        <v>7</v>
      </c>
      <c r="L35" s="813">
        <v>8</v>
      </c>
      <c r="M35" s="813">
        <v>10</v>
      </c>
      <c r="N35" s="813">
        <v>11</v>
      </c>
      <c r="O35" s="813">
        <v>14</v>
      </c>
      <c r="P35" s="813">
        <v>15</v>
      </c>
      <c r="Q35" s="813">
        <v>21</v>
      </c>
      <c r="R35" s="813">
        <v>0</v>
      </c>
      <c r="S35" s="813">
        <v>0</v>
      </c>
      <c r="T35" s="813">
        <v>0</v>
      </c>
      <c r="U35" s="813">
        <v>0</v>
      </c>
      <c r="V35" s="813">
        <v>0</v>
      </c>
      <c r="W35" s="814">
        <v>38</v>
      </c>
      <c r="X35" s="814">
        <v>9</v>
      </c>
      <c r="Y35" s="813">
        <v>43</v>
      </c>
      <c r="Z35" s="813">
        <v>22</v>
      </c>
      <c r="AA35" s="813">
        <v>20</v>
      </c>
      <c r="AB35" s="813">
        <v>22</v>
      </c>
      <c r="AC35" s="814">
        <v>14</v>
      </c>
    </row>
    <row r="36" spans="1:29" ht="12.75">
      <c r="A36" s="813" t="s">
        <v>158</v>
      </c>
      <c r="B36" s="813">
        <v>22</v>
      </c>
      <c r="C36" s="814">
        <v>20</v>
      </c>
      <c r="D36" s="814">
        <v>11</v>
      </c>
      <c r="E36" s="813" t="str">
        <f ca="1">"SA-ENECOR-"&amp;$G$14</f>
        <v>SA-ENECOR-01</v>
      </c>
      <c r="F36" s="813" t="s">
        <v>280</v>
      </c>
      <c r="G36" s="813">
        <v>3</v>
      </c>
      <c r="H36" s="814">
        <v>5</v>
      </c>
      <c r="I36" s="814">
        <v>4</v>
      </c>
      <c r="J36" s="813">
        <v>6</v>
      </c>
      <c r="K36" s="813">
        <v>7</v>
      </c>
      <c r="L36" s="813">
        <v>8</v>
      </c>
      <c r="M36" s="813">
        <v>10</v>
      </c>
      <c r="N36" s="813">
        <v>11</v>
      </c>
      <c r="O36" s="813">
        <v>14</v>
      </c>
      <c r="P36" s="813">
        <v>15</v>
      </c>
      <c r="Q36" s="813">
        <v>21</v>
      </c>
      <c r="R36" s="813">
        <v>0</v>
      </c>
      <c r="S36" s="813">
        <v>0</v>
      </c>
      <c r="T36" s="813">
        <v>0</v>
      </c>
      <c r="U36" s="813">
        <v>0</v>
      </c>
      <c r="V36" s="813">
        <v>0</v>
      </c>
      <c r="W36" s="814">
        <v>39</v>
      </c>
      <c r="X36" s="814">
        <v>9</v>
      </c>
      <c r="Y36" s="813">
        <v>43</v>
      </c>
      <c r="Z36" s="813">
        <v>22</v>
      </c>
      <c r="AA36" s="813">
        <v>20</v>
      </c>
      <c r="AB36" s="813">
        <v>22</v>
      </c>
      <c r="AC36" s="814">
        <v>14</v>
      </c>
    </row>
    <row r="37" spans="1:29" ht="12.75">
      <c r="A37" s="813" t="s">
        <v>263</v>
      </c>
      <c r="B37" s="813">
        <v>24</v>
      </c>
      <c r="C37" s="814">
        <v>20</v>
      </c>
      <c r="D37" s="814">
        <v>11</v>
      </c>
      <c r="E37" s="813" t="str">
        <f ca="1">"SA-LITSA-"&amp;$G$14</f>
        <v>SA-LITSA-01</v>
      </c>
      <c r="F37" s="813" t="s">
        <v>281</v>
      </c>
      <c r="G37" s="813">
        <v>3</v>
      </c>
      <c r="H37" s="814">
        <v>5</v>
      </c>
      <c r="I37" s="814">
        <v>4</v>
      </c>
      <c r="J37" s="813">
        <v>6</v>
      </c>
      <c r="K37" s="813">
        <v>7</v>
      </c>
      <c r="L37" s="813">
        <v>8</v>
      </c>
      <c r="M37" s="813">
        <v>10</v>
      </c>
      <c r="N37" s="813">
        <v>11</v>
      </c>
      <c r="O37" s="813">
        <v>14</v>
      </c>
      <c r="P37" s="813">
        <v>15</v>
      </c>
      <c r="Q37" s="813">
        <v>21</v>
      </c>
      <c r="R37" s="813">
        <v>0</v>
      </c>
      <c r="S37" s="813">
        <v>0</v>
      </c>
      <c r="T37" s="813">
        <v>0</v>
      </c>
      <c r="U37" s="813">
        <v>0</v>
      </c>
      <c r="V37" s="813">
        <v>0</v>
      </c>
      <c r="W37" s="814">
        <v>43</v>
      </c>
      <c r="X37" s="814">
        <v>9</v>
      </c>
      <c r="Y37" s="813">
        <v>45</v>
      </c>
      <c r="Z37" s="813">
        <v>22</v>
      </c>
      <c r="AA37" s="813">
        <v>22</v>
      </c>
      <c r="AB37" s="813">
        <v>22</v>
      </c>
      <c r="AC37" s="814">
        <v>14</v>
      </c>
    </row>
    <row r="38" spans="1:29" ht="12.75">
      <c r="A38" s="813" t="s">
        <v>262</v>
      </c>
      <c r="B38" s="813">
        <v>24</v>
      </c>
      <c r="C38" s="814">
        <v>20</v>
      </c>
      <c r="D38" s="814">
        <v>11</v>
      </c>
      <c r="E38" s="813" t="str">
        <f ca="1">"SA-LIMSA-"&amp;$G$14</f>
        <v>SA-LIMSA-01</v>
      </c>
      <c r="F38" s="813" t="s">
        <v>282</v>
      </c>
      <c r="G38" s="813">
        <v>3</v>
      </c>
      <c r="H38" s="814">
        <v>5</v>
      </c>
      <c r="I38" s="814">
        <v>4</v>
      </c>
      <c r="J38" s="813">
        <v>6</v>
      </c>
      <c r="K38" s="813">
        <v>7</v>
      </c>
      <c r="L38" s="813">
        <v>8</v>
      </c>
      <c r="M38" s="813">
        <v>10</v>
      </c>
      <c r="N38" s="813">
        <v>11</v>
      </c>
      <c r="O38" s="813">
        <v>14</v>
      </c>
      <c r="P38" s="813">
        <v>15</v>
      </c>
      <c r="Q38" s="813">
        <v>21</v>
      </c>
      <c r="R38" s="813">
        <v>0</v>
      </c>
      <c r="S38" s="813">
        <v>0</v>
      </c>
      <c r="T38" s="813">
        <v>0</v>
      </c>
      <c r="U38" s="813">
        <v>0</v>
      </c>
      <c r="V38" s="813">
        <v>0</v>
      </c>
      <c r="W38" s="814">
        <v>42</v>
      </c>
      <c r="X38" s="814">
        <v>9</v>
      </c>
      <c r="Y38" s="813">
        <v>45</v>
      </c>
      <c r="Z38" s="813">
        <v>22</v>
      </c>
      <c r="AA38" s="813">
        <v>22</v>
      </c>
      <c r="AB38" s="813">
        <v>22</v>
      </c>
      <c r="AC38" s="814">
        <v>14</v>
      </c>
    </row>
    <row r="39" spans="1:29" ht="12.75">
      <c r="A39" s="814" t="s">
        <v>250</v>
      </c>
      <c r="B39" s="813">
        <v>24</v>
      </c>
      <c r="C39" s="813">
        <v>20</v>
      </c>
      <c r="D39" s="814">
        <v>11</v>
      </c>
      <c r="E39" s="814" t="str">
        <f ca="1">"SA-TESA-"&amp;$G$14</f>
        <v>SA-TESA-01</v>
      </c>
      <c r="F39" s="814" t="s">
        <v>283</v>
      </c>
      <c r="G39" s="814">
        <v>3</v>
      </c>
      <c r="H39" s="814">
        <v>5</v>
      </c>
      <c r="I39" s="814">
        <v>4</v>
      </c>
      <c r="J39" s="814">
        <v>6</v>
      </c>
      <c r="K39" s="814">
        <v>7</v>
      </c>
      <c r="L39" s="814">
        <v>8</v>
      </c>
      <c r="M39" s="814">
        <v>10</v>
      </c>
      <c r="N39" s="814">
        <v>11</v>
      </c>
      <c r="O39" s="814">
        <v>14</v>
      </c>
      <c r="P39" s="814">
        <v>15</v>
      </c>
      <c r="Q39" s="813">
        <v>21</v>
      </c>
      <c r="R39" s="814">
        <v>0</v>
      </c>
      <c r="S39" s="814">
        <v>0</v>
      </c>
      <c r="T39" s="814">
        <v>0</v>
      </c>
      <c r="U39" s="814">
        <v>0</v>
      </c>
      <c r="V39" s="814">
        <v>0</v>
      </c>
      <c r="W39" s="814">
        <v>40</v>
      </c>
      <c r="X39" s="814">
        <v>9</v>
      </c>
      <c r="Y39" s="813">
        <v>45</v>
      </c>
      <c r="Z39" s="814">
        <v>22</v>
      </c>
      <c r="AA39" s="814">
        <v>22</v>
      </c>
      <c r="AB39" s="814">
        <v>22</v>
      </c>
      <c r="AC39" s="814">
        <v>14</v>
      </c>
    </row>
    <row r="40" spans="1:29" ht="12.75">
      <c r="A40" s="814" t="s">
        <v>251</v>
      </c>
      <c r="B40" s="813">
        <v>24</v>
      </c>
      <c r="C40" s="813">
        <v>20</v>
      </c>
      <c r="D40" s="814">
        <v>11</v>
      </c>
      <c r="E40" s="814" t="str">
        <f ca="1">"SA-CTM-"&amp;$G$14</f>
        <v>SA-CTM-01</v>
      </c>
      <c r="F40" s="814" t="s">
        <v>284</v>
      </c>
      <c r="G40" s="814">
        <v>3</v>
      </c>
      <c r="H40" s="814">
        <v>5</v>
      </c>
      <c r="I40" s="814">
        <v>4</v>
      </c>
      <c r="J40" s="814">
        <v>6</v>
      </c>
      <c r="K40" s="814">
        <v>7</v>
      </c>
      <c r="L40" s="814">
        <v>8</v>
      </c>
      <c r="M40" s="814">
        <v>10</v>
      </c>
      <c r="N40" s="814">
        <v>11</v>
      </c>
      <c r="O40" s="814">
        <v>14</v>
      </c>
      <c r="P40" s="814">
        <v>15</v>
      </c>
      <c r="Q40" s="813">
        <v>21</v>
      </c>
      <c r="R40" s="814">
        <v>0</v>
      </c>
      <c r="S40" s="814">
        <v>0</v>
      </c>
      <c r="T40" s="814">
        <v>0</v>
      </c>
      <c r="U40" s="814">
        <v>0</v>
      </c>
      <c r="V40" s="814">
        <v>0</v>
      </c>
      <c r="W40" s="814">
        <v>41</v>
      </c>
      <c r="X40" s="814">
        <v>9</v>
      </c>
      <c r="Y40" s="813">
        <v>45</v>
      </c>
      <c r="Z40" s="814">
        <v>22</v>
      </c>
      <c r="AA40" s="814">
        <v>22</v>
      </c>
      <c r="AB40" s="814">
        <v>22</v>
      </c>
      <c r="AC40" s="814">
        <v>14</v>
      </c>
    </row>
    <row r="41" spans="1:29" ht="12.75">
      <c r="A41" s="813" t="s">
        <v>159</v>
      </c>
      <c r="B41" s="813">
        <v>22</v>
      </c>
      <c r="C41" s="813">
        <v>20</v>
      </c>
      <c r="D41" s="813">
        <v>12</v>
      </c>
      <c r="E41" s="813" t="str">
        <f ca="1">"RE-"&amp;$G$14</f>
        <v>RE-01</v>
      </c>
      <c r="F41" s="813" t="s">
        <v>285</v>
      </c>
      <c r="G41" s="813">
        <v>3</v>
      </c>
      <c r="H41" s="814">
        <v>5</v>
      </c>
      <c r="I41" s="814">
        <v>4</v>
      </c>
      <c r="J41" s="813">
        <v>6</v>
      </c>
      <c r="K41" s="813">
        <v>7</v>
      </c>
      <c r="L41" s="813">
        <v>8</v>
      </c>
      <c r="M41" s="813">
        <v>10</v>
      </c>
      <c r="N41" s="813">
        <v>11</v>
      </c>
      <c r="O41" s="813">
        <v>14</v>
      </c>
      <c r="P41" s="813">
        <v>16</v>
      </c>
      <c r="Q41" s="813">
        <v>25</v>
      </c>
      <c r="R41" s="813">
        <v>15</v>
      </c>
      <c r="S41" s="813">
        <v>0</v>
      </c>
      <c r="T41" s="813">
        <v>0</v>
      </c>
      <c r="U41" s="813">
        <v>0</v>
      </c>
      <c r="V41" s="813">
        <v>0</v>
      </c>
      <c r="W41" s="814">
        <v>46</v>
      </c>
      <c r="X41" s="814">
        <v>9</v>
      </c>
      <c r="Y41" s="813">
        <v>43</v>
      </c>
      <c r="Z41" s="813">
        <v>26</v>
      </c>
      <c r="AA41" s="813">
        <v>20</v>
      </c>
      <c r="AB41" s="813">
        <v>23</v>
      </c>
      <c r="AC41" s="813">
        <v>14</v>
      </c>
    </row>
    <row r="42" spans="1:29" ht="12.75">
      <c r="A42" s="813" t="s">
        <v>163</v>
      </c>
      <c r="B42" s="813">
        <v>22</v>
      </c>
      <c r="C42" s="813">
        <v>20</v>
      </c>
      <c r="D42" s="813">
        <v>12</v>
      </c>
      <c r="E42" s="813" t="str">
        <f ca="1">"RE-YACY-"&amp;$G$14</f>
        <v>RE-YACY-01</v>
      </c>
      <c r="F42" s="813" t="s">
        <v>286</v>
      </c>
      <c r="G42" s="813">
        <v>3</v>
      </c>
      <c r="H42" s="814">
        <v>5</v>
      </c>
      <c r="I42" s="814">
        <v>4</v>
      </c>
      <c r="J42" s="813">
        <v>6</v>
      </c>
      <c r="K42" s="813">
        <v>7</v>
      </c>
      <c r="L42" s="813">
        <v>8</v>
      </c>
      <c r="M42" s="813">
        <v>10</v>
      </c>
      <c r="N42" s="813">
        <v>11</v>
      </c>
      <c r="O42" s="813">
        <v>14</v>
      </c>
      <c r="P42" s="813">
        <v>16</v>
      </c>
      <c r="Q42" s="813">
        <v>25</v>
      </c>
      <c r="R42" s="813">
        <v>15</v>
      </c>
      <c r="S42" s="813">
        <v>0</v>
      </c>
      <c r="T42" s="813">
        <v>0</v>
      </c>
      <c r="U42" s="813">
        <v>0</v>
      </c>
      <c r="V42" s="813">
        <v>0</v>
      </c>
      <c r="W42" s="814">
        <v>48</v>
      </c>
      <c r="X42" s="814">
        <v>9</v>
      </c>
      <c r="Y42" s="813">
        <v>43</v>
      </c>
      <c r="Z42" s="813">
        <v>26</v>
      </c>
      <c r="AA42" s="813">
        <v>20</v>
      </c>
      <c r="AB42" s="813">
        <v>23</v>
      </c>
      <c r="AC42" s="813">
        <v>14</v>
      </c>
    </row>
    <row r="43" spans="1:29" ht="12.75">
      <c r="A43" s="813" t="s">
        <v>164</v>
      </c>
      <c r="B43" s="813">
        <v>24</v>
      </c>
      <c r="C43" s="813">
        <v>20</v>
      </c>
      <c r="D43" s="813">
        <v>12</v>
      </c>
      <c r="E43" s="813" t="str">
        <f ca="1">"RE-LITSA-"&amp;$G$14</f>
        <v>RE-LITSA-01</v>
      </c>
      <c r="F43" s="813" t="s">
        <v>287</v>
      </c>
      <c r="G43" s="813">
        <v>3</v>
      </c>
      <c r="H43" s="814">
        <v>5</v>
      </c>
      <c r="I43" s="814">
        <v>4</v>
      </c>
      <c r="J43" s="813">
        <v>6</v>
      </c>
      <c r="K43" s="813">
        <v>7</v>
      </c>
      <c r="L43" s="813">
        <v>8</v>
      </c>
      <c r="M43" s="813">
        <v>10</v>
      </c>
      <c r="N43" s="813">
        <v>11</v>
      </c>
      <c r="O43" s="813">
        <v>14</v>
      </c>
      <c r="P43" s="813">
        <v>16</v>
      </c>
      <c r="Q43" s="813">
        <v>22</v>
      </c>
      <c r="R43" s="813">
        <v>15</v>
      </c>
      <c r="S43" s="813">
        <v>0</v>
      </c>
      <c r="T43" s="813">
        <v>0</v>
      </c>
      <c r="U43" s="813">
        <v>0</v>
      </c>
      <c r="V43" s="813">
        <v>0</v>
      </c>
      <c r="W43" s="814">
        <v>49</v>
      </c>
      <c r="X43" s="814">
        <v>9</v>
      </c>
      <c r="Y43" s="813">
        <v>45</v>
      </c>
      <c r="Z43" s="813">
        <v>24</v>
      </c>
      <c r="AA43" s="813">
        <v>22</v>
      </c>
      <c r="AB43" s="813">
        <v>24</v>
      </c>
      <c r="AC43" s="813">
        <v>15</v>
      </c>
    </row>
    <row r="44" spans="1:29" ht="12.75">
      <c r="A44" s="813" t="s">
        <v>214</v>
      </c>
      <c r="B44" s="813">
        <v>22</v>
      </c>
      <c r="C44" s="813">
        <v>20</v>
      </c>
      <c r="D44" s="813">
        <v>12</v>
      </c>
      <c r="E44" s="813" t="str">
        <f ca="1">"RE-IV-"&amp;$G$14</f>
        <v>RE-IV-01</v>
      </c>
      <c r="F44" s="813" t="s">
        <v>288</v>
      </c>
      <c r="G44" s="813">
        <v>3</v>
      </c>
      <c r="H44" s="814">
        <v>5</v>
      </c>
      <c r="I44" s="814">
        <v>4</v>
      </c>
      <c r="J44" s="813">
        <v>6</v>
      </c>
      <c r="K44" s="813">
        <v>7</v>
      </c>
      <c r="L44" s="813">
        <v>8</v>
      </c>
      <c r="M44" s="813">
        <v>10</v>
      </c>
      <c r="N44" s="813">
        <v>11</v>
      </c>
      <c r="O44" s="813">
        <v>14</v>
      </c>
      <c r="P44" s="813">
        <v>16</v>
      </c>
      <c r="Q44" s="813">
        <v>22</v>
      </c>
      <c r="R44" s="813">
        <v>15</v>
      </c>
      <c r="S44" s="813">
        <v>0</v>
      </c>
      <c r="T44" s="813">
        <v>0</v>
      </c>
      <c r="U44" s="813">
        <v>0</v>
      </c>
      <c r="V44" s="813">
        <v>0</v>
      </c>
      <c r="W44" s="814">
        <v>50</v>
      </c>
      <c r="X44" s="813">
        <v>9</v>
      </c>
      <c r="Y44" s="813">
        <v>43</v>
      </c>
      <c r="Z44" s="813">
        <v>24</v>
      </c>
      <c r="AA44" s="813">
        <v>20</v>
      </c>
      <c r="AB44" s="813">
        <v>23</v>
      </c>
      <c r="AC44" s="813">
        <v>14</v>
      </c>
    </row>
    <row r="45" spans="1:29" ht="12.75">
      <c r="A45" s="813" t="s">
        <v>296</v>
      </c>
      <c r="B45" s="813">
        <v>22</v>
      </c>
      <c r="C45" s="813">
        <v>20</v>
      </c>
      <c r="D45" s="813">
        <v>12</v>
      </c>
      <c r="E45" s="813" t="str">
        <f ca="1">"RE-LIMSA-"&amp;$G$14</f>
        <v>RE-LIMSA-01</v>
      </c>
      <c r="F45" s="813" t="s">
        <v>297</v>
      </c>
      <c r="G45" s="813">
        <v>3</v>
      </c>
      <c r="H45" s="814">
        <v>5</v>
      </c>
      <c r="I45" s="814">
        <v>4</v>
      </c>
      <c r="J45" s="813">
        <v>6</v>
      </c>
      <c r="K45" s="813">
        <v>7</v>
      </c>
      <c r="L45" s="813">
        <v>8</v>
      </c>
      <c r="M45" s="813">
        <v>10</v>
      </c>
      <c r="N45" s="813">
        <v>11</v>
      </c>
      <c r="O45" s="813">
        <v>14</v>
      </c>
      <c r="P45" s="813">
        <v>16</v>
      </c>
      <c r="Q45" s="813">
        <v>25</v>
      </c>
      <c r="R45" s="813">
        <v>15</v>
      </c>
      <c r="S45" s="813">
        <v>0</v>
      </c>
      <c r="T45" s="813">
        <v>0</v>
      </c>
      <c r="U45" s="813">
        <v>0</v>
      </c>
      <c r="V45" s="813">
        <v>0</v>
      </c>
      <c r="W45" s="814">
        <v>51</v>
      </c>
      <c r="X45" s="814">
        <v>9</v>
      </c>
      <c r="Y45" s="813">
        <v>43</v>
      </c>
      <c r="Z45" s="813">
        <v>26</v>
      </c>
      <c r="AA45" s="813">
        <v>20</v>
      </c>
      <c r="AB45" s="813">
        <v>23</v>
      </c>
      <c r="AC45" s="813">
        <v>14</v>
      </c>
    </row>
    <row r="46" spans="1:29" ht="12.75">
      <c r="A46" s="820" t="s">
        <v>199</v>
      </c>
      <c r="B46" s="818">
        <v>32</v>
      </c>
      <c r="C46" s="818">
        <v>25</v>
      </c>
      <c r="D46" s="818">
        <v>11</v>
      </c>
      <c r="E46" s="820" t="s">
        <v>199</v>
      </c>
      <c r="F46" s="818" t="s">
        <v>265</v>
      </c>
      <c r="G46" s="818">
        <v>0</v>
      </c>
      <c r="H46" s="818">
        <v>0</v>
      </c>
      <c r="I46" s="818">
        <v>0</v>
      </c>
      <c r="J46" s="818">
        <v>4</v>
      </c>
      <c r="K46" s="818">
        <v>5</v>
      </c>
      <c r="L46" s="818">
        <v>6</v>
      </c>
      <c r="M46" s="818">
        <v>7</v>
      </c>
      <c r="N46" s="818">
        <v>10</v>
      </c>
      <c r="O46" s="818">
        <v>11</v>
      </c>
      <c r="P46" s="818">
        <v>14</v>
      </c>
      <c r="Q46" s="818">
        <v>17</v>
      </c>
      <c r="R46" s="818">
        <v>28</v>
      </c>
      <c r="S46" s="818">
        <v>0</v>
      </c>
      <c r="T46" s="818">
        <v>0</v>
      </c>
      <c r="U46" s="818">
        <v>0</v>
      </c>
      <c r="V46" s="818">
        <v>0</v>
      </c>
      <c r="W46" s="818">
        <v>0</v>
      </c>
      <c r="X46" s="818">
        <v>0</v>
      </c>
      <c r="Y46" s="818">
        <v>0</v>
      </c>
      <c r="Z46" s="818">
        <v>0</v>
      </c>
      <c r="AA46" s="818">
        <v>0</v>
      </c>
      <c r="AB46" s="818">
        <v>0</v>
      </c>
      <c r="AC46" s="818">
        <v>0</v>
      </c>
    </row>
    <row r="47" spans="1:29" s="847" customFormat="1" ht="12.75">
      <c r="A47" s="820" t="s">
        <v>199</v>
      </c>
      <c r="B47" s="820">
        <v>70</v>
      </c>
      <c r="C47" s="820">
        <v>4</v>
      </c>
      <c r="D47" s="820">
        <v>11</v>
      </c>
      <c r="E47" s="820" t="s">
        <v>199</v>
      </c>
      <c r="F47" s="818" t="s">
        <v>286</v>
      </c>
      <c r="G47" s="820">
        <v>0</v>
      </c>
      <c r="H47" s="820">
        <v>0</v>
      </c>
      <c r="I47" s="820">
        <v>0</v>
      </c>
      <c r="J47" s="820">
        <v>4</v>
      </c>
      <c r="K47" s="820">
        <v>5</v>
      </c>
      <c r="L47" s="820">
        <v>6</v>
      </c>
      <c r="M47" s="820">
        <v>10</v>
      </c>
      <c r="N47" s="820">
        <v>11</v>
      </c>
      <c r="O47" s="820">
        <v>14</v>
      </c>
      <c r="P47" s="820">
        <v>16</v>
      </c>
      <c r="Q47" s="820">
        <v>28</v>
      </c>
      <c r="R47" s="820">
        <v>0</v>
      </c>
      <c r="S47" s="820">
        <v>0</v>
      </c>
      <c r="T47" s="820">
        <v>0</v>
      </c>
      <c r="U47" s="820">
        <v>0</v>
      </c>
      <c r="V47" s="820">
        <v>0</v>
      </c>
      <c r="W47" s="820">
        <v>0</v>
      </c>
      <c r="X47" s="820">
        <v>0</v>
      </c>
      <c r="Y47" s="820">
        <v>0</v>
      </c>
      <c r="Z47" s="820">
        <v>0</v>
      </c>
      <c r="AA47" s="820">
        <v>0</v>
      </c>
      <c r="AB47" s="820">
        <v>0</v>
      </c>
      <c r="AC47" s="820">
        <v>0</v>
      </c>
    </row>
    <row r="48" spans="1:29" ht="12.75">
      <c r="A48" s="820" t="s">
        <v>209</v>
      </c>
      <c r="B48" s="818">
        <v>90</v>
      </c>
      <c r="C48" s="818">
        <v>10</v>
      </c>
      <c r="D48" s="819">
        <v>12</v>
      </c>
      <c r="E48" s="820" t="s">
        <v>209</v>
      </c>
      <c r="F48" s="818" t="s">
        <v>281</v>
      </c>
      <c r="G48" s="818">
        <v>0</v>
      </c>
      <c r="H48" s="818">
        <v>0</v>
      </c>
      <c r="I48" s="818">
        <v>0</v>
      </c>
      <c r="J48" s="818">
        <v>4</v>
      </c>
      <c r="K48" s="818">
        <v>5</v>
      </c>
      <c r="L48" s="818">
        <v>6</v>
      </c>
      <c r="M48" s="818">
        <v>10</v>
      </c>
      <c r="N48" s="818">
        <v>11</v>
      </c>
      <c r="O48" s="818">
        <v>14</v>
      </c>
      <c r="P48" s="818">
        <v>15</v>
      </c>
      <c r="Q48" s="818">
        <v>28</v>
      </c>
      <c r="R48" s="818">
        <v>0</v>
      </c>
      <c r="S48" s="818">
        <v>0</v>
      </c>
      <c r="T48" s="818">
        <v>0</v>
      </c>
      <c r="U48" s="818">
        <v>0</v>
      </c>
      <c r="V48" s="818">
        <v>0</v>
      </c>
      <c r="W48" s="818">
        <v>0</v>
      </c>
      <c r="X48" s="818">
        <v>0</v>
      </c>
      <c r="Y48" s="818">
        <v>0</v>
      </c>
      <c r="Z48" s="818">
        <v>0</v>
      </c>
      <c r="AA48" s="818">
        <v>0</v>
      </c>
      <c r="AB48" s="818">
        <v>0</v>
      </c>
      <c r="AC48" s="818">
        <v>0</v>
      </c>
    </row>
    <row r="49" spans="1:29" ht="12.75">
      <c r="A49" s="820" t="s">
        <v>209</v>
      </c>
      <c r="B49" s="818">
        <v>61</v>
      </c>
      <c r="C49" s="818">
        <v>24</v>
      </c>
      <c r="D49" s="819">
        <v>12</v>
      </c>
      <c r="E49" s="820" t="s">
        <v>209</v>
      </c>
      <c r="F49" s="818" t="s">
        <v>272</v>
      </c>
      <c r="G49" s="818">
        <v>0</v>
      </c>
      <c r="H49" s="818">
        <v>0</v>
      </c>
      <c r="I49" s="818">
        <v>0</v>
      </c>
      <c r="J49" s="818">
        <v>4</v>
      </c>
      <c r="K49" s="818">
        <v>5</v>
      </c>
      <c r="L49" s="818">
        <v>6</v>
      </c>
      <c r="M49" s="818">
        <v>8</v>
      </c>
      <c r="N49" s="818">
        <v>9</v>
      </c>
      <c r="O49" s="818">
        <v>10</v>
      </c>
      <c r="P49" s="818">
        <v>13</v>
      </c>
      <c r="Q49" s="818">
        <v>15</v>
      </c>
      <c r="R49" s="818">
        <v>16</v>
      </c>
      <c r="S49" s="818">
        <v>0</v>
      </c>
      <c r="T49" s="818">
        <v>0</v>
      </c>
      <c r="U49" s="818">
        <v>0</v>
      </c>
      <c r="V49" s="818">
        <v>0</v>
      </c>
      <c r="W49" s="818">
        <v>0</v>
      </c>
      <c r="X49" s="818">
        <v>0</v>
      </c>
      <c r="Y49" s="818">
        <v>0</v>
      </c>
      <c r="Z49" s="818">
        <v>0</v>
      </c>
      <c r="AA49" s="818">
        <v>0</v>
      </c>
      <c r="AB49" s="818">
        <v>0</v>
      </c>
      <c r="AC49" s="818">
        <v>0</v>
      </c>
    </row>
    <row r="50" spans="1:29" ht="12.75">
      <c r="A50" s="820" t="s">
        <v>209</v>
      </c>
      <c r="B50" s="818">
        <v>32</v>
      </c>
      <c r="C50" s="818">
        <v>24</v>
      </c>
      <c r="D50" s="818">
        <v>11</v>
      </c>
      <c r="E50" s="820" t="s">
        <v>209</v>
      </c>
      <c r="F50" s="818" t="s">
        <v>266</v>
      </c>
      <c r="G50" s="818">
        <v>0</v>
      </c>
      <c r="H50" s="818">
        <v>0</v>
      </c>
      <c r="I50" s="818">
        <v>0</v>
      </c>
      <c r="J50" s="818">
        <v>4</v>
      </c>
      <c r="K50" s="818">
        <v>5</v>
      </c>
      <c r="L50" s="818">
        <v>6</v>
      </c>
      <c r="M50" s="818">
        <v>7</v>
      </c>
      <c r="N50" s="818">
        <v>10</v>
      </c>
      <c r="O50" s="818">
        <v>11</v>
      </c>
      <c r="P50" s="818">
        <v>14</v>
      </c>
      <c r="Q50" s="818">
        <v>17</v>
      </c>
      <c r="R50" s="818">
        <v>28</v>
      </c>
      <c r="S50" s="818">
        <v>0</v>
      </c>
      <c r="T50" s="818">
        <v>0</v>
      </c>
      <c r="U50" s="818">
        <v>0</v>
      </c>
      <c r="V50" s="818">
        <v>0</v>
      </c>
      <c r="W50" s="818">
        <v>0</v>
      </c>
      <c r="X50" s="818">
        <v>0</v>
      </c>
      <c r="Y50" s="818">
        <v>0</v>
      </c>
      <c r="Z50" s="818">
        <v>0</v>
      </c>
      <c r="AA50" s="818">
        <v>0</v>
      </c>
      <c r="AB50" s="818">
        <v>0</v>
      </c>
      <c r="AC50" s="818">
        <v>0</v>
      </c>
    </row>
    <row r="51" spans="1:29" s="847" customFormat="1" ht="12.75">
      <c r="A51" s="820" t="s">
        <v>209</v>
      </c>
      <c r="B51" s="820">
        <v>105</v>
      </c>
      <c r="C51" s="820">
        <v>8</v>
      </c>
      <c r="D51" s="820">
        <v>11</v>
      </c>
      <c r="E51" s="820" t="s">
        <v>209</v>
      </c>
      <c r="F51" s="818" t="s">
        <v>287</v>
      </c>
      <c r="G51" s="820">
        <v>0</v>
      </c>
      <c r="H51" s="820">
        <v>0</v>
      </c>
      <c r="I51" s="820">
        <v>0</v>
      </c>
      <c r="J51" s="820">
        <v>4</v>
      </c>
      <c r="K51" s="820">
        <v>5</v>
      </c>
      <c r="L51" s="820">
        <v>6</v>
      </c>
      <c r="M51" s="820">
        <v>10</v>
      </c>
      <c r="N51" s="820">
        <v>11</v>
      </c>
      <c r="O51" s="820">
        <v>14</v>
      </c>
      <c r="P51" s="820">
        <v>16</v>
      </c>
      <c r="Q51" s="820">
        <v>28</v>
      </c>
      <c r="R51" s="820">
        <v>0</v>
      </c>
      <c r="S51" s="820">
        <v>0</v>
      </c>
      <c r="T51" s="820">
        <v>0</v>
      </c>
      <c r="U51" s="820">
        <v>0</v>
      </c>
      <c r="V51" s="820">
        <v>0</v>
      </c>
      <c r="W51" s="820">
        <v>0</v>
      </c>
      <c r="X51" s="820">
        <v>0</v>
      </c>
      <c r="Y51" s="820">
        <v>0</v>
      </c>
      <c r="Z51" s="820">
        <v>0</v>
      </c>
      <c r="AA51" s="820">
        <v>0</v>
      </c>
      <c r="AB51" s="820">
        <v>0</v>
      </c>
      <c r="AC51" s="820">
        <v>0</v>
      </c>
    </row>
    <row r="52" spans="1:29" ht="12.75">
      <c r="A52" s="820" t="s">
        <v>210</v>
      </c>
      <c r="B52" s="818">
        <v>60</v>
      </c>
      <c r="C52" s="818">
        <v>36</v>
      </c>
      <c r="D52" s="818">
        <v>9</v>
      </c>
      <c r="E52" s="820" t="s">
        <v>210</v>
      </c>
      <c r="F52" s="818" t="s">
        <v>279</v>
      </c>
      <c r="G52" s="818">
        <v>0</v>
      </c>
      <c r="H52" s="818">
        <v>0</v>
      </c>
      <c r="I52" s="818">
        <v>0</v>
      </c>
      <c r="J52" s="818">
        <v>4</v>
      </c>
      <c r="K52" s="818">
        <v>5</v>
      </c>
      <c r="L52" s="818">
        <v>7</v>
      </c>
      <c r="M52" s="818">
        <v>9</v>
      </c>
      <c r="N52" s="818">
        <v>10</v>
      </c>
      <c r="O52" s="818">
        <v>13</v>
      </c>
      <c r="P52" s="818">
        <v>14</v>
      </c>
      <c r="Q52" s="818">
        <v>21</v>
      </c>
      <c r="R52" s="818">
        <v>0</v>
      </c>
      <c r="S52" s="818">
        <v>0</v>
      </c>
      <c r="T52" s="818">
        <v>0</v>
      </c>
      <c r="U52" s="818">
        <v>0</v>
      </c>
      <c r="V52" s="818">
        <v>0</v>
      </c>
      <c r="W52" s="818">
        <v>0</v>
      </c>
      <c r="X52" s="818">
        <v>0</v>
      </c>
      <c r="Y52" s="818">
        <v>0</v>
      </c>
      <c r="Z52" s="818">
        <v>0</v>
      </c>
      <c r="AA52" s="818">
        <v>0</v>
      </c>
      <c r="AB52" s="818">
        <v>0</v>
      </c>
      <c r="AC52" s="818">
        <v>0</v>
      </c>
    </row>
    <row r="53" spans="1:29" ht="12.75">
      <c r="A53" s="820" t="s">
        <v>210</v>
      </c>
      <c r="B53" s="818">
        <v>31</v>
      </c>
      <c r="C53" s="818">
        <v>25</v>
      </c>
      <c r="D53" s="819">
        <v>12</v>
      </c>
      <c r="E53" s="820" t="s">
        <v>210</v>
      </c>
      <c r="F53" s="818" t="s">
        <v>273</v>
      </c>
      <c r="G53" s="818">
        <v>0</v>
      </c>
      <c r="H53" s="818">
        <v>0</v>
      </c>
      <c r="I53" s="818">
        <v>0</v>
      </c>
      <c r="J53" s="818">
        <v>4</v>
      </c>
      <c r="K53" s="818">
        <v>5</v>
      </c>
      <c r="L53" s="818">
        <v>6</v>
      </c>
      <c r="M53" s="818">
        <v>7</v>
      </c>
      <c r="N53" s="818">
        <v>9</v>
      </c>
      <c r="O53" s="818">
        <v>10</v>
      </c>
      <c r="P53" s="818">
        <v>13</v>
      </c>
      <c r="Q53" s="818">
        <v>15</v>
      </c>
      <c r="R53" s="818">
        <v>16</v>
      </c>
      <c r="S53" s="818">
        <v>0</v>
      </c>
      <c r="T53" s="818">
        <v>0</v>
      </c>
      <c r="U53" s="818">
        <v>0</v>
      </c>
      <c r="V53" s="818">
        <v>0</v>
      </c>
      <c r="W53" s="818">
        <v>0</v>
      </c>
      <c r="X53" s="818">
        <v>0</v>
      </c>
      <c r="Y53" s="818">
        <v>0</v>
      </c>
      <c r="Z53" s="818">
        <v>0</v>
      </c>
      <c r="AA53" s="818">
        <v>0</v>
      </c>
      <c r="AB53" s="818">
        <v>0</v>
      </c>
      <c r="AC53" s="818">
        <v>0</v>
      </c>
    </row>
    <row r="54" spans="1:29" ht="12.75">
      <c r="A54" s="820" t="s">
        <v>211</v>
      </c>
      <c r="B54" s="818">
        <v>60</v>
      </c>
      <c r="C54" s="818">
        <v>25</v>
      </c>
      <c r="D54" s="818">
        <v>9</v>
      </c>
      <c r="E54" s="820" t="s">
        <v>211</v>
      </c>
      <c r="F54" s="818" t="s">
        <v>280</v>
      </c>
      <c r="G54" s="818">
        <v>0</v>
      </c>
      <c r="H54" s="818">
        <v>0</v>
      </c>
      <c r="I54" s="818">
        <v>0</v>
      </c>
      <c r="J54" s="818">
        <v>4</v>
      </c>
      <c r="K54" s="818">
        <v>5</v>
      </c>
      <c r="L54" s="818">
        <v>7</v>
      </c>
      <c r="M54" s="818">
        <v>9</v>
      </c>
      <c r="N54" s="818">
        <v>10</v>
      </c>
      <c r="O54" s="818">
        <v>13</v>
      </c>
      <c r="P54" s="818">
        <v>14</v>
      </c>
      <c r="Q54" s="818">
        <v>21</v>
      </c>
      <c r="R54" s="818">
        <v>0</v>
      </c>
      <c r="S54" s="818">
        <v>0</v>
      </c>
      <c r="T54" s="818">
        <v>0</v>
      </c>
      <c r="U54" s="818">
        <v>0</v>
      </c>
      <c r="V54" s="818">
        <v>0</v>
      </c>
      <c r="W54" s="818">
        <v>0</v>
      </c>
      <c r="X54" s="818">
        <v>0</v>
      </c>
      <c r="Y54" s="818">
        <v>0</v>
      </c>
      <c r="Z54" s="818">
        <v>0</v>
      </c>
      <c r="AA54" s="818">
        <v>0</v>
      </c>
      <c r="AB54" s="818">
        <v>0</v>
      </c>
      <c r="AC54" s="818">
        <v>0</v>
      </c>
    </row>
    <row r="55" spans="1:29" ht="12.75">
      <c r="A55" s="820" t="s">
        <v>211</v>
      </c>
      <c r="B55" s="818">
        <v>31</v>
      </c>
      <c r="C55" s="818">
        <v>25</v>
      </c>
      <c r="D55" s="819">
        <v>12</v>
      </c>
      <c r="E55" s="820" t="s">
        <v>211</v>
      </c>
      <c r="F55" s="818" t="s">
        <v>274</v>
      </c>
      <c r="G55" s="818">
        <v>0</v>
      </c>
      <c r="H55" s="818">
        <v>0</v>
      </c>
      <c r="I55" s="818">
        <v>0</v>
      </c>
      <c r="J55" s="818">
        <v>4</v>
      </c>
      <c r="K55" s="818">
        <v>5</v>
      </c>
      <c r="L55" s="818">
        <v>6</v>
      </c>
      <c r="M55" s="818">
        <v>7</v>
      </c>
      <c r="N55" s="818">
        <v>9</v>
      </c>
      <c r="O55" s="818">
        <v>10</v>
      </c>
      <c r="P55" s="818">
        <v>13</v>
      </c>
      <c r="Q55" s="818">
        <v>15</v>
      </c>
      <c r="R55" s="818">
        <v>16</v>
      </c>
      <c r="S55" s="818">
        <v>0</v>
      </c>
      <c r="T55" s="818">
        <v>0</v>
      </c>
      <c r="U55" s="818">
        <v>0</v>
      </c>
      <c r="V55" s="818">
        <v>0</v>
      </c>
      <c r="W55" s="818">
        <v>0</v>
      </c>
      <c r="X55" s="818">
        <v>0</v>
      </c>
      <c r="Y55" s="818">
        <v>0</v>
      </c>
      <c r="Z55" s="818">
        <v>0</v>
      </c>
      <c r="AA55" s="818">
        <v>0</v>
      </c>
      <c r="AB55" s="818">
        <v>0</v>
      </c>
      <c r="AC55" s="818">
        <v>0</v>
      </c>
    </row>
    <row r="56" spans="1:29" ht="12.75">
      <c r="A56" s="820" t="s">
        <v>252</v>
      </c>
      <c r="B56" s="820">
        <v>32</v>
      </c>
      <c r="C56" s="820">
        <v>3</v>
      </c>
      <c r="D56" s="820">
        <v>9</v>
      </c>
      <c r="E56" s="820" t="s">
        <v>252</v>
      </c>
      <c r="F56" s="820" t="s">
        <v>283</v>
      </c>
      <c r="G56" s="820">
        <v>0</v>
      </c>
      <c r="H56" s="820">
        <v>0</v>
      </c>
      <c r="I56" s="820">
        <v>0</v>
      </c>
      <c r="J56" s="820">
        <v>4</v>
      </c>
      <c r="K56" s="820">
        <v>5</v>
      </c>
      <c r="L56" s="820">
        <v>7</v>
      </c>
      <c r="M56" s="820">
        <v>9</v>
      </c>
      <c r="N56" s="820">
        <v>10</v>
      </c>
      <c r="O56" s="820">
        <v>13</v>
      </c>
      <c r="P56" s="820">
        <v>14</v>
      </c>
      <c r="Q56" s="820">
        <v>21</v>
      </c>
      <c r="R56" s="820">
        <v>0</v>
      </c>
      <c r="S56" s="820">
        <v>0</v>
      </c>
      <c r="T56" s="820">
        <v>0</v>
      </c>
      <c r="U56" s="820">
        <v>0</v>
      </c>
      <c r="V56" s="820">
        <v>0</v>
      </c>
      <c r="W56" s="820">
        <v>0</v>
      </c>
      <c r="X56" s="820">
        <v>0</v>
      </c>
      <c r="Y56" s="820">
        <v>0</v>
      </c>
      <c r="Z56" s="820">
        <v>0</v>
      </c>
      <c r="AA56" s="820">
        <v>0</v>
      </c>
      <c r="AB56" s="820">
        <v>0</v>
      </c>
      <c r="AC56" s="820">
        <v>0</v>
      </c>
    </row>
    <row r="57" spans="1:29" ht="12.75">
      <c r="A57" s="820" t="s">
        <v>253</v>
      </c>
      <c r="B57" s="820">
        <v>32</v>
      </c>
      <c r="C57" s="820">
        <v>3</v>
      </c>
      <c r="D57" s="820">
        <v>9</v>
      </c>
      <c r="E57" s="820" t="s">
        <v>253</v>
      </c>
      <c r="F57" s="820" t="s">
        <v>284</v>
      </c>
      <c r="G57" s="820">
        <v>0</v>
      </c>
      <c r="H57" s="820">
        <v>0</v>
      </c>
      <c r="I57" s="820">
        <v>0</v>
      </c>
      <c r="J57" s="820">
        <v>4</v>
      </c>
      <c r="K57" s="820">
        <v>5</v>
      </c>
      <c r="L57" s="820">
        <v>7</v>
      </c>
      <c r="M57" s="820">
        <v>9</v>
      </c>
      <c r="N57" s="820">
        <v>10</v>
      </c>
      <c r="O57" s="820">
        <v>13</v>
      </c>
      <c r="P57" s="820">
        <v>14</v>
      </c>
      <c r="Q57" s="820">
        <v>21</v>
      </c>
      <c r="R57" s="820">
        <v>0</v>
      </c>
      <c r="S57" s="820">
        <v>0</v>
      </c>
      <c r="T57" s="820">
        <v>0</v>
      </c>
      <c r="U57" s="820">
        <v>0</v>
      </c>
      <c r="V57" s="820">
        <v>0</v>
      </c>
      <c r="W57" s="820">
        <v>0</v>
      </c>
      <c r="X57" s="820">
        <v>0</v>
      </c>
      <c r="Y57" s="820">
        <v>0</v>
      </c>
      <c r="Z57" s="820">
        <v>0</v>
      </c>
      <c r="AA57" s="820">
        <v>0</v>
      </c>
      <c r="AB57" s="820">
        <v>0</v>
      </c>
      <c r="AC57" s="820">
        <v>0</v>
      </c>
    </row>
    <row r="58" spans="1:29" ht="12.75">
      <c r="A58" s="820" t="s">
        <v>255</v>
      </c>
      <c r="B58" s="820">
        <v>32</v>
      </c>
      <c r="C58" s="820">
        <v>4</v>
      </c>
      <c r="D58" s="820">
        <v>11</v>
      </c>
      <c r="E58" s="820" t="s">
        <v>255</v>
      </c>
      <c r="F58" s="820" t="s">
        <v>268</v>
      </c>
      <c r="G58" s="820">
        <v>0</v>
      </c>
      <c r="H58" s="820">
        <v>0</v>
      </c>
      <c r="I58" s="820">
        <v>0</v>
      </c>
      <c r="J58" s="820">
        <v>4</v>
      </c>
      <c r="K58" s="820">
        <v>5</v>
      </c>
      <c r="L58" s="820">
        <v>6</v>
      </c>
      <c r="M58" s="820">
        <v>7</v>
      </c>
      <c r="N58" s="820">
        <v>10</v>
      </c>
      <c r="O58" s="820">
        <v>11</v>
      </c>
      <c r="P58" s="820">
        <v>14</v>
      </c>
      <c r="Q58" s="820">
        <v>17</v>
      </c>
      <c r="R58" s="820">
        <v>28</v>
      </c>
      <c r="S58" s="820">
        <v>0</v>
      </c>
      <c r="T58" s="820">
        <v>0</v>
      </c>
      <c r="U58" s="820">
        <v>0</v>
      </c>
      <c r="V58" s="820">
        <v>0</v>
      </c>
      <c r="W58" s="820">
        <v>0</v>
      </c>
      <c r="X58" s="820">
        <v>0</v>
      </c>
      <c r="Y58" s="820">
        <v>0</v>
      </c>
      <c r="Z58" s="820">
        <v>0</v>
      </c>
      <c r="AA58" s="820">
        <v>0</v>
      </c>
      <c r="AB58" s="820">
        <v>0</v>
      </c>
      <c r="AC58" s="820">
        <v>0</v>
      </c>
    </row>
    <row r="59" spans="1:29" ht="12.75">
      <c r="A59" s="820" t="s">
        <v>255</v>
      </c>
      <c r="B59" s="820">
        <v>40</v>
      </c>
      <c r="C59" s="820">
        <v>4</v>
      </c>
      <c r="D59" s="820">
        <v>12</v>
      </c>
      <c r="E59" s="820" t="s">
        <v>255</v>
      </c>
      <c r="F59" s="820" t="s">
        <v>275</v>
      </c>
      <c r="G59" s="820">
        <v>0</v>
      </c>
      <c r="H59" s="820">
        <v>0</v>
      </c>
      <c r="I59" s="820">
        <v>0</v>
      </c>
      <c r="J59" s="820">
        <v>4</v>
      </c>
      <c r="K59" s="820">
        <v>5</v>
      </c>
      <c r="L59" s="820">
        <v>6</v>
      </c>
      <c r="M59" s="820">
        <v>8</v>
      </c>
      <c r="N59" s="820">
        <v>9</v>
      </c>
      <c r="O59" s="820">
        <v>10</v>
      </c>
      <c r="P59" s="820">
        <v>13</v>
      </c>
      <c r="Q59" s="820">
        <v>15</v>
      </c>
      <c r="R59" s="820">
        <v>16</v>
      </c>
      <c r="S59" s="820">
        <v>0</v>
      </c>
      <c r="T59" s="820">
        <v>0</v>
      </c>
      <c r="U59" s="820">
        <v>0</v>
      </c>
      <c r="V59" s="820">
        <v>0</v>
      </c>
      <c r="W59" s="820">
        <v>0</v>
      </c>
      <c r="X59" s="820">
        <v>0</v>
      </c>
      <c r="Y59" s="820">
        <v>0</v>
      </c>
      <c r="Z59" s="820">
        <v>0</v>
      </c>
      <c r="AA59" s="820">
        <v>0</v>
      </c>
      <c r="AB59" s="820">
        <v>0</v>
      </c>
      <c r="AC59" s="820">
        <v>0</v>
      </c>
    </row>
    <row r="60" spans="1:29" ht="12.75">
      <c r="A60" s="820" t="s">
        <v>254</v>
      </c>
      <c r="B60" s="820">
        <v>32</v>
      </c>
      <c r="C60" s="820">
        <v>4</v>
      </c>
      <c r="D60" s="820">
        <v>11</v>
      </c>
      <c r="E60" s="820" t="s">
        <v>254</v>
      </c>
      <c r="F60" s="820" t="s">
        <v>269</v>
      </c>
      <c r="G60" s="820">
        <v>0</v>
      </c>
      <c r="H60" s="820">
        <v>0</v>
      </c>
      <c r="I60" s="820">
        <v>0</v>
      </c>
      <c r="J60" s="820">
        <v>4</v>
      </c>
      <c r="K60" s="820">
        <v>5</v>
      </c>
      <c r="L60" s="820">
        <v>6</v>
      </c>
      <c r="M60" s="820">
        <v>7</v>
      </c>
      <c r="N60" s="820">
        <v>10</v>
      </c>
      <c r="O60" s="820">
        <v>11</v>
      </c>
      <c r="P60" s="820">
        <v>14</v>
      </c>
      <c r="Q60" s="820">
        <v>17</v>
      </c>
      <c r="R60" s="820">
        <v>28</v>
      </c>
      <c r="S60" s="820">
        <v>0</v>
      </c>
      <c r="T60" s="820">
        <v>0</v>
      </c>
      <c r="U60" s="820">
        <v>0</v>
      </c>
      <c r="V60" s="820">
        <v>0</v>
      </c>
      <c r="W60" s="820">
        <v>0</v>
      </c>
      <c r="X60" s="820">
        <v>0</v>
      </c>
      <c r="Y60" s="820">
        <v>0</v>
      </c>
      <c r="Z60" s="820">
        <v>0</v>
      </c>
      <c r="AA60" s="820">
        <v>0</v>
      </c>
      <c r="AB60" s="820">
        <v>0</v>
      </c>
      <c r="AC60" s="820">
        <v>0</v>
      </c>
    </row>
    <row r="61" spans="1:29" ht="12.75">
      <c r="A61" s="820" t="s">
        <v>254</v>
      </c>
      <c r="B61" s="820">
        <v>40</v>
      </c>
      <c r="C61" s="820">
        <v>4</v>
      </c>
      <c r="D61" s="821">
        <v>12</v>
      </c>
      <c r="E61" s="820" t="s">
        <v>254</v>
      </c>
      <c r="F61" s="820" t="s">
        <v>277</v>
      </c>
      <c r="G61" s="820">
        <v>0</v>
      </c>
      <c r="H61" s="820">
        <v>0</v>
      </c>
      <c r="I61" s="820">
        <v>0</v>
      </c>
      <c r="J61" s="820">
        <v>4</v>
      </c>
      <c r="K61" s="820">
        <v>5</v>
      </c>
      <c r="L61" s="820">
        <v>6</v>
      </c>
      <c r="M61" s="820">
        <v>8</v>
      </c>
      <c r="N61" s="820">
        <v>9</v>
      </c>
      <c r="O61" s="820">
        <v>10</v>
      </c>
      <c r="P61" s="820">
        <v>13</v>
      </c>
      <c r="Q61" s="820">
        <v>15</v>
      </c>
      <c r="R61" s="820">
        <v>16</v>
      </c>
      <c r="S61" s="820">
        <v>0</v>
      </c>
      <c r="T61" s="820">
        <v>0</v>
      </c>
      <c r="U61" s="820">
        <v>0</v>
      </c>
      <c r="V61" s="820">
        <v>0</v>
      </c>
      <c r="W61" s="820">
        <v>0</v>
      </c>
      <c r="X61" s="820">
        <v>0</v>
      </c>
      <c r="Y61" s="820">
        <v>0</v>
      </c>
      <c r="Z61" s="820">
        <v>0</v>
      </c>
      <c r="AA61" s="820">
        <v>0</v>
      </c>
      <c r="AB61" s="820">
        <v>0</v>
      </c>
      <c r="AC61" s="820">
        <v>0</v>
      </c>
    </row>
    <row r="62" spans="1:29" ht="12.75">
      <c r="A62" s="820" t="s">
        <v>246</v>
      </c>
      <c r="B62" s="820">
        <v>52</v>
      </c>
      <c r="C62" s="820">
        <v>10</v>
      </c>
      <c r="D62" s="821">
        <v>12</v>
      </c>
      <c r="E62" s="820" t="s">
        <v>246</v>
      </c>
      <c r="F62" s="820" t="s">
        <v>282</v>
      </c>
      <c r="G62" s="820">
        <v>0</v>
      </c>
      <c r="H62" s="820">
        <v>0</v>
      </c>
      <c r="I62" s="820">
        <v>0</v>
      </c>
      <c r="J62" s="818">
        <v>4</v>
      </c>
      <c r="K62" s="818">
        <v>5</v>
      </c>
      <c r="L62" s="818">
        <v>6</v>
      </c>
      <c r="M62" s="818">
        <v>10</v>
      </c>
      <c r="N62" s="818">
        <v>11</v>
      </c>
      <c r="O62" s="818">
        <v>14</v>
      </c>
      <c r="P62" s="818">
        <v>15</v>
      </c>
      <c r="Q62" s="818">
        <v>28</v>
      </c>
      <c r="R62" s="820">
        <v>0</v>
      </c>
      <c r="S62" s="820">
        <v>0</v>
      </c>
      <c r="T62" s="820">
        <v>0</v>
      </c>
      <c r="U62" s="820">
        <v>0</v>
      </c>
      <c r="V62" s="820">
        <v>0</v>
      </c>
      <c r="W62" s="820">
        <v>0</v>
      </c>
      <c r="X62" s="820">
        <v>0</v>
      </c>
      <c r="Y62" s="820">
        <v>0</v>
      </c>
      <c r="Z62" s="820">
        <v>0</v>
      </c>
      <c r="AA62" s="820">
        <v>0</v>
      </c>
      <c r="AB62" s="820">
        <v>0</v>
      </c>
      <c r="AC62" s="820">
        <v>0</v>
      </c>
    </row>
    <row r="63" spans="1:29" ht="12.75">
      <c r="A63" s="820" t="s">
        <v>246</v>
      </c>
      <c r="B63" s="820">
        <v>45</v>
      </c>
      <c r="C63" s="820">
        <v>2</v>
      </c>
      <c r="D63" s="821">
        <v>12</v>
      </c>
      <c r="E63" s="820" t="s">
        <v>246</v>
      </c>
      <c r="F63" s="820" t="s">
        <v>276</v>
      </c>
      <c r="G63" s="820">
        <v>0</v>
      </c>
      <c r="H63" s="820">
        <v>0</v>
      </c>
      <c r="I63" s="820">
        <v>0</v>
      </c>
      <c r="J63" s="820">
        <v>4</v>
      </c>
      <c r="K63" s="820">
        <v>5</v>
      </c>
      <c r="L63" s="820">
        <v>6</v>
      </c>
      <c r="M63" s="820">
        <v>8</v>
      </c>
      <c r="N63" s="820">
        <v>9</v>
      </c>
      <c r="O63" s="820">
        <v>10</v>
      </c>
      <c r="P63" s="820">
        <v>13</v>
      </c>
      <c r="Q63" s="820">
        <v>15</v>
      </c>
      <c r="R63" s="820">
        <v>16</v>
      </c>
      <c r="S63" s="820">
        <v>0</v>
      </c>
      <c r="T63" s="820">
        <v>0</v>
      </c>
      <c r="U63" s="820">
        <v>0</v>
      </c>
      <c r="V63" s="820">
        <v>0</v>
      </c>
      <c r="W63" s="820">
        <v>0</v>
      </c>
      <c r="X63" s="820">
        <v>0</v>
      </c>
      <c r="Y63" s="820">
        <v>0</v>
      </c>
      <c r="Z63" s="820">
        <v>0</v>
      </c>
      <c r="AA63" s="820">
        <v>0</v>
      </c>
      <c r="AB63" s="820">
        <v>0</v>
      </c>
      <c r="AC63" s="820">
        <v>0</v>
      </c>
    </row>
    <row r="64" spans="1:29" ht="12.75">
      <c r="A64" s="820" t="s">
        <v>246</v>
      </c>
      <c r="B64" s="820">
        <v>33</v>
      </c>
      <c r="C64" s="820">
        <v>7</v>
      </c>
      <c r="D64" s="820">
        <v>11</v>
      </c>
      <c r="E64" s="820" t="s">
        <v>246</v>
      </c>
      <c r="F64" s="820" t="s">
        <v>270</v>
      </c>
      <c r="G64" s="820">
        <v>0</v>
      </c>
      <c r="H64" s="820">
        <v>0</v>
      </c>
      <c r="I64" s="820">
        <v>0</v>
      </c>
      <c r="J64" s="820">
        <v>4</v>
      </c>
      <c r="K64" s="820">
        <v>5</v>
      </c>
      <c r="L64" s="820">
        <v>6</v>
      </c>
      <c r="M64" s="820">
        <v>7</v>
      </c>
      <c r="N64" s="820">
        <v>10</v>
      </c>
      <c r="O64" s="820">
        <v>11</v>
      </c>
      <c r="P64" s="820">
        <v>14</v>
      </c>
      <c r="Q64" s="820">
        <v>17</v>
      </c>
      <c r="R64" s="820">
        <v>28</v>
      </c>
      <c r="S64" s="820">
        <v>0</v>
      </c>
      <c r="T64" s="820">
        <v>0</v>
      </c>
      <c r="U64" s="820">
        <v>0</v>
      </c>
      <c r="V64" s="820">
        <v>0</v>
      </c>
      <c r="W64" s="820">
        <v>0</v>
      </c>
      <c r="X64" s="820">
        <v>0</v>
      </c>
      <c r="Y64" s="820">
        <v>0</v>
      </c>
      <c r="Z64" s="820">
        <v>0</v>
      </c>
      <c r="AA64" s="820">
        <v>0</v>
      </c>
      <c r="AB64" s="820">
        <v>0</v>
      </c>
      <c r="AC64" s="820">
        <v>0</v>
      </c>
    </row>
    <row r="65" spans="1:29" s="847" customFormat="1" ht="12.75">
      <c r="A65" s="820" t="s">
        <v>246</v>
      </c>
      <c r="B65" s="820">
        <v>67</v>
      </c>
      <c r="C65" s="820">
        <v>8</v>
      </c>
      <c r="D65" s="820">
        <v>11</v>
      </c>
      <c r="E65" s="820" t="s">
        <v>246</v>
      </c>
      <c r="F65" s="818" t="s">
        <v>297</v>
      </c>
      <c r="G65" s="820">
        <v>0</v>
      </c>
      <c r="H65" s="820">
        <v>0</v>
      </c>
      <c r="I65" s="820">
        <v>0</v>
      </c>
      <c r="J65" s="820">
        <v>4</v>
      </c>
      <c r="K65" s="820">
        <v>5</v>
      </c>
      <c r="L65" s="820">
        <v>6</v>
      </c>
      <c r="M65" s="820">
        <v>10</v>
      </c>
      <c r="N65" s="820">
        <v>11</v>
      </c>
      <c r="O65" s="820">
        <v>14</v>
      </c>
      <c r="P65" s="820">
        <v>16</v>
      </c>
      <c r="Q65" s="820">
        <v>28</v>
      </c>
      <c r="R65" s="820">
        <v>0</v>
      </c>
      <c r="S65" s="820">
        <v>0</v>
      </c>
      <c r="T65" s="820">
        <v>0</v>
      </c>
      <c r="U65" s="820">
        <v>0</v>
      </c>
      <c r="V65" s="820">
        <v>0</v>
      </c>
      <c r="W65" s="820">
        <v>0</v>
      </c>
      <c r="X65" s="820">
        <v>0</v>
      </c>
      <c r="Y65" s="820">
        <v>0</v>
      </c>
      <c r="Z65" s="820">
        <v>0</v>
      </c>
      <c r="AA65" s="820">
        <v>0</v>
      </c>
      <c r="AB65" s="820">
        <v>0</v>
      </c>
      <c r="AC65" s="820">
        <v>0</v>
      </c>
    </row>
    <row r="66" spans="1:29" ht="12.75">
      <c r="A66" s="820" t="s">
        <v>294</v>
      </c>
      <c r="B66" s="820">
        <v>32</v>
      </c>
      <c r="C66" s="820">
        <v>4</v>
      </c>
      <c r="D66" s="820">
        <v>11</v>
      </c>
      <c r="E66" s="820" t="s">
        <v>294</v>
      </c>
      <c r="F66" s="820" t="s">
        <v>291</v>
      </c>
      <c r="G66" s="820">
        <v>0</v>
      </c>
      <c r="H66" s="820">
        <v>0</v>
      </c>
      <c r="I66" s="820">
        <v>0</v>
      </c>
      <c r="J66" s="820">
        <v>4</v>
      </c>
      <c r="K66" s="820">
        <v>5</v>
      </c>
      <c r="L66" s="820">
        <v>6</v>
      </c>
      <c r="M66" s="820">
        <v>7</v>
      </c>
      <c r="N66" s="820">
        <v>10</v>
      </c>
      <c r="O66" s="820">
        <v>11</v>
      </c>
      <c r="P66" s="820">
        <v>14</v>
      </c>
      <c r="Q66" s="820">
        <v>17</v>
      </c>
      <c r="R66" s="820">
        <v>28</v>
      </c>
      <c r="S66" s="820">
        <v>0</v>
      </c>
      <c r="T66" s="820">
        <v>0</v>
      </c>
      <c r="U66" s="820">
        <v>0</v>
      </c>
      <c r="V66" s="820">
        <v>0</v>
      </c>
      <c r="W66" s="820">
        <v>0</v>
      </c>
      <c r="X66" s="820">
        <v>0</v>
      </c>
      <c r="Y66" s="820">
        <v>0</v>
      </c>
      <c r="Z66" s="820">
        <v>0</v>
      </c>
      <c r="AA66" s="820">
        <v>0</v>
      </c>
      <c r="AB66" s="820">
        <v>0</v>
      </c>
      <c r="AC66" s="820">
        <v>0</v>
      </c>
    </row>
    <row r="67" spans="1:29" ht="12.75">
      <c r="A67" s="820" t="s">
        <v>295</v>
      </c>
      <c r="B67" s="820">
        <v>40</v>
      </c>
      <c r="C67" s="820">
        <v>4</v>
      </c>
      <c r="D67" s="820">
        <v>12</v>
      </c>
      <c r="E67" s="820" t="s">
        <v>295</v>
      </c>
      <c r="F67" s="820" t="s">
        <v>293</v>
      </c>
      <c r="G67" s="820">
        <v>0</v>
      </c>
      <c r="H67" s="820">
        <v>0</v>
      </c>
      <c r="I67" s="820">
        <v>0</v>
      </c>
      <c r="J67" s="820">
        <v>4</v>
      </c>
      <c r="K67" s="820">
        <v>5</v>
      </c>
      <c r="L67" s="820">
        <v>6</v>
      </c>
      <c r="M67" s="820">
        <v>8</v>
      </c>
      <c r="N67" s="820">
        <v>9</v>
      </c>
      <c r="O67" s="820">
        <v>10</v>
      </c>
      <c r="P67" s="820">
        <v>13</v>
      </c>
      <c r="Q67" s="820">
        <v>15</v>
      </c>
      <c r="R67" s="820">
        <v>16</v>
      </c>
      <c r="S67" s="820">
        <v>0</v>
      </c>
      <c r="T67" s="820">
        <v>0</v>
      </c>
      <c r="U67" s="820">
        <v>0</v>
      </c>
      <c r="V67" s="820">
        <v>0</v>
      </c>
      <c r="W67" s="820">
        <v>0</v>
      </c>
      <c r="X67" s="820">
        <v>0</v>
      </c>
      <c r="Y67" s="820">
        <v>0</v>
      </c>
      <c r="Z67" s="820">
        <v>0</v>
      </c>
      <c r="AA67" s="820">
        <v>0</v>
      </c>
      <c r="AB67" s="820">
        <v>0</v>
      </c>
      <c r="AC67" s="820">
        <v>0</v>
      </c>
    </row>
    <row r="68" spans="1:29" ht="12.75">
      <c r="A68" s="820" t="s">
        <v>258</v>
      </c>
      <c r="B68" s="820">
        <v>19</v>
      </c>
      <c r="C68" s="820">
        <v>24</v>
      </c>
      <c r="D68" s="821">
        <v>4</v>
      </c>
      <c r="E68" s="820" t="str">
        <f ca="1">"CAUSAS-VST-"&amp;$G$14</f>
        <v>CAUSAS-VST-01</v>
      </c>
      <c r="F68" s="820" t="s">
        <v>259</v>
      </c>
      <c r="G68" s="820">
        <v>3</v>
      </c>
      <c r="H68" s="820">
        <v>4</v>
      </c>
      <c r="I68" s="820">
        <v>5</v>
      </c>
      <c r="J68" s="820">
        <v>6</v>
      </c>
      <c r="K68" s="820">
        <v>7</v>
      </c>
      <c r="L68" s="820">
        <v>0</v>
      </c>
      <c r="M68" s="820">
        <v>0</v>
      </c>
      <c r="N68" s="820">
        <v>0</v>
      </c>
      <c r="O68" s="820">
        <v>0</v>
      </c>
      <c r="P68" s="820">
        <v>0</v>
      </c>
      <c r="Q68" s="820">
        <v>0</v>
      </c>
      <c r="R68" s="820">
        <v>0</v>
      </c>
      <c r="S68" s="820">
        <v>0</v>
      </c>
      <c r="T68" s="820">
        <v>0</v>
      </c>
      <c r="U68" s="820">
        <v>0</v>
      </c>
      <c r="V68" s="820">
        <v>0</v>
      </c>
      <c r="W68" s="820">
        <v>999</v>
      </c>
      <c r="X68" s="820">
        <v>999</v>
      </c>
      <c r="Y68" s="820">
        <v>0</v>
      </c>
      <c r="Z68" s="820">
        <v>0</v>
      </c>
      <c r="AA68" s="820">
        <v>0</v>
      </c>
      <c r="AB68" s="820">
        <v>0</v>
      </c>
      <c r="AC68" s="820">
        <v>0</v>
      </c>
    </row>
    <row r="69" spans="1:29" ht="12.75">
      <c r="A69" s="822"/>
      <c r="B69" s="822">
        <v>30</v>
      </c>
      <c r="C69" s="822">
        <v>10</v>
      </c>
      <c r="D69" s="823">
        <v>11</v>
      </c>
      <c r="E69" s="822" t="s">
        <v>257</v>
      </c>
      <c r="F69" s="824" t="s">
        <v>289</v>
      </c>
      <c r="G69" s="822">
        <v>3</v>
      </c>
      <c r="H69" s="822">
        <v>5</v>
      </c>
      <c r="I69" s="824">
        <v>0</v>
      </c>
      <c r="J69" s="824">
        <v>4</v>
      </c>
      <c r="K69" s="824">
        <v>5</v>
      </c>
      <c r="L69" s="824">
        <v>6</v>
      </c>
      <c r="M69" s="824">
        <v>8</v>
      </c>
      <c r="N69" s="824">
        <v>9</v>
      </c>
      <c r="O69" s="824">
        <v>10</v>
      </c>
      <c r="P69" s="824">
        <v>13</v>
      </c>
      <c r="Q69" s="824">
        <v>15</v>
      </c>
      <c r="R69" s="824">
        <v>16</v>
      </c>
      <c r="S69" s="824">
        <v>0</v>
      </c>
      <c r="T69" s="824">
        <v>0</v>
      </c>
      <c r="U69" s="824">
        <v>0</v>
      </c>
      <c r="V69" s="824">
        <v>0</v>
      </c>
      <c r="W69" s="822">
        <v>0</v>
      </c>
      <c r="X69" s="822">
        <v>0</v>
      </c>
      <c r="Y69" s="822">
        <v>0</v>
      </c>
      <c r="Z69" s="822">
        <v>0</v>
      </c>
      <c r="AA69" s="822">
        <v>0</v>
      </c>
      <c r="AB69" s="822">
        <v>0</v>
      </c>
      <c r="AC69" s="822">
        <v>0</v>
      </c>
    </row>
    <row r="72" spans="6:9" ht="12.75">
      <c r="F72" s="835"/>
      <c r="G72" s="835"/>
      <c r="H72" s="835"/>
      <c r="I72" s="835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5" r:id="rId1"/>
  <headerFooter alignWithMargins="0">
    <oddFooter>&amp;L&amp;"Times New Roman,Normal"&amp;5&amp;F  - TRANSPORTE de ENERGÍA ELÉCTRICA - PJL - JI -JM -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pageSetUpPr fitToPage="1"/>
  </sheetPr>
  <dimension ref="A1:AF44"/>
  <sheetViews>
    <sheetView zoomScale="70" zoomScaleNormal="70" workbookViewId="0" topLeftCell="A1">
      <selection activeCell="E4" sqref="E4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5" width="13.574218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39"/>
    </row>
    <row r="2" spans="1:32" s="18" customFormat="1" ht="26.25">
      <c r="A2" s="91"/>
      <c r="B2" s="19" t="str">
        <f>+'TOT-0116'!B2</f>
        <v>ANEXO II al Memorándum D.T.E.E. N° 231 / 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67" t="s">
        <v>69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12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7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146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7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'TOT-0116'!B14</f>
        <v>Desde el 01 al 31 de enero de 2016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92"/>
      <c r="Q14" s="192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37"/>
    </row>
    <row r="15" spans="2:32" s="5" customFormat="1" ht="17.1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193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7.1" customHeight="1" thickBot="1" thickTop="1">
      <c r="B16" s="50"/>
      <c r="C16" s="4"/>
      <c r="D16" s="4"/>
      <c r="E16" s="4"/>
      <c r="F16" s="82" t="s">
        <v>90</v>
      </c>
      <c r="G16" s="744">
        <v>506.119</v>
      </c>
      <c r="H16" s="19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7.1" customHeight="1" thickBot="1" thickTop="1">
      <c r="B17" s="50"/>
      <c r="C17" s="4"/>
      <c r="D17" s="4"/>
      <c r="E17" s="4"/>
      <c r="F17" s="82" t="s">
        <v>91</v>
      </c>
      <c r="G17" s="744">
        <v>421.774</v>
      </c>
      <c r="H17" s="194"/>
      <c r="I17" s="4"/>
      <c r="J17" s="4"/>
      <c r="K17" s="4"/>
      <c r="L17" s="195"/>
      <c r="M17" s="196"/>
      <c r="N17" s="4"/>
      <c r="O17" s="4"/>
      <c r="P17" s="4"/>
      <c r="Q17" s="4"/>
      <c r="R17" s="4"/>
      <c r="S17" s="4"/>
      <c r="T17" s="4"/>
      <c r="U17" s="4"/>
      <c r="V17" s="4"/>
      <c r="W17" s="4"/>
      <c r="X17" s="115"/>
      <c r="Y17" s="115"/>
      <c r="Z17" s="115"/>
      <c r="AA17" s="115"/>
      <c r="AB17" s="115"/>
      <c r="AC17" s="115"/>
      <c r="AD17" s="115"/>
      <c r="AF17" s="17"/>
    </row>
    <row r="18" spans="2:32" s="5" customFormat="1" ht="17.1" customHeight="1" thickBot="1" thickTop="1">
      <c r="B18" s="50"/>
      <c r="C18" s="836">
        <v>3</v>
      </c>
      <c r="D18" s="836">
        <v>4</v>
      </c>
      <c r="E18" s="836">
        <v>5</v>
      </c>
      <c r="F18" s="836">
        <v>6</v>
      </c>
      <c r="G18" s="836">
        <v>7</v>
      </c>
      <c r="H18" s="836">
        <v>8</v>
      </c>
      <c r="I18" s="836">
        <v>9</v>
      </c>
      <c r="J18" s="836">
        <v>10</v>
      </c>
      <c r="K18" s="836">
        <v>11</v>
      </c>
      <c r="L18" s="836">
        <v>12</v>
      </c>
      <c r="M18" s="836">
        <v>13</v>
      </c>
      <c r="N18" s="836">
        <v>14</v>
      </c>
      <c r="O18" s="836">
        <v>15</v>
      </c>
      <c r="P18" s="836">
        <v>16</v>
      </c>
      <c r="Q18" s="836">
        <v>17</v>
      </c>
      <c r="R18" s="836">
        <v>18</v>
      </c>
      <c r="S18" s="836">
        <v>19</v>
      </c>
      <c r="T18" s="836">
        <v>20</v>
      </c>
      <c r="U18" s="836">
        <v>21</v>
      </c>
      <c r="V18" s="836">
        <v>22</v>
      </c>
      <c r="W18" s="836">
        <v>23</v>
      </c>
      <c r="X18" s="836">
        <v>24</v>
      </c>
      <c r="Y18" s="836">
        <v>25</v>
      </c>
      <c r="Z18" s="836">
        <v>26</v>
      </c>
      <c r="AA18" s="836">
        <v>27</v>
      </c>
      <c r="AB18" s="836">
        <v>28</v>
      </c>
      <c r="AC18" s="836">
        <v>29</v>
      </c>
      <c r="AD18" s="836">
        <v>30</v>
      </c>
      <c r="AE18" s="836">
        <v>31</v>
      </c>
      <c r="AF18" s="17"/>
    </row>
    <row r="19" spans="2:32" s="5" customFormat="1" ht="33.95" customHeight="1" thickBot="1" thickTop="1">
      <c r="B19" s="50"/>
      <c r="C19" s="84" t="s">
        <v>13</v>
      </c>
      <c r="D19" s="84" t="s">
        <v>242</v>
      </c>
      <c r="E19" s="84" t="s">
        <v>243</v>
      </c>
      <c r="F19" s="85" t="s">
        <v>0</v>
      </c>
      <c r="G19" s="678" t="s">
        <v>14</v>
      </c>
      <c r="H19" s="86" t="s">
        <v>15</v>
      </c>
      <c r="I19" s="199" t="s">
        <v>71</v>
      </c>
      <c r="J19" s="679" t="s">
        <v>37</v>
      </c>
      <c r="K19" s="680" t="s">
        <v>16</v>
      </c>
      <c r="L19" s="85" t="s">
        <v>17</v>
      </c>
      <c r="M19" s="172" t="s">
        <v>18</v>
      </c>
      <c r="N19" s="88" t="s">
        <v>36</v>
      </c>
      <c r="O19" s="86" t="s">
        <v>31</v>
      </c>
      <c r="P19" s="88" t="s">
        <v>19</v>
      </c>
      <c r="Q19" s="86" t="s">
        <v>58</v>
      </c>
      <c r="R19" s="172" t="s">
        <v>59</v>
      </c>
      <c r="S19" s="85" t="s">
        <v>32</v>
      </c>
      <c r="T19" s="135" t="s">
        <v>20</v>
      </c>
      <c r="U19" s="681" t="s">
        <v>21</v>
      </c>
      <c r="V19" s="201" t="s">
        <v>60</v>
      </c>
      <c r="W19" s="202"/>
      <c r="X19" s="203"/>
      <c r="Y19" s="682" t="s">
        <v>147</v>
      </c>
      <c r="Z19" s="683"/>
      <c r="AA19" s="684"/>
      <c r="AB19" s="204" t="s">
        <v>22</v>
      </c>
      <c r="AC19" s="205" t="s">
        <v>73</v>
      </c>
      <c r="AD19" s="131" t="s">
        <v>74</v>
      </c>
      <c r="AE19" s="131" t="s">
        <v>24</v>
      </c>
      <c r="AF19" s="206"/>
    </row>
    <row r="20" spans="2:32" s="5" customFormat="1" ht="17.1" customHeight="1" thickTop="1">
      <c r="B20" s="50"/>
      <c r="C20" s="174"/>
      <c r="D20" s="174"/>
      <c r="E20" s="174"/>
      <c r="F20" s="727"/>
      <c r="G20" s="727"/>
      <c r="H20" s="745"/>
      <c r="I20" s="726"/>
      <c r="J20" s="728"/>
      <c r="K20" s="729"/>
      <c r="L20" s="740"/>
      <c r="M20" s="740"/>
      <c r="N20" s="726"/>
      <c r="O20" s="726"/>
      <c r="P20" s="726"/>
      <c r="Q20" s="726"/>
      <c r="R20" s="726"/>
      <c r="S20" s="726"/>
      <c r="T20" s="730"/>
      <c r="U20" s="731"/>
      <c r="V20" s="732"/>
      <c r="W20" s="733"/>
      <c r="X20" s="734"/>
      <c r="Y20" s="735"/>
      <c r="Z20" s="736"/>
      <c r="AA20" s="737"/>
      <c r="AB20" s="738"/>
      <c r="AC20" s="739"/>
      <c r="AD20" s="726"/>
      <c r="AE20" s="685">
        <f>'LI-01 (1)'!AE41</f>
        <v>113036.93</v>
      </c>
      <c r="AF20" s="17"/>
    </row>
    <row r="21" spans="2:32" s="5" customFormat="1" ht="17.1" customHeight="1">
      <c r="B21" s="50"/>
      <c r="C21" s="270"/>
      <c r="D21" s="270"/>
      <c r="E21" s="270"/>
      <c r="F21" s="176"/>
      <c r="G21" s="7"/>
      <c r="H21" s="746"/>
      <c r="I21" s="176"/>
      <c r="J21" s="686"/>
      <c r="K21" s="687"/>
      <c r="L21" s="207"/>
      <c r="M21" s="115"/>
      <c r="N21" s="176"/>
      <c r="O21" s="176"/>
      <c r="P21" s="177"/>
      <c r="Q21" s="176"/>
      <c r="R21" s="176"/>
      <c r="S21" s="176"/>
      <c r="T21" s="688"/>
      <c r="U21" s="689"/>
      <c r="V21" s="690"/>
      <c r="W21" s="691"/>
      <c r="X21" s="692"/>
      <c r="Y21" s="693"/>
      <c r="Z21" s="694"/>
      <c r="AA21" s="695"/>
      <c r="AB21" s="211"/>
      <c r="AC21" s="212"/>
      <c r="AD21" s="176"/>
      <c r="AE21" s="213"/>
      <c r="AF21" s="17"/>
    </row>
    <row r="22" spans="2:32" s="5" customFormat="1" ht="17.1" customHeight="1">
      <c r="B22" s="50"/>
      <c r="C22" s="149">
        <v>19</v>
      </c>
      <c r="D22" s="149">
        <v>297814</v>
      </c>
      <c r="E22" s="149">
        <v>5167</v>
      </c>
      <c r="F22" s="149" t="s">
        <v>469</v>
      </c>
      <c r="G22" s="179">
        <v>500</v>
      </c>
      <c r="H22" s="747">
        <v>255.08</v>
      </c>
      <c r="I22" s="179" t="s">
        <v>306</v>
      </c>
      <c r="J22" s="696">
        <f aca="true" t="shared" si="0" ref="J22:J40">IF(I22="A",200,IF(I22="B",60,20))</f>
        <v>200</v>
      </c>
      <c r="K22" s="697">
        <f aca="true" t="shared" si="1" ref="K22:K40">IF(G22=500,IF(H22&lt;100,100*$G$16/100,H22*$G$16/100),IF(H22&lt;100,100*$G$17/100,H22*$G$17/100))</f>
        <v>1291.0083452000001</v>
      </c>
      <c r="L22" s="698">
        <v>42393.60833333333</v>
      </c>
      <c r="M22" s="699">
        <v>42393.620833333334</v>
      </c>
      <c r="N22" s="182">
        <f aca="true" t="shared" si="2" ref="N22:N40">IF(F22="","",(M22-L22)*24)</f>
        <v>0.3000000001047738</v>
      </c>
      <c r="O22" s="183">
        <f aca="true" t="shared" si="3" ref="O22:O40">IF(F22="","",ROUND((M22-L22)*24*60,0))</f>
        <v>18</v>
      </c>
      <c r="P22" s="216" t="s">
        <v>308</v>
      </c>
      <c r="Q22" s="795" t="str">
        <f aca="true" t="shared" si="4" ref="Q22:Q40">IF(F22="","","--")</f>
        <v>--</v>
      </c>
      <c r="R22" s="217" t="str">
        <f aca="true" t="shared" si="5" ref="R22:R40">IF(F22="","","NO")</f>
        <v>NO</v>
      </c>
      <c r="S22" s="217" t="str">
        <f aca="true" t="shared" si="6" ref="S22:S40">IF(F22="","",IF(OR(P22="P",P22="RP"),"--","NO"))</f>
        <v>NO</v>
      </c>
      <c r="T22" s="700" t="str">
        <f aca="true" t="shared" si="7" ref="T22:T40">IF(P22="P",K22*J22*ROUND(O22/60,2)*0.01,"--")</f>
        <v>--</v>
      </c>
      <c r="U22" s="701" t="str">
        <f aca="true" t="shared" si="8" ref="U22:U40">IF(P22="RP",K22*J22*ROUND(O22/60,2)*0.01*Q22/100,"--")</f>
        <v>--</v>
      </c>
      <c r="V22" s="218">
        <f aca="true" t="shared" si="9" ref="V22:V40">IF(AND(P22="F",S22="NO"),K22*J22*IF(R22="SI",1.2,1),"--")</f>
        <v>258201.66904000004</v>
      </c>
      <c r="W22" s="219">
        <f aca="true" t="shared" si="10" ref="W22:W40">IF(AND(P22="F",O22&gt;=10),K22*J22*IF(R22="SI",1.2,1)*IF(O22&lt;=300,ROUND(O22/60,2),5),"--")</f>
        <v>77460.50071200001</v>
      </c>
      <c r="X22" s="220" t="str">
        <f aca="true" t="shared" si="11" ref="X22:X40">IF(AND(P22="F",O22&gt;300),(ROUND(O22/60,2)-5)*K22*J22*0.1*IF(R22="SI",1.2,1),"--")</f>
        <v>--</v>
      </c>
      <c r="Y22" s="702" t="str">
        <f aca="true" t="shared" si="12" ref="Y22:Y40">IF(AND(P22="R",S22="NO"),K22*J22*Q22/100*IF(R22="SI",1.2,1),"--")</f>
        <v>--</v>
      </c>
      <c r="Z22" s="703" t="str">
        <f aca="true" t="shared" si="13" ref="Z22:Z40">IF(AND(P22="R",O22&gt;=10),K22*J22*Q22/100*IF(R22="SI",1.2,1)*IF(O22&lt;=300,ROUND(O22/60,2),5),"--")</f>
        <v>--</v>
      </c>
      <c r="AA22" s="704" t="str">
        <f aca="true" t="shared" si="14" ref="AA22:AA40">IF(AND(P22="R",O22&gt;300),(ROUND(O22/60,2)-5)*K22*J22*0.1*Q22/100*IF(R22="SI",1.2,1),"--")</f>
        <v>--</v>
      </c>
      <c r="AB22" s="221" t="str">
        <f aca="true" t="shared" si="15" ref="AB22:AB40">IF(P22="RF",ROUND(O22/60,2)*K22*J22*0.1*IF(R22="SI",1.2,1),"--")</f>
        <v>--</v>
      </c>
      <c r="AC22" s="222" t="str">
        <f aca="true" t="shared" si="16" ref="AC22:AC40">IF(P22="RR",ROUND(O22/60,2)*K22*J22*0.1*Q22/100*IF(R22="SI",1.2,1),"--")</f>
        <v>--</v>
      </c>
      <c r="AD22" s="796" t="s">
        <v>213</v>
      </c>
      <c r="AE22" s="16">
        <f aca="true" t="shared" si="17" ref="AE22:AE40">IF(F22="","",SUM(T22:AC22)*IF(AD22="SI",1,2))</f>
        <v>335662.169752</v>
      </c>
      <c r="AF22" s="705"/>
    </row>
    <row r="23" spans="2:32" s="5" customFormat="1" ht="17.1" customHeight="1">
      <c r="B23" s="50"/>
      <c r="C23" s="270">
        <v>20</v>
      </c>
      <c r="D23" s="270">
        <v>297815</v>
      </c>
      <c r="E23" s="270">
        <v>33</v>
      </c>
      <c r="F23" s="149" t="s">
        <v>312</v>
      </c>
      <c r="G23" s="179">
        <v>500</v>
      </c>
      <c r="H23" s="747">
        <v>53</v>
      </c>
      <c r="I23" s="179" t="s">
        <v>303</v>
      </c>
      <c r="J23" s="696">
        <f t="shared" si="0"/>
        <v>20</v>
      </c>
      <c r="K23" s="697">
        <f t="shared" si="1"/>
        <v>506.119</v>
      </c>
      <c r="L23" s="698">
        <v>42393.65416666667</v>
      </c>
      <c r="M23" s="699">
        <v>42393.768055555556</v>
      </c>
      <c r="N23" s="182">
        <f t="shared" si="2"/>
        <v>2.733333333337214</v>
      </c>
      <c r="O23" s="183">
        <f t="shared" si="3"/>
        <v>164</v>
      </c>
      <c r="P23" s="216" t="s">
        <v>308</v>
      </c>
      <c r="Q23" s="795" t="str">
        <f t="shared" si="4"/>
        <v>--</v>
      </c>
      <c r="R23" s="217" t="str">
        <f t="shared" si="5"/>
        <v>NO</v>
      </c>
      <c r="S23" s="217" t="str">
        <f t="shared" si="6"/>
        <v>NO</v>
      </c>
      <c r="T23" s="700" t="str">
        <f t="shared" si="7"/>
        <v>--</v>
      </c>
      <c r="U23" s="701" t="str">
        <f t="shared" si="8"/>
        <v>--</v>
      </c>
      <c r="V23" s="218">
        <f t="shared" si="9"/>
        <v>10122.380000000001</v>
      </c>
      <c r="W23" s="219">
        <f t="shared" si="10"/>
        <v>27634.097400000002</v>
      </c>
      <c r="X23" s="220" t="str">
        <f t="shared" si="11"/>
        <v>--</v>
      </c>
      <c r="Y23" s="702" t="str">
        <f t="shared" si="12"/>
        <v>--</v>
      </c>
      <c r="Z23" s="703" t="str">
        <f t="shared" si="13"/>
        <v>--</v>
      </c>
      <c r="AA23" s="704" t="str">
        <f t="shared" si="14"/>
        <v>--</v>
      </c>
      <c r="AB23" s="221" t="str">
        <f t="shared" si="15"/>
        <v>--</v>
      </c>
      <c r="AC23" s="222" t="str">
        <f t="shared" si="16"/>
        <v>--</v>
      </c>
      <c r="AD23" s="796" t="s">
        <v>213</v>
      </c>
      <c r="AE23" s="16">
        <f t="shared" si="17"/>
        <v>37756.4774</v>
      </c>
      <c r="AF23" s="705"/>
    </row>
    <row r="24" spans="2:32" s="5" customFormat="1" ht="17.1" customHeight="1">
      <c r="B24" s="50"/>
      <c r="C24" s="149">
        <v>21</v>
      </c>
      <c r="D24" s="149">
        <v>297816</v>
      </c>
      <c r="E24" s="149">
        <v>5167</v>
      </c>
      <c r="F24" s="149" t="s">
        <v>469</v>
      </c>
      <c r="G24" s="179">
        <v>500</v>
      </c>
      <c r="H24" s="747">
        <v>255.08</v>
      </c>
      <c r="I24" s="179" t="s">
        <v>306</v>
      </c>
      <c r="J24" s="696">
        <f t="shared" si="0"/>
        <v>200</v>
      </c>
      <c r="K24" s="697">
        <f t="shared" si="1"/>
        <v>1291.0083452000001</v>
      </c>
      <c r="L24" s="708">
        <v>42393.74097222222</v>
      </c>
      <c r="M24" s="709">
        <v>42393.756944444445</v>
      </c>
      <c r="N24" s="182">
        <f t="shared" si="2"/>
        <v>0.3833333333604969</v>
      </c>
      <c r="O24" s="183">
        <f t="shared" si="3"/>
        <v>23</v>
      </c>
      <c r="P24" s="216" t="s">
        <v>308</v>
      </c>
      <c r="Q24" s="795" t="str">
        <f t="shared" si="4"/>
        <v>--</v>
      </c>
      <c r="R24" s="217" t="str">
        <f t="shared" si="5"/>
        <v>NO</v>
      </c>
      <c r="S24" s="217" t="s">
        <v>213</v>
      </c>
      <c r="T24" s="700" t="str">
        <f t="shared" si="7"/>
        <v>--</v>
      </c>
      <c r="U24" s="701" t="str">
        <f t="shared" si="8"/>
        <v>--</v>
      </c>
      <c r="V24" s="218" t="str">
        <f t="shared" si="9"/>
        <v>--</v>
      </c>
      <c r="W24" s="219">
        <f t="shared" si="10"/>
        <v>98116.63423520002</v>
      </c>
      <c r="X24" s="220" t="str">
        <f t="shared" si="11"/>
        <v>--</v>
      </c>
      <c r="Y24" s="702" t="str">
        <f t="shared" si="12"/>
        <v>--</v>
      </c>
      <c r="Z24" s="703" t="str">
        <f t="shared" si="13"/>
        <v>--</v>
      </c>
      <c r="AA24" s="704" t="str">
        <f t="shared" si="14"/>
        <v>--</v>
      </c>
      <c r="AB24" s="221" t="str">
        <f t="shared" si="15"/>
        <v>--</v>
      </c>
      <c r="AC24" s="222" t="str">
        <f t="shared" si="16"/>
        <v>--</v>
      </c>
      <c r="AD24" s="796" t="s">
        <v>213</v>
      </c>
      <c r="AE24" s="16">
        <f>IF(F24="","",SUM(T24:AC24)*IF(AD24="SI",1,2))</f>
        <v>98116.63423520002</v>
      </c>
      <c r="AF24" s="705"/>
    </row>
    <row r="25" spans="2:32" s="5" customFormat="1" ht="17.1" customHeight="1">
      <c r="B25" s="50"/>
      <c r="C25" s="270">
        <v>22</v>
      </c>
      <c r="D25" s="270">
        <v>297817</v>
      </c>
      <c r="E25" s="270">
        <v>3695</v>
      </c>
      <c r="F25" s="706" t="s">
        <v>313</v>
      </c>
      <c r="G25" s="707">
        <v>500</v>
      </c>
      <c r="H25" s="748">
        <v>77</v>
      </c>
      <c r="I25" s="707" t="s">
        <v>314</v>
      </c>
      <c r="J25" s="696">
        <f t="shared" si="0"/>
        <v>60</v>
      </c>
      <c r="K25" s="697">
        <f t="shared" si="1"/>
        <v>506.119</v>
      </c>
      <c r="L25" s="708">
        <v>42393.74097222222</v>
      </c>
      <c r="M25" s="709">
        <v>42393.76527777778</v>
      </c>
      <c r="N25" s="182">
        <f t="shared" si="2"/>
        <v>0.5833333333139308</v>
      </c>
      <c r="O25" s="183">
        <f t="shared" si="3"/>
        <v>35</v>
      </c>
      <c r="P25" s="216" t="s">
        <v>308</v>
      </c>
      <c r="Q25" s="795" t="str">
        <f t="shared" si="4"/>
        <v>--</v>
      </c>
      <c r="R25" s="217" t="str">
        <f t="shared" si="5"/>
        <v>NO</v>
      </c>
      <c r="S25" s="217" t="s">
        <v>213</v>
      </c>
      <c r="T25" s="700" t="str">
        <f t="shared" si="7"/>
        <v>--</v>
      </c>
      <c r="U25" s="701" t="str">
        <f t="shared" si="8"/>
        <v>--</v>
      </c>
      <c r="V25" s="218" t="str">
        <f t="shared" si="9"/>
        <v>--</v>
      </c>
      <c r="W25" s="219">
        <f t="shared" si="10"/>
        <v>17612.9412</v>
      </c>
      <c r="X25" s="220" t="str">
        <f t="shared" si="11"/>
        <v>--</v>
      </c>
      <c r="Y25" s="702" t="str">
        <f t="shared" si="12"/>
        <v>--</v>
      </c>
      <c r="Z25" s="703" t="str">
        <f t="shared" si="13"/>
        <v>--</v>
      </c>
      <c r="AA25" s="704" t="str">
        <f t="shared" si="14"/>
        <v>--</v>
      </c>
      <c r="AB25" s="221" t="str">
        <f t="shared" si="15"/>
        <v>--</v>
      </c>
      <c r="AC25" s="222" t="str">
        <f t="shared" si="16"/>
        <v>--</v>
      </c>
      <c r="AD25" s="796" t="s">
        <v>213</v>
      </c>
      <c r="AE25" s="16">
        <f t="shared" si="17"/>
        <v>17612.9412</v>
      </c>
      <c r="AF25" s="705"/>
    </row>
    <row r="26" spans="2:32" s="5" customFormat="1" ht="16.5" customHeight="1">
      <c r="B26" s="50"/>
      <c r="C26" s="149">
        <v>23</v>
      </c>
      <c r="D26" s="149">
        <v>298199</v>
      </c>
      <c r="E26" s="149">
        <v>1345</v>
      </c>
      <c r="F26" s="149" t="s">
        <v>470</v>
      </c>
      <c r="G26" s="179">
        <v>500</v>
      </c>
      <c r="H26" s="747">
        <v>42</v>
      </c>
      <c r="I26" s="179" t="s">
        <v>303</v>
      </c>
      <c r="J26" s="696">
        <f t="shared" si="0"/>
        <v>20</v>
      </c>
      <c r="K26" s="697">
        <f t="shared" si="1"/>
        <v>506.119</v>
      </c>
      <c r="L26" s="698">
        <v>42394.751388888886</v>
      </c>
      <c r="M26" s="699">
        <v>42394.8</v>
      </c>
      <c r="N26" s="182">
        <f t="shared" si="2"/>
        <v>1.1666666668024845</v>
      </c>
      <c r="O26" s="183">
        <f t="shared" si="3"/>
        <v>70</v>
      </c>
      <c r="P26" s="216" t="s">
        <v>308</v>
      </c>
      <c r="Q26" s="795" t="str">
        <f t="shared" si="4"/>
        <v>--</v>
      </c>
      <c r="R26" s="217" t="str">
        <f t="shared" si="5"/>
        <v>NO</v>
      </c>
      <c r="S26" s="217" t="str">
        <f t="shared" si="6"/>
        <v>NO</v>
      </c>
      <c r="T26" s="700" t="str">
        <f t="shared" si="7"/>
        <v>--</v>
      </c>
      <c r="U26" s="701" t="str">
        <f t="shared" si="8"/>
        <v>--</v>
      </c>
      <c r="V26" s="218">
        <f t="shared" si="9"/>
        <v>10122.380000000001</v>
      </c>
      <c r="W26" s="219">
        <f t="shared" si="10"/>
        <v>11843.1846</v>
      </c>
      <c r="X26" s="220" t="str">
        <f t="shared" si="11"/>
        <v>--</v>
      </c>
      <c r="Y26" s="702" t="str">
        <f t="shared" si="12"/>
        <v>--</v>
      </c>
      <c r="Z26" s="703" t="str">
        <f t="shared" si="13"/>
        <v>--</v>
      </c>
      <c r="AA26" s="704" t="str">
        <f t="shared" si="14"/>
        <v>--</v>
      </c>
      <c r="AB26" s="221" t="str">
        <f t="shared" si="15"/>
        <v>--</v>
      </c>
      <c r="AC26" s="222" t="str">
        <f t="shared" si="16"/>
        <v>--</v>
      </c>
      <c r="AD26" s="796" t="s">
        <v>213</v>
      </c>
      <c r="AE26" s="16">
        <f t="shared" si="17"/>
        <v>21965.5646</v>
      </c>
      <c r="AF26" s="705"/>
    </row>
    <row r="27" spans="2:32" s="5" customFormat="1" ht="17.1" customHeight="1">
      <c r="B27" s="50"/>
      <c r="C27" s="270">
        <v>24</v>
      </c>
      <c r="D27" s="270">
        <v>298201</v>
      </c>
      <c r="E27" s="270">
        <v>50</v>
      </c>
      <c r="F27" s="149" t="s">
        <v>315</v>
      </c>
      <c r="G27" s="179">
        <v>220</v>
      </c>
      <c r="H27" s="747">
        <v>114</v>
      </c>
      <c r="I27" s="179" t="s">
        <v>303</v>
      </c>
      <c r="J27" s="696">
        <f t="shared" si="0"/>
        <v>20</v>
      </c>
      <c r="K27" s="697">
        <f t="shared" si="1"/>
        <v>480.82235999999995</v>
      </c>
      <c r="L27" s="698">
        <v>42396.299305555556</v>
      </c>
      <c r="M27" s="699">
        <v>42396.731944444444</v>
      </c>
      <c r="N27" s="182">
        <f t="shared" si="2"/>
        <v>10.38333333330229</v>
      </c>
      <c r="O27" s="183">
        <f t="shared" si="3"/>
        <v>623</v>
      </c>
      <c r="P27" s="216" t="s">
        <v>304</v>
      </c>
      <c r="Q27" s="795" t="str">
        <f t="shared" si="4"/>
        <v>--</v>
      </c>
      <c r="R27" s="217" t="str">
        <f t="shared" si="5"/>
        <v>NO</v>
      </c>
      <c r="S27" s="217" t="str">
        <f t="shared" si="6"/>
        <v>--</v>
      </c>
      <c r="T27" s="700">
        <f t="shared" si="7"/>
        <v>998.1872193599999</v>
      </c>
      <c r="U27" s="701" t="str">
        <f t="shared" si="8"/>
        <v>--</v>
      </c>
      <c r="V27" s="218" t="str">
        <f t="shared" si="9"/>
        <v>--</v>
      </c>
      <c r="W27" s="219" t="str">
        <f t="shared" si="10"/>
        <v>--</v>
      </c>
      <c r="X27" s="220" t="str">
        <f t="shared" si="11"/>
        <v>--</v>
      </c>
      <c r="Y27" s="702" t="str">
        <f t="shared" si="12"/>
        <v>--</v>
      </c>
      <c r="Z27" s="703" t="str">
        <f t="shared" si="13"/>
        <v>--</v>
      </c>
      <c r="AA27" s="704" t="str">
        <f t="shared" si="14"/>
        <v>--</v>
      </c>
      <c r="AB27" s="221" t="str">
        <f t="shared" si="15"/>
        <v>--</v>
      </c>
      <c r="AC27" s="222" t="str">
        <f t="shared" si="16"/>
        <v>--</v>
      </c>
      <c r="AD27" s="796" t="s">
        <v>213</v>
      </c>
      <c r="AE27" s="16">
        <f t="shared" si="17"/>
        <v>998.1872193599999</v>
      </c>
      <c r="AF27" s="705"/>
    </row>
    <row r="28" spans="2:32" s="5" customFormat="1" ht="17.1" customHeight="1">
      <c r="B28" s="50"/>
      <c r="C28" s="149">
        <v>25</v>
      </c>
      <c r="D28" s="149">
        <v>298206</v>
      </c>
      <c r="E28" s="149">
        <v>52</v>
      </c>
      <c r="F28" s="141" t="s">
        <v>316</v>
      </c>
      <c r="G28" s="143">
        <v>220</v>
      </c>
      <c r="H28" s="749">
        <v>61</v>
      </c>
      <c r="I28" s="143" t="s">
        <v>303</v>
      </c>
      <c r="J28" s="696">
        <f t="shared" si="0"/>
        <v>20</v>
      </c>
      <c r="K28" s="697">
        <f t="shared" si="1"/>
        <v>421.774</v>
      </c>
      <c r="L28" s="180">
        <v>42398.27013888889</v>
      </c>
      <c r="M28" s="215">
        <v>42398.384722222225</v>
      </c>
      <c r="N28" s="182">
        <f t="shared" si="2"/>
        <v>2.7500000000582077</v>
      </c>
      <c r="O28" s="183">
        <f t="shared" si="3"/>
        <v>165</v>
      </c>
      <c r="P28" s="216" t="s">
        <v>304</v>
      </c>
      <c r="Q28" s="795" t="str">
        <f t="shared" si="4"/>
        <v>--</v>
      </c>
      <c r="R28" s="217" t="str">
        <f t="shared" si="5"/>
        <v>NO</v>
      </c>
      <c r="S28" s="217" t="str">
        <f t="shared" si="6"/>
        <v>--</v>
      </c>
      <c r="T28" s="700">
        <f t="shared" si="7"/>
        <v>231.9757</v>
      </c>
      <c r="U28" s="701" t="str">
        <f t="shared" si="8"/>
        <v>--</v>
      </c>
      <c r="V28" s="218" t="str">
        <f t="shared" si="9"/>
        <v>--</v>
      </c>
      <c r="W28" s="219" t="str">
        <f t="shared" si="10"/>
        <v>--</v>
      </c>
      <c r="X28" s="220" t="str">
        <f t="shared" si="11"/>
        <v>--</v>
      </c>
      <c r="Y28" s="702" t="str">
        <f t="shared" si="12"/>
        <v>--</v>
      </c>
      <c r="Z28" s="703" t="str">
        <f t="shared" si="13"/>
        <v>--</v>
      </c>
      <c r="AA28" s="704" t="str">
        <f t="shared" si="14"/>
        <v>--</v>
      </c>
      <c r="AB28" s="221" t="str">
        <f t="shared" si="15"/>
        <v>--</v>
      </c>
      <c r="AC28" s="222" t="str">
        <f t="shared" si="16"/>
        <v>--</v>
      </c>
      <c r="AD28" s="796" t="s">
        <v>213</v>
      </c>
      <c r="AE28" s="16">
        <f t="shared" si="17"/>
        <v>231.9757</v>
      </c>
      <c r="AF28" s="705"/>
    </row>
    <row r="29" spans="2:32" s="5" customFormat="1" ht="17.1" customHeight="1">
      <c r="B29" s="50"/>
      <c r="C29" s="270">
        <v>26</v>
      </c>
      <c r="D29" s="149">
        <v>298213</v>
      </c>
      <c r="E29" s="149">
        <v>33</v>
      </c>
      <c r="F29" s="141" t="s">
        <v>312</v>
      </c>
      <c r="G29" s="143">
        <v>500</v>
      </c>
      <c r="H29" s="749">
        <v>53</v>
      </c>
      <c r="I29" s="143" t="s">
        <v>303</v>
      </c>
      <c r="J29" s="696">
        <f t="shared" si="0"/>
        <v>20</v>
      </c>
      <c r="K29" s="697">
        <f t="shared" si="1"/>
        <v>506.119</v>
      </c>
      <c r="L29" s="180">
        <v>42399.37986111111</v>
      </c>
      <c r="M29" s="215">
        <v>42399.71666666667</v>
      </c>
      <c r="N29" s="182">
        <f t="shared" si="2"/>
        <v>8.08333333331393</v>
      </c>
      <c r="O29" s="183">
        <f t="shared" si="3"/>
        <v>485</v>
      </c>
      <c r="P29" s="216" t="s">
        <v>304</v>
      </c>
      <c r="Q29" s="795" t="str">
        <f t="shared" si="4"/>
        <v>--</v>
      </c>
      <c r="R29" s="217" t="str">
        <f t="shared" si="5"/>
        <v>NO</v>
      </c>
      <c r="S29" s="217" t="str">
        <f t="shared" si="6"/>
        <v>--</v>
      </c>
      <c r="T29" s="700">
        <f t="shared" si="7"/>
        <v>817.8883040000001</v>
      </c>
      <c r="U29" s="701" t="str">
        <f t="shared" si="8"/>
        <v>--</v>
      </c>
      <c r="V29" s="218" t="str">
        <f t="shared" si="9"/>
        <v>--</v>
      </c>
      <c r="W29" s="219" t="str">
        <f t="shared" si="10"/>
        <v>--</v>
      </c>
      <c r="X29" s="220" t="str">
        <f t="shared" si="11"/>
        <v>--</v>
      </c>
      <c r="Y29" s="702" t="str">
        <f t="shared" si="12"/>
        <v>--</v>
      </c>
      <c r="Z29" s="703" t="str">
        <f t="shared" si="13"/>
        <v>--</v>
      </c>
      <c r="AA29" s="704" t="str">
        <f t="shared" si="14"/>
        <v>--</v>
      </c>
      <c r="AB29" s="221" t="str">
        <f t="shared" si="15"/>
        <v>--</v>
      </c>
      <c r="AC29" s="222" t="str">
        <f t="shared" si="16"/>
        <v>--</v>
      </c>
      <c r="AD29" s="796" t="s">
        <v>213</v>
      </c>
      <c r="AE29" s="16">
        <f t="shared" si="17"/>
        <v>817.8883040000001</v>
      </c>
      <c r="AF29" s="705"/>
    </row>
    <row r="30" spans="2:32" s="5" customFormat="1" ht="17.1" customHeight="1">
      <c r="B30" s="50"/>
      <c r="C30" s="149">
        <v>27</v>
      </c>
      <c r="D30" s="270">
        <v>299811</v>
      </c>
      <c r="E30" s="270"/>
      <c r="F30" s="141" t="s">
        <v>420</v>
      </c>
      <c r="G30" s="143">
        <v>500</v>
      </c>
      <c r="H30" s="749">
        <v>9</v>
      </c>
      <c r="I30" s="143" t="s">
        <v>314</v>
      </c>
      <c r="J30" s="696">
        <f t="shared" si="0"/>
        <v>60</v>
      </c>
      <c r="K30" s="697">
        <f t="shared" si="1"/>
        <v>506.119</v>
      </c>
      <c r="L30" s="180">
        <v>42389.80763888889</v>
      </c>
      <c r="M30" s="215">
        <v>42389.81458333333</v>
      </c>
      <c r="N30" s="182">
        <f t="shared" si="2"/>
        <v>0.16666666668606922</v>
      </c>
      <c r="O30" s="183">
        <f t="shared" si="3"/>
        <v>10</v>
      </c>
      <c r="P30" s="216" t="s">
        <v>308</v>
      </c>
      <c r="Q30" s="795" t="str">
        <f t="shared" si="4"/>
        <v>--</v>
      </c>
      <c r="R30" s="217" t="str">
        <f t="shared" si="5"/>
        <v>NO</v>
      </c>
      <c r="S30" s="217" t="str">
        <f t="shared" si="6"/>
        <v>NO</v>
      </c>
      <c r="T30" s="700" t="str">
        <f t="shared" si="7"/>
        <v>--</v>
      </c>
      <c r="U30" s="701" t="str">
        <f t="shared" si="8"/>
        <v>--</v>
      </c>
      <c r="V30" s="218">
        <f t="shared" si="9"/>
        <v>30367.140000000003</v>
      </c>
      <c r="W30" s="219">
        <f t="shared" si="10"/>
        <v>5162.413800000001</v>
      </c>
      <c r="X30" s="220" t="str">
        <f t="shared" si="11"/>
        <v>--</v>
      </c>
      <c r="Y30" s="702" t="str">
        <f t="shared" si="12"/>
        <v>--</v>
      </c>
      <c r="Z30" s="703" t="str">
        <f t="shared" si="13"/>
        <v>--</v>
      </c>
      <c r="AA30" s="704" t="str">
        <f t="shared" si="14"/>
        <v>--</v>
      </c>
      <c r="AB30" s="221" t="str">
        <f t="shared" si="15"/>
        <v>--</v>
      </c>
      <c r="AC30" s="222" t="str">
        <f t="shared" si="16"/>
        <v>--</v>
      </c>
      <c r="AD30" s="796" t="str">
        <f aca="true" t="shared" si="18" ref="AD30:AD40">IF(F30="","","SI")</f>
        <v>SI</v>
      </c>
      <c r="AE30" s="16">
        <f t="shared" si="17"/>
        <v>35529.5538</v>
      </c>
      <c r="AF30" s="705"/>
    </row>
    <row r="31" spans="2:32" s="5" customFormat="1" ht="17.1" customHeight="1">
      <c r="B31" s="50"/>
      <c r="C31" s="149"/>
      <c r="D31" s="149"/>
      <c r="E31" s="149"/>
      <c r="F31" s="141"/>
      <c r="G31" s="143"/>
      <c r="H31" s="749"/>
      <c r="I31" s="143"/>
      <c r="J31" s="696">
        <f t="shared" si="0"/>
        <v>20</v>
      </c>
      <c r="K31" s="697">
        <f t="shared" si="1"/>
        <v>421.774</v>
      </c>
      <c r="L31" s="180"/>
      <c r="M31" s="215"/>
      <c r="N31" s="182" t="str">
        <f t="shared" si="2"/>
        <v/>
      </c>
      <c r="O31" s="183" t="str">
        <f t="shared" si="3"/>
        <v/>
      </c>
      <c r="P31" s="216"/>
      <c r="Q31" s="795" t="str">
        <f t="shared" si="4"/>
        <v/>
      </c>
      <c r="R31" s="217" t="str">
        <f t="shared" si="5"/>
        <v/>
      </c>
      <c r="S31" s="217" t="str">
        <f t="shared" si="6"/>
        <v/>
      </c>
      <c r="T31" s="700" t="str">
        <f t="shared" si="7"/>
        <v>--</v>
      </c>
      <c r="U31" s="701" t="str">
        <f t="shared" si="8"/>
        <v>--</v>
      </c>
      <c r="V31" s="218" t="str">
        <f t="shared" si="9"/>
        <v>--</v>
      </c>
      <c r="W31" s="219" t="str">
        <f t="shared" si="10"/>
        <v>--</v>
      </c>
      <c r="X31" s="220" t="str">
        <f t="shared" si="11"/>
        <v>--</v>
      </c>
      <c r="Y31" s="702" t="str">
        <f t="shared" si="12"/>
        <v>--</v>
      </c>
      <c r="Z31" s="703" t="str">
        <f t="shared" si="13"/>
        <v>--</v>
      </c>
      <c r="AA31" s="704" t="str">
        <f t="shared" si="14"/>
        <v>--</v>
      </c>
      <c r="AB31" s="221" t="str">
        <f t="shared" si="15"/>
        <v>--</v>
      </c>
      <c r="AC31" s="222" t="str">
        <f t="shared" si="16"/>
        <v>--</v>
      </c>
      <c r="AD31" s="796" t="str">
        <f t="shared" si="18"/>
        <v/>
      </c>
      <c r="AE31" s="16" t="str">
        <f t="shared" si="17"/>
        <v/>
      </c>
      <c r="AF31" s="705"/>
    </row>
    <row r="32" spans="2:32" s="5" customFormat="1" ht="17.1" customHeight="1">
      <c r="B32" s="50"/>
      <c r="C32" s="270"/>
      <c r="D32" s="270"/>
      <c r="E32" s="270"/>
      <c r="F32" s="141"/>
      <c r="G32" s="143"/>
      <c r="H32" s="749"/>
      <c r="I32" s="143"/>
      <c r="J32" s="696">
        <f t="shared" si="0"/>
        <v>20</v>
      </c>
      <c r="K32" s="697">
        <f t="shared" si="1"/>
        <v>421.774</v>
      </c>
      <c r="L32" s="180"/>
      <c r="M32" s="181"/>
      <c r="N32" s="182" t="str">
        <f t="shared" si="2"/>
        <v/>
      </c>
      <c r="O32" s="183" t="str">
        <f t="shared" si="3"/>
        <v/>
      </c>
      <c r="P32" s="216"/>
      <c r="Q32" s="795" t="str">
        <f t="shared" si="4"/>
        <v/>
      </c>
      <c r="R32" s="217" t="str">
        <f t="shared" si="5"/>
        <v/>
      </c>
      <c r="S32" s="217" t="str">
        <f t="shared" si="6"/>
        <v/>
      </c>
      <c r="T32" s="700" t="str">
        <f t="shared" si="7"/>
        <v>--</v>
      </c>
      <c r="U32" s="701" t="str">
        <f t="shared" si="8"/>
        <v>--</v>
      </c>
      <c r="V32" s="218" t="str">
        <f t="shared" si="9"/>
        <v>--</v>
      </c>
      <c r="W32" s="219" t="str">
        <f t="shared" si="10"/>
        <v>--</v>
      </c>
      <c r="X32" s="220" t="str">
        <f t="shared" si="11"/>
        <v>--</v>
      </c>
      <c r="Y32" s="702" t="str">
        <f t="shared" si="12"/>
        <v>--</v>
      </c>
      <c r="Z32" s="703" t="str">
        <f t="shared" si="13"/>
        <v>--</v>
      </c>
      <c r="AA32" s="704" t="str">
        <f t="shared" si="14"/>
        <v>--</v>
      </c>
      <c r="AB32" s="221" t="str">
        <f t="shared" si="15"/>
        <v>--</v>
      </c>
      <c r="AC32" s="222" t="str">
        <f t="shared" si="16"/>
        <v>--</v>
      </c>
      <c r="AD32" s="796" t="str">
        <f t="shared" si="18"/>
        <v/>
      </c>
      <c r="AE32" s="16" t="str">
        <f t="shared" si="17"/>
        <v/>
      </c>
      <c r="AF32" s="705"/>
    </row>
    <row r="33" spans="2:32" s="5" customFormat="1" ht="17.1" customHeight="1">
      <c r="B33" s="50"/>
      <c r="C33" s="149"/>
      <c r="D33" s="149"/>
      <c r="E33" s="149"/>
      <c r="F33" s="141"/>
      <c r="G33" s="143"/>
      <c r="H33" s="749"/>
      <c r="I33" s="143"/>
      <c r="J33" s="696">
        <f t="shared" si="0"/>
        <v>20</v>
      </c>
      <c r="K33" s="697">
        <f t="shared" si="1"/>
        <v>421.774</v>
      </c>
      <c r="L33" s="180"/>
      <c r="M33" s="181"/>
      <c r="N33" s="182" t="str">
        <f t="shared" si="2"/>
        <v/>
      </c>
      <c r="O33" s="183" t="str">
        <f t="shared" si="3"/>
        <v/>
      </c>
      <c r="P33" s="216"/>
      <c r="Q33" s="795" t="str">
        <f t="shared" si="4"/>
        <v/>
      </c>
      <c r="R33" s="217" t="str">
        <f t="shared" si="5"/>
        <v/>
      </c>
      <c r="S33" s="217" t="str">
        <f t="shared" si="6"/>
        <v/>
      </c>
      <c r="T33" s="700" t="str">
        <f t="shared" si="7"/>
        <v>--</v>
      </c>
      <c r="U33" s="701" t="str">
        <f t="shared" si="8"/>
        <v>--</v>
      </c>
      <c r="V33" s="218" t="str">
        <f t="shared" si="9"/>
        <v>--</v>
      </c>
      <c r="W33" s="219" t="str">
        <f t="shared" si="10"/>
        <v>--</v>
      </c>
      <c r="X33" s="220" t="str">
        <f t="shared" si="11"/>
        <v>--</v>
      </c>
      <c r="Y33" s="702" t="str">
        <f t="shared" si="12"/>
        <v>--</v>
      </c>
      <c r="Z33" s="703" t="str">
        <f t="shared" si="13"/>
        <v>--</v>
      </c>
      <c r="AA33" s="704" t="str">
        <f t="shared" si="14"/>
        <v>--</v>
      </c>
      <c r="AB33" s="221" t="str">
        <f t="shared" si="15"/>
        <v>--</v>
      </c>
      <c r="AC33" s="222" t="str">
        <f t="shared" si="16"/>
        <v>--</v>
      </c>
      <c r="AD33" s="796" t="str">
        <f t="shared" si="18"/>
        <v/>
      </c>
      <c r="AE33" s="16" t="str">
        <f t="shared" si="17"/>
        <v/>
      </c>
      <c r="AF33" s="705"/>
    </row>
    <row r="34" spans="2:32" s="5" customFormat="1" ht="17.1" customHeight="1">
      <c r="B34" s="50"/>
      <c r="C34" s="270"/>
      <c r="D34" s="270"/>
      <c r="E34" s="270"/>
      <c r="F34" s="141"/>
      <c r="G34" s="143"/>
      <c r="H34" s="749"/>
      <c r="I34" s="143"/>
      <c r="J34" s="696">
        <f t="shared" si="0"/>
        <v>20</v>
      </c>
      <c r="K34" s="697">
        <f t="shared" si="1"/>
        <v>421.774</v>
      </c>
      <c r="L34" s="180"/>
      <c r="M34" s="181"/>
      <c r="N34" s="182" t="str">
        <f t="shared" si="2"/>
        <v/>
      </c>
      <c r="O34" s="183" t="str">
        <f t="shared" si="3"/>
        <v/>
      </c>
      <c r="P34" s="216"/>
      <c r="Q34" s="795" t="str">
        <f t="shared" si="4"/>
        <v/>
      </c>
      <c r="R34" s="217" t="str">
        <f t="shared" si="5"/>
        <v/>
      </c>
      <c r="S34" s="217" t="str">
        <f t="shared" si="6"/>
        <v/>
      </c>
      <c r="T34" s="700" t="str">
        <f t="shared" si="7"/>
        <v>--</v>
      </c>
      <c r="U34" s="701" t="str">
        <f t="shared" si="8"/>
        <v>--</v>
      </c>
      <c r="V34" s="218" t="str">
        <f t="shared" si="9"/>
        <v>--</v>
      </c>
      <c r="W34" s="219" t="str">
        <f t="shared" si="10"/>
        <v>--</v>
      </c>
      <c r="X34" s="220" t="str">
        <f t="shared" si="11"/>
        <v>--</v>
      </c>
      <c r="Y34" s="702" t="str">
        <f t="shared" si="12"/>
        <v>--</v>
      </c>
      <c r="Z34" s="703" t="str">
        <f t="shared" si="13"/>
        <v>--</v>
      </c>
      <c r="AA34" s="704" t="str">
        <f t="shared" si="14"/>
        <v>--</v>
      </c>
      <c r="AB34" s="221" t="str">
        <f t="shared" si="15"/>
        <v>--</v>
      </c>
      <c r="AC34" s="222" t="str">
        <f t="shared" si="16"/>
        <v>--</v>
      </c>
      <c r="AD34" s="796" t="str">
        <f t="shared" si="18"/>
        <v/>
      </c>
      <c r="AE34" s="16" t="str">
        <f t="shared" si="17"/>
        <v/>
      </c>
      <c r="AF34" s="705"/>
    </row>
    <row r="35" spans="2:32" s="5" customFormat="1" ht="17.1" customHeight="1">
      <c r="B35" s="50"/>
      <c r="C35" s="149"/>
      <c r="D35" s="149"/>
      <c r="E35" s="149"/>
      <c r="F35" s="141"/>
      <c r="G35" s="143"/>
      <c r="H35" s="749"/>
      <c r="I35" s="143"/>
      <c r="J35" s="696">
        <f t="shared" si="0"/>
        <v>20</v>
      </c>
      <c r="K35" s="697">
        <f t="shared" si="1"/>
        <v>421.774</v>
      </c>
      <c r="L35" s="180"/>
      <c r="M35" s="181"/>
      <c r="N35" s="182" t="str">
        <f t="shared" si="2"/>
        <v/>
      </c>
      <c r="O35" s="183" t="str">
        <f t="shared" si="3"/>
        <v/>
      </c>
      <c r="P35" s="216"/>
      <c r="Q35" s="795" t="str">
        <f t="shared" si="4"/>
        <v/>
      </c>
      <c r="R35" s="217" t="str">
        <f t="shared" si="5"/>
        <v/>
      </c>
      <c r="S35" s="217" t="str">
        <f t="shared" si="6"/>
        <v/>
      </c>
      <c r="T35" s="700" t="str">
        <f t="shared" si="7"/>
        <v>--</v>
      </c>
      <c r="U35" s="701" t="str">
        <f t="shared" si="8"/>
        <v>--</v>
      </c>
      <c r="V35" s="218" t="str">
        <f t="shared" si="9"/>
        <v>--</v>
      </c>
      <c r="W35" s="219" t="str">
        <f t="shared" si="10"/>
        <v>--</v>
      </c>
      <c r="X35" s="220" t="str">
        <f t="shared" si="11"/>
        <v>--</v>
      </c>
      <c r="Y35" s="702" t="str">
        <f t="shared" si="12"/>
        <v>--</v>
      </c>
      <c r="Z35" s="703" t="str">
        <f t="shared" si="13"/>
        <v>--</v>
      </c>
      <c r="AA35" s="704" t="str">
        <f t="shared" si="14"/>
        <v>--</v>
      </c>
      <c r="AB35" s="221" t="str">
        <f t="shared" si="15"/>
        <v>--</v>
      </c>
      <c r="AC35" s="222" t="str">
        <f t="shared" si="16"/>
        <v>--</v>
      </c>
      <c r="AD35" s="796" t="str">
        <f t="shared" si="18"/>
        <v/>
      </c>
      <c r="AE35" s="16" t="str">
        <f t="shared" si="17"/>
        <v/>
      </c>
      <c r="AF35" s="705"/>
    </row>
    <row r="36" spans="2:32" s="5" customFormat="1" ht="17.1" customHeight="1">
      <c r="B36" s="50"/>
      <c r="C36" s="270"/>
      <c r="D36" s="270"/>
      <c r="E36" s="270"/>
      <c r="F36" s="141"/>
      <c r="G36" s="143"/>
      <c r="H36" s="749"/>
      <c r="I36" s="143"/>
      <c r="J36" s="696">
        <f t="shared" si="0"/>
        <v>20</v>
      </c>
      <c r="K36" s="697">
        <f t="shared" si="1"/>
        <v>421.774</v>
      </c>
      <c r="L36" s="180"/>
      <c r="M36" s="181"/>
      <c r="N36" s="182" t="str">
        <f t="shared" si="2"/>
        <v/>
      </c>
      <c r="O36" s="183" t="str">
        <f t="shared" si="3"/>
        <v/>
      </c>
      <c r="P36" s="216"/>
      <c r="Q36" s="795" t="str">
        <f t="shared" si="4"/>
        <v/>
      </c>
      <c r="R36" s="217" t="str">
        <f t="shared" si="5"/>
        <v/>
      </c>
      <c r="S36" s="217" t="str">
        <f t="shared" si="6"/>
        <v/>
      </c>
      <c r="T36" s="700" t="str">
        <f t="shared" si="7"/>
        <v>--</v>
      </c>
      <c r="U36" s="701" t="str">
        <f t="shared" si="8"/>
        <v>--</v>
      </c>
      <c r="V36" s="218" t="str">
        <f t="shared" si="9"/>
        <v>--</v>
      </c>
      <c r="W36" s="219" t="str">
        <f t="shared" si="10"/>
        <v>--</v>
      </c>
      <c r="X36" s="220" t="str">
        <f t="shared" si="11"/>
        <v>--</v>
      </c>
      <c r="Y36" s="702" t="str">
        <f t="shared" si="12"/>
        <v>--</v>
      </c>
      <c r="Z36" s="703" t="str">
        <f t="shared" si="13"/>
        <v>--</v>
      </c>
      <c r="AA36" s="704" t="str">
        <f t="shared" si="14"/>
        <v>--</v>
      </c>
      <c r="AB36" s="221" t="str">
        <f t="shared" si="15"/>
        <v>--</v>
      </c>
      <c r="AC36" s="222" t="str">
        <f t="shared" si="16"/>
        <v>--</v>
      </c>
      <c r="AD36" s="796" t="str">
        <f t="shared" si="18"/>
        <v/>
      </c>
      <c r="AE36" s="16" t="str">
        <f t="shared" si="17"/>
        <v/>
      </c>
      <c r="AF36" s="705"/>
    </row>
    <row r="37" spans="2:32" s="5" customFormat="1" ht="17.1" customHeight="1">
      <c r="B37" s="50"/>
      <c r="C37" s="149"/>
      <c r="D37" s="149"/>
      <c r="E37" s="149"/>
      <c r="F37" s="141"/>
      <c r="G37" s="143"/>
      <c r="H37" s="749"/>
      <c r="I37" s="143"/>
      <c r="J37" s="696">
        <f t="shared" si="0"/>
        <v>20</v>
      </c>
      <c r="K37" s="697">
        <f t="shared" si="1"/>
        <v>421.774</v>
      </c>
      <c r="L37" s="180"/>
      <c r="M37" s="181"/>
      <c r="N37" s="182" t="str">
        <f t="shared" si="2"/>
        <v/>
      </c>
      <c r="O37" s="183" t="str">
        <f t="shared" si="3"/>
        <v/>
      </c>
      <c r="P37" s="216"/>
      <c r="Q37" s="795" t="str">
        <f t="shared" si="4"/>
        <v/>
      </c>
      <c r="R37" s="217" t="str">
        <f t="shared" si="5"/>
        <v/>
      </c>
      <c r="S37" s="217" t="str">
        <f t="shared" si="6"/>
        <v/>
      </c>
      <c r="T37" s="700" t="str">
        <f t="shared" si="7"/>
        <v>--</v>
      </c>
      <c r="U37" s="701" t="str">
        <f t="shared" si="8"/>
        <v>--</v>
      </c>
      <c r="V37" s="218" t="str">
        <f t="shared" si="9"/>
        <v>--</v>
      </c>
      <c r="W37" s="219" t="str">
        <f t="shared" si="10"/>
        <v>--</v>
      </c>
      <c r="X37" s="220" t="str">
        <f t="shared" si="11"/>
        <v>--</v>
      </c>
      <c r="Y37" s="702" t="str">
        <f t="shared" si="12"/>
        <v>--</v>
      </c>
      <c r="Z37" s="703" t="str">
        <f t="shared" si="13"/>
        <v>--</v>
      </c>
      <c r="AA37" s="704" t="str">
        <f t="shared" si="14"/>
        <v>--</v>
      </c>
      <c r="AB37" s="221" t="str">
        <f t="shared" si="15"/>
        <v>--</v>
      </c>
      <c r="AC37" s="222" t="str">
        <f t="shared" si="16"/>
        <v>--</v>
      </c>
      <c r="AD37" s="796" t="str">
        <f t="shared" si="18"/>
        <v/>
      </c>
      <c r="AE37" s="16" t="str">
        <f t="shared" si="17"/>
        <v/>
      </c>
      <c r="AF37" s="705"/>
    </row>
    <row r="38" spans="2:32" s="5" customFormat="1" ht="17.1" customHeight="1">
      <c r="B38" s="50"/>
      <c r="C38" s="270"/>
      <c r="D38" s="270"/>
      <c r="E38" s="270"/>
      <c r="F38" s="141"/>
      <c r="G38" s="143"/>
      <c r="H38" s="749"/>
      <c r="I38" s="143"/>
      <c r="J38" s="696">
        <f t="shared" si="0"/>
        <v>20</v>
      </c>
      <c r="K38" s="697">
        <f t="shared" si="1"/>
        <v>421.774</v>
      </c>
      <c r="L38" s="180"/>
      <c r="M38" s="181"/>
      <c r="N38" s="182" t="str">
        <f t="shared" si="2"/>
        <v/>
      </c>
      <c r="O38" s="183" t="str">
        <f t="shared" si="3"/>
        <v/>
      </c>
      <c r="P38" s="216"/>
      <c r="Q38" s="795" t="str">
        <f t="shared" si="4"/>
        <v/>
      </c>
      <c r="R38" s="217" t="str">
        <f t="shared" si="5"/>
        <v/>
      </c>
      <c r="S38" s="217" t="str">
        <f t="shared" si="6"/>
        <v/>
      </c>
      <c r="T38" s="700" t="str">
        <f t="shared" si="7"/>
        <v>--</v>
      </c>
      <c r="U38" s="701" t="str">
        <f t="shared" si="8"/>
        <v>--</v>
      </c>
      <c r="V38" s="218" t="str">
        <f t="shared" si="9"/>
        <v>--</v>
      </c>
      <c r="W38" s="219" t="str">
        <f t="shared" si="10"/>
        <v>--</v>
      </c>
      <c r="X38" s="220" t="str">
        <f t="shared" si="11"/>
        <v>--</v>
      </c>
      <c r="Y38" s="702" t="str">
        <f t="shared" si="12"/>
        <v>--</v>
      </c>
      <c r="Z38" s="703" t="str">
        <f t="shared" si="13"/>
        <v>--</v>
      </c>
      <c r="AA38" s="704" t="str">
        <f t="shared" si="14"/>
        <v>--</v>
      </c>
      <c r="AB38" s="221" t="str">
        <f t="shared" si="15"/>
        <v>--</v>
      </c>
      <c r="AC38" s="222" t="str">
        <f t="shared" si="16"/>
        <v>--</v>
      </c>
      <c r="AD38" s="796" t="str">
        <f t="shared" si="18"/>
        <v/>
      </c>
      <c r="AE38" s="16" t="str">
        <f t="shared" si="17"/>
        <v/>
      </c>
      <c r="AF38" s="705"/>
    </row>
    <row r="39" spans="2:32" s="5" customFormat="1" ht="17.1" customHeight="1">
      <c r="B39" s="50"/>
      <c r="C39" s="149"/>
      <c r="D39" s="149"/>
      <c r="E39" s="149"/>
      <c r="F39" s="141"/>
      <c r="G39" s="143"/>
      <c r="H39" s="749"/>
      <c r="I39" s="143"/>
      <c r="J39" s="696">
        <f t="shared" si="0"/>
        <v>20</v>
      </c>
      <c r="K39" s="697">
        <f t="shared" si="1"/>
        <v>421.774</v>
      </c>
      <c r="L39" s="180"/>
      <c r="M39" s="181"/>
      <c r="N39" s="182" t="str">
        <f t="shared" si="2"/>
        <v/>
      </c>
      <c r="O39" s="183" t="str">
        <f t="shared" si="3"/>
        <v/>
      </c>
      <c r="P39" s="216"/>
      <c r="Q39" s="795" t="str">
        <f t="shared" si="4"/>
        <v/>
      </c>
      <c r="R39" s="217" t="str">
        <f t="shared" si="5"/>
        <v/>
      </c>
      <c r="S39" s="217" t="str">
        <f t="shared" si="6"/>
        <v/>
      </c>
      <c r="T39" s="700" t="str">
        <f t="shared" si="7"/>
        <v>--</v>
      </c>
      <c r="U39" s="701" t="str">
        <f t="shared" si="8"/>
        <v>--</v>
      </c>
      <c r="V39" s="218" t="str">
        <f t="shared" si="9"/>
        <v>--</v>
      </c>
      <c r="W39" s="219" t="str">
        <f t="shared" si="10"/>
        <v>--</v>
      </c>
      <c r="X39" s="220" t="str">
        <f t="shared" si="11"/>
        <v>--</v>
      </c>
      <c r="Y39" s="702" t="str">
        <f t="shared" si="12"/>
        <v>--</v>
      </c>
      <c r="Z39" s="703" t="str">
        <f t="shared" si="13"/>
        <v>--</v>
      </c>
      <c r="AA39" s="704" t="str">
        <f t="shared" si="14"/>
        <v>--</v>
      </c>
      <c r="AB39" s="221" t="str">
        <f t="shared" si="15"/>
        <v>--</v>
      </c>
      <c r="AC39" s="222" t="str">
        <f t="shared" si="16"/>
        <v>--</v>
      </c>
      <c r="AD39" s="796" t="str">
        <f t="shared" si="18"/>
        <v/>
      </c>
      <c r="AE39" s="16" t="str">
        <f t="shared" si="17"/>
        <v/>
      </c>
      <c r="AF39" s="705"/>
    </row>
    <row r="40" spans="2:32" s="5" customFormat="1" ht="17.1" customHeight="1">
      <c r="B40" s="50"/>
      <c r="C40" s="270"/>
      <c r="D40" s="270"/>
      <c r="E40" s="270"/>
      <c r="F40" s="141"/>
      <c r="G40" s="143"/>
      <c r="H40" s="749"/>
      <c r="I40" s="143"/>
      <c r="J40" s="696">
        <f t="shared" si="0"/>
        <v>20</v>
      </c>
      <c r="K40" s="697">
        <f t="shared" si="1"/>
        <v>421.774</v>
      </c>
      <c r="L40" s="180"/>
      <c r="M40" s="181"/>
      <c r="N40" s="182" t="str">
        <f t="shared" si="2"/>
        <v/>
      </c>
      <c r="O40" s="183" t="str">
        <f t="shared" si="3"/>
        <v/>
      </c>
      <c r="P40" s="216"/>
      <c r="Q40" s="795" t="str">
        <f t="shared" si="4"/>
        <v/>
      </c>
      <c r="R40" s="217" t="str">
        <f t="shared" si="5"/>
        <v/>
      </c>
      <c r="S40" s="217" t="str">
        <f t="shared" si="6"/>
        <v/>
      </c>
      <c r="T40" s="700" t="str">
        <f t="shared" si="7"/>
        <v>--</v>
      </c>
      <c r="U40" s="701" t="str">
        <f t="shared" si="8"/>
        <v>--</v>
      </c>
      <c r="V40" s="218" t="str">
        <f t="shared" si="9"/>
        <v>--</v>
      </c>
      <c r="W40" s="219" t="str">
        <f t="shared" si="10"/>
        <v>--</v>
      </c>
      <c r="X40" s="220" t="str">
        <f t="shared" si="11"/>
        <v>--</v>
      </c>
      <c r="Y40" s="702" t="str">
        <f t="shared" si="12"/>
        <v>--</v>
      </c>
      <c r="Z40" s="703" t="str">
        <f t="shared" si="13"/>
        <v>--</v>
      </c>
      <c r="AA40" s="704" t="str">
        <f t="shared" si="14"/>
        <v>--</v>
      </c>
      <c r="AB40" s="221" t="str">
        <f t="shared" si="15"/>
        <v>--</v>
      </c>
      <c r="AC40" s="222" t="str">
        <f t="shared" si="16"/>
        <v>--</v>
      </c>
      <c r="AD40" s="796" t="str">
        <f t="shared" si="18"/>
        <v/>
      </c>
      <c r="AE40" s="16" t="str">
        <f t="shared" si="17"/>
        <v/>
      </c>
      <c r="AF40" s="705"/>
    </row>
    <row r="41" spans="2:32" s="5" customFormat="1" ht="17.1" customHeight="1" thickBot="1">
      <c r="B41" s="50"/>
      <c r="C41" s="794"/>
      <c r="D41" s="797"/>
      <c r="E41" s="149"/>
      <c r="F41" s="146"/>
      <c r="G41" s="224"/>
      <c r="H41" s="743"/>
      <c r="I41" s="225"/>
      <c r="J41" s="710"/>
      <c r="K41" s="711"/>
      <c r="L41" s="741"/>
      <c r="M41" s="741"/>
      <c r="N41" s="9"/>
      <c r="O41" s="9"/>
      <c r="P41" s="148"/>
      <c r="Q41" s="185"/>
      <c r="R41" s="148"/>
      <c r="S41" s="148"/>
      <c r="T41" s="712"/>
      <c r="U41" s="713"/>
      <c r="V41" s="226"/>
      <c r="W41" s="227"/>
      <c r="X41" s="228"/>
      <c r="Y41" s="714"/>
      <c r="Z41" s="715"/>
      <c r="AA41" s="716"/>
      <c r="AB41" s="229"/>
      <c r="AC41" s="230"/>
      <c r="AD41" s="717"/>
      <c r="AE41" s="231"/>
      <c r="AF41" s="705"/>
    </row>
    <row r="42" spans="2:32" s="5" customFormat="1" ht="17.1" customHeight="1" thickBot="1" thickTop="1">
      <c r="B42" s="50"/>
      <c r="C42" s="126" t="s">
        <v>25</v>
      </c>
      <c r="D42" s="2894" t="s">
        <v>371</v>
      </c>
      <c r="E42" s="126"/>
      <c r="F42" s="127"/>
      <c r="G42" s="232"/>
      <c r="H42" s="197"/>
      <c r="I42" s="233"/>
      <c r="J42" s="197"/>
      <c r="K42" s="186"/>
      <c r="L42" s="186"/>
      <c r="M42" s="186"/>
      <c r="N42" s="186"/>
      <c r="O42" s="186"/>
      <c r="P42" s="186"/>
      <c r="Q42" s="234"/>
      <c r="R42" s="186"/>
      <c r="S42" s="186"/>
      <c r="T42" s="718">
        <f aca="true" t="shared" si="19" ref="T42:AC42">SUM(T20:T41)</f>
        <v>2048.05122336</v>
      </c>
      <c r="U42" s="719">
        <f t="shared" si="19"/>
        <v>0</v>
      </c>
      <c r="V42" s="720">
        <f t="shared" si="19"/>
        <v>308813.56904000003</v>
      </c>
      <c r="W42" s="720">
        <f t="shared" si="19"/>
        <v>237829.77194720006</v>
      </c>
      <c r="X42" s="720">
        <f t="shared" si="19"/>
        <v>0</v>
      </c>
      <c r="Y42" s="721">
        <f t="shared" si="19"/>
        <v>0</v>
      </c>
      <c r="Z42" s="721">
        <f t="shared" si="19"/>
        <v>0</v>
      </c>
      <c r="AA42" s="721">
        <f t="shared" si="19"/>
        <v>0</v>
      </c>
      <c r="AB42" s="235">
        <f t="shared" si="19"/>
        <v>0</v>
      </c>
      <c r="AC42" s="236">
        <f t="shared" si="19"/>
        <v>0</v>
      </c>
      <c r="AD42" s="237"/>
      <c r="AE42" s="238">
        <f>ROUND(SUM(AE20:AE41),2)</f>
        <v>661728.32</v>
      </c>
      <c r="AF42" s="705"/>
    </row>
    <row r="43" spans="2:32" s="5" customFormat="1" ht="17.1" customHeight="1" thickBot="1" thickTop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6"/>
    </row>
    <row r="44" spans="2:32" ht="17.1" customHeight="1" thickTop="1">
      <c r="B44" s="1"/>
      <c r="C44" s="1"/>
      <c r="D44" s="1"/>
      <c r="AF44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87073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57150</xdr:colOff>
                    <xdr:row>40</xdr:row>
                    <xdr:rowOff>190500</xdr:rowOff>
                  </from>
                  <to>
                    <xdr:col>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pageSetUpPr fitToPage="1"/>
  </sheetPr>
  <dimension ref="A1:AF43"/>
  <sheetViews>
    <sheetView zoomScale="70" zoomScaleNormal="70" workbookViewId="0" topLeftCell="A1">
      <selection activeCell="E4" sqref="E4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71093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39"/>
    </row>
    <row r="2" spans="1:32" s="18" customFormat="1" ht="26.25">
      <c r="A2" s="91"/>
      <c r="B2" s="19" t="str">
        <f>+'TOT-0116'!B2</f>
        <v>ANEXO II al Memorándum D.T.E.E. N° 231 / 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23.25" customHeight="1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67" t="s">
        <v>69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6.5" customHeight="1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759" customFormat="1" ht="33" customHeight="1">
      <c r="B10" s="760"/>
      <c r="C10" s="758"/>
      <c r="D10" s="758"/>
      <c r="E10" s="758"/>
      <c r="F10" s="757" t="s">
        <v>12</v>
      </c>
      <c r="G10" s="758"/>
      <c r="H10" s="758"/>
      <c r="I10" s="758"/>
      <c r="K10" s="758"/>
      <c r="L10" s="758"/>
      <c r="M10" s="758"/>
      <c r="N10" s="758"/>
      <c r="O10" s="758"/>
      <c r="P10" s="758"/>
      <c r="Q10" s="758"/>
      <c r="R10" s="757"/>
      <c r="S10" s="757"/>
      <c r="T10" s="758"/>
      <c r="U10" s="758"/>
      <c r="V10" s="758"/>
      <c r="W10" s="758"/>
      <c r="X10" s="758"/>
      <c r="Y10" s="758"/>
      <c r="Z10" s="758"/>
      <c r="AA10" s="758"/>
      <c r="AB10" s="758"/>
      <c r="AC10" s="758"/>
      <c r="AD10" s="758"/>
      <c r="AE10" s="758"/>
      <c r="AF10" s="761"/>
    </row>
    <row r="11" spans="2:32" s="762" customFormat="1" ht="33" customHeight="1">
      <c r="B11" s="763"/>
      <c r="C11" s="764"/>
      <c r="D11" s="764"/>
      <c r="E11" s="764"/>
      <c r="F11" s="791" t="s">
        <v>461</v>
      </c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4"/>
      <c r="U11" s="764"/>
      <c r="V11" s="764"/>
      <c r="W11" s="764"/>
      <c r="X11" s="764"/>
      <c r="Y11" s="764"/>
      <c r="Z11" s="764"/>
      <c r="AA11" s="764"/>
      <c r="AB11" s="764"/>
      <c r="AC11" s="764"/>
      <c r="AD11" s="764"/>
      <c r="AE11" s="764"/>
      <c r="AF11" s="766"/>
    </row>
    <row r="12" spans="2:32" s="36" customFormat="1" ht="19.5">
      <c r="B12" s="37" t="str">
        <f>'TOT-0116'!B14</f>
        <v>Desde el 01 al 31 de enero de 2016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92"/>
      <c r="Q12" s="192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137"/>
    </row>
    <row r="13" spans="2:32" s="5" customFormat="1" ht="17.1" customHeight="1" thickBot="1">
      <c r="B13" s="50"/>
      <c r="C13" s="4"/>
      <c r="D13" s="4"/>
      <c r="E13" s="4"/>
      <c r="F13" s="4"/>
      <c r="G13" s="66"/>
      <c r="H13" s="66"/>
      <c r="I13" s="4"/>
      <c r="J13" s="4"/>
      <c r="K13" s="4"/>
      <c r="L13" s="193"/>
      <c r="M13" s="4"/>
      <c r="N13" s="4"/>
      <c r="O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5" customFormat="1" ht="17.1" customHeight="1" thickBot="1" thickTop="1">
      <c r="B14" s="50"/>
      <c r="C14" s="4"/>
      <c r="D14" s="4"/>
      <c r="E14" s="4"/>
      <c r="F14" s="82" t="s">
        <v>90</v>
      </c>
      <c r="G14" s="744">
        <v>506.119</v>
      </c>
      <c r="H14" s="19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7"/>
    </row>
    <row r="15" spans="2:32" s="5" customFormat="1" ht="17.1" customHeight="1" thickBot="1" thickTop="1">
      <c r="B15" s="50"/>
      <c r="C15" s="4"/>
      <c r="D15" s="4"/>
      <c r="E15" s="4"/>
      <c r="F15" s="82" t="s">
        <v>91</v>
      </c>
      <c r="G15" s="744" t="s">
        <v>357</v>
      </c>
      <c r="H15" s="194"/>
      <c r="I15" s="4"/>
      <c r="J15" s="4"/>
      <c r="K15" s="4"/>
      <c r="L15" s="195"/>
      <c r="M15" s="196"/>
      <c r="N15" s="4"/>
      <c r="O15" s="4"/>
      <c r="P15" s="4"/>
      <c r="Q15" s="4"/>
      <c r="R15" s="4"/>
      <c r="S15" s="4"/>
      <c r="T15" s="4"/>
      <c r="U15" s="4"/>
      <c r="V15" s="4"/>
      <c r="W15" s="4"/>
      <c r="X15" s="115"/>
      <c r="Y15" s="115"/>
      <c r="Z15" s="115"/>
      <c r="AA15" s="115"/>
      <c r="AB15" s="115"/>
      <c r="AC15" s="115"/>
      <c r="AD15" s="115"/>
      <c r="AF15" s="17"/>
    </row>
    <row r="16" spans="2:32" s="5" customFormat="1" ht="17.1" customHeight="1" thickBot="1" thickTop="1">
      <c r="B16" s="50"/>
      <c r="C16" s="836">
        <v>3</v>
      </c>
      <c r="D16" s="836">
        <v>4</v>
      </c>
      <c r="E16" s="836">
        <v>5</v>
      </c>
      <c r="F16" s="836">
        <v>6</v>
      </c>
      <c r="G16" s="836">
        <v>7</v>
      </c>
      <c r="H16" s="836">
        <v>8</v>
      </c>
      <c r="I16" s="836">
        <v>9</v>
      </c>
      <c r="J16" s="836">
        <v>10</v>
      </c>
      <c r="K16" s="836">
        <v>11</v>
      </c>
      <c r="L16" s="836">
        <v>12</v>
      </c>
      <c r="M16" s="836">
        <v>13</v>
      </c>
      <c r="N16" s="836">
        <v>14</v>
      </c>
      <c r="O16" s="836">
        <v>15</v>
      </c>
      <c r="P16" s="836">
        <v>16</v>
      </c>
      <c r="Q16" s="836">
        <v>17</v>
      </c>
      <c r="R16" s="836">
        <v>18</v>
      </c>
      <c r="S16" s="836">
        <v>19</v>
      </c>
      <c r="T16" s="836">
        <v>20</v>
      </c>
      <c r="U16" s="836">
        <v>21</v>
      </c>
      <c r="V16" s="836">
        <v>22</v>
      </c>
      <c r="W16" s="836">
        <v>23</v>
      </c>
      <c r="X16" s="836">
        <v>24</v>
      </c>
      <c r="Y16" s="836">
        <v>25</v>
      </c>
      <c r="Z16" s="836">
        <v>26</v>
      </c>
      <c r="AA16" s="836">
        <v>27</v>
      </c>
      <c r="AB16" s="836">
        <v>28</v>
      </c>
      <c r="AC16" s="836">
        <v>29</v>
      </c>
      <c r="AD16" s="836">
        <v>30</v>
      </c>
      <c r="AE16" s="836">
        <v>31</v>
      </c>
      <c r="AF16" s="17"/>
    </row>
    <row r="17" spans="2:32" s="5" customFormat="1" ht="33.95" customHeight="1" thickBot="1" thickTop="1">
      <c r="B17" s="50"/>
      <c r="C17" s="84" t="s">
        <v>13</v>
      </c>
      <c r="D17" s="84" t="s">
        <v>242</v>
      </c>
      <c r="E17" s="84" t="s">
        <v>243</v>
      </c>
      <c r="F17" s="85" t="s">
        <v>0</v>
      </c>
      <c r="G17" s="678" t="s">
        <v>14</v>
      </c>
      <c r="H17" s="86" t="s">
        <v>15</v>
      </c>
      <c r="I17" s="199" t="s">
        <v>71</v>
      </c>
      <c r="J17" s="679" t="s">
        <v>37</v>
      </c>
      <c r="K17" s="680" t="s">
        <v>16</v>
      </c>
      <c r="L17" s="85" t="s">
        <v>17</v>
      </c>
      <c r="M17" s="172" t="s">
        <v>18</v>
      </c>
      <c r="N17" s="88" t="s">
        <v>36</v>
      </c>
      <c r="O17" s="86" t="s">
        <v>31</v>
      </c>
      <c r="P17" s="88" t="s">
        <v>19</v>
      </c>
      <c r="Q17" s="86" t="s">
        <v>58</v>
      </c>
      <c r="R17" s="172" t="s">
        <v>59</v>
      </c>
      <c r="S17" s="85" t="s">
        <v>32</v>
      </c>
      <c r="T17" s="135" t="s">
        <v>20</v>
      </c>
      <c r="U17" s="681" t="s">
        <v>21</v>
      </c>
      <c r="V17" s="201" t="s">
        <v>60</v>
      </c>
      <c r="W17" s="202"/>
      <c r="X17" s="203"/>
      <c r="Y17" s="682" t="s">
        <v>147</v>
      </c>
      <c r="Z17" s="683"/>
      <c r="AA17" s="684"/>
      <c r="AB17" s="204" t="s">
        <v>22</v>
      </c>
      <c r="AC17" s="205" t="s">
        <v>73</v>
      </c>
      <c r="AD17" s="131" t="s">
        <v>74</v>
      </c>
      <c r="AE17" s="131" t="s">
        <v>24</v>
      </c>
      <c r="AF17" s="206"/>
    </row>
    <row r="18" spans="2:32" s="5" customFormat="1" ht="17.1" customHeight="1" thickTop="1">
      <c r="B18" s="50"/>
      <c r="C18" s="174"/>
      <c r="D18" s="174"/>
      <c r="E18" s="174"/>
      <c r="F18" s="727"/>
      <c r="G18" s="727"/>
      <c r="H18" s="745"/>
      <c r="I18" s="726"/>
      <c r="J18" s="728"/>
      <c r="K18" s="729"/>
      <c r="L18" s="740"/>
      <c r="M18" s="740"/>
      <c r="N18" s="726"/>
      <c r="O18" s="726"/>
      <c r="P18" s="726"/>
      <c r="Q18" s="726"/>
      <c r="R18" s="726"/>
      <c r="S18" s="726"/>
      <c r="T18" s="730"/>
      <c r="U18" s="731"/>
      <c r="V18" s="732"/>
      <c r="W18" s="733"/>
      <c r="X18" s="734"/>
      <c r="Y18" s="735"/>
      <c r="Z18" s="736"/>
      <c r="AA18" s="737"/>
      <c r="AB18" s="738"/>
      <c r="AC18" s="739"/>
      <c r="AD18" s="726"/>
      <c r="AE18" s="685"/>
      <c r="AF18" s="17"/>
    </row>
    <row r="19" spans="2:32" s="5" customFormat="1" ht="17.1" customHeight="1">
      <c r="B19" s="50"/>
      <c r="C19" s="10"/>
      <c r="D19" s="10"/>
      <c r="E19" s="10"/>
      <c r="F19" s="706"/>
      <c r="G19" s="707"/>
      <c r="H19" s="748"/>
      <c r="I19" s="707"/>
      <c r="J19" s="696">
        <f aca="true" t="shared" si="0" ref="J19:J39">IF(I19="A",200,IF(I19="B",60,20))</f>
        <v>20</v>
      </c>
      <c r="K19" s="697" t="e">
        <f aca="true" t="shared" si="1" ref="K19:K39">IF(G19=500,IF(H19&lt;100,100*$G$14/100,H19*$G$14/100),IF(H19&lt;100,100*$G$15/100,H19*$G$15/100))</f>
        <v>#VALUE!</v>
      </c>
      <c r="L19" s="698"/>
      <c r="M19" s="699"/>
      <c r="N19" s="182" t="str">
        <f aca="true" t="shared" si="2" ref="N19:N39">IF(F19="","",(M19-L19)*24)</f>
        <v/>
      </c>
      <c r="O19" s="183" t="str">
        <f aca="true" t="shared" si="3" ref="O19:O39">IF(F19="","",ROUND((M19-L19)*24*60,0))</f>
        <v/>
      </c>
      <c r="P19" s="216"/>
      <c r="Q19" s="795" t="str">
        <f aca="true" t="shared" si="4" ref="Q19:Q39">IF(F19="","","--")</f>
        <v/>
      </c>
      <c r="R19" s="217" t="str">
        <f>IF(F19="","","NO")</f>
        <v/>
      </c>
      <c r="S19" s="217" t="str">
        <f>IF(F19="","",IF(OR(P19="P",P19="RP"),"--","NO"))</f>
        <v/>
      </c>
      <c r="T19" s="799" t="str">
        <f>IF(P19="P",K19*J19*ROUND(O19/60,2)*0.01,"--")</f>
        <v>--</v>
      </c>
      <c r="U19" s="800" t="str">
        <f>IF(P19="RP",K19*J19*ROUND(O19/60,2)*0.01*Q19/100,"--")</f>
        <v>--</v>
      </c>
      <c r="V19" s="208" t="str">
        <f>IF(AND(P19="F",S19="NO"),K19*J19*IF(R19="SI",1.2,1),"--")</f>
        <v>--</v>
      </c>
      <c r="W19" s="209" t="str">
        <f>IF(AND(P19="F",O19&gt;=10),K19*J19*IF(R19="SI",1.2,1)*IF(O19&lt;=300,ROUND(O19/60,2),5),"--")</f>
        <v>--</v>
      </c>
      <c r="X19" s="210" t="str">
        <f>IF(AND(P19="F",O19&gt;300),(ROUND(O19/60,2)-5)*K19*J19*0.1*IF(R19="SI",1.2,1),"--")</f>
        <v>--</v>
      </c>
      <c r="Y19" s="801" t="str">
        <f>IF(AND(P19="R",S19="NO"),K19*J19*Q19/100*IF(R19="SI",1.2,1),"--")</f>
        <v>--</v>
      </c>
      <c r="Z19" s="802" t="str">
        <f>IF(AND(P19="R",O19&gt;=10),K19*J19*Q19/100*IF(R19="SI",1.2,1)*IF(O19&lt;=300,ROUND(O19/60,2),5),"--")</f>
        <v>--</v>
      </c>
      <c r="AA19" s="803" t="str">
        <f>IF(AND(P19="R",O19&gt;300),(ROUND(O19/60,2)-5)*K19*J19*0.1*Q19/100*IF(R19="SI",1.2,1),"--")</f>
        <v>--</v>
      </c>
      <c r="AB19" s="804" t="str">
        <f>IF(P19="RF",ROUND(O19/60,2)*K19*J19*0.1*IF(R19="SI",1.2,1),"--")</f>
        <v>--</v>
      </c>
      <c r="AC19" s="805" t="str">
        <f>IF(P19="RR",ROUND(O19/60,2)*K19*J19*0.1*Q19/100*IF(R19="SI",1.2,1),"--")</f>
        <v>--</v>
      </c>
      <c r="AD19" s="798" t="str">
        <f>IF(F19="","","SI")</f>
        <v/>
      </c>
      <c r="AE19" s="16" t="str">
        <f>IF(F19="","",SUM(T19:AC19)*IF(AD19="SI",1,2))</f>
        <v/>
      </c>
      <c r="AF19" s="17"/>
    </row>
    <row r="20" spans="2:32" s="5" customFormat="1" ht="17.1" customHeight="1">
      <c r="B20" s="50"/>
      <c r="C20" s="10">
        <v>28</v>
      </c>
      <c r="D20" s="10">
        <v>297385</v>
      </c>
      <c r="E20" s="10">
        <v>4444</v>
      </c>
      <c r="F20" s="706" t="s">
        <v>411</v>
      </c>
      <c r="G20" s="707">
        <v>500</v>
      </c>
      <c r="H20" s="748">
        <v>354</v>
      </c>
      <c r="I20" s="707" t="s">
        <v>306</v>
      </c>
      <c r="J20" s="696">
        <f t="shared" si="0"/>
        <v>200</v>
      </c>
      <c r="K20" s="697">
        <f t="shared" si="1"/>
        <v>1791.66126</v>
      </c>
      <c r="L20" s="698">
        <v>42384.07361111111</v>
      </c>
      <c r="M20" s="699">
        <v>42384.10833333333</v>
      </c>
      <c r="N20" s="182">
        <f t="shared" si="2"/>
        <v>0.8333333332557231</v>
      </c>
      <c r="O20" s="183">
        <f t="shared" si="3"/>
        <v>50</v>
      </c>
      <c r="P20" s="216" t="s">
        <v>308</v>
      </c>
      <c r="Q20" s="795" t="str">
        <f t="shared" si="4"/>
        <v>--</v>
      </c>
      <c r="R20" s="217" t="str">
        <f>IF(F20="","","NO")</f>
        <v>NO</v>
      </c>
      <c r="S20" s="217" t="str">
        <f>IF(F20="","",IF(OR(P20="P",P20="RP"),"--","NO"))</f>
        <v>NO</v>
      </c>
      <c r="T20" s="799" t="str">
        <f>IF(P20="P",K20*J20*ROUND(O20/60,2)*0.01,"--")</f>
        <v>--</v>
      </c>
      <c r="U20" s="800" t="str">
        <f>IF(P20="RP",K20*J20*ROUND(O20/60,2)*0.01*Q20/100,"--")</f>
        <v>--</v>
      </c>
      <c r="V20" s="208">
        <f>IF(AND(P20="F",S20="NO"),K20*J20*IF(R20="SI",1.2,1),"--")</f>
        <v>358332.25200000004</v>
      </c>
      <c r="W20" s="209">
        <f>IF(AND(P20="F",O20&gt;=10),K20*J20*IF(R20="SI",1.2,1)*IF(O20&lt;=300,ROUND(O20/60,2),5),"--")</f>
        <v>297415.76916</v>
      </c>
      <c r="X20" s="210" t="str">
        <f>IF(AND(P20="F",O20&gt;300),(ROUND(O20/60,2)-5)*K20*J20*0.1*IF(R20="SI",1.2,1),"--")</f>
        <v>--</v>
      </c>
      <c r="Y20" s="801" t="str">
        <f>IF(AND(P20="R",S20="NO"),K20*J20*Q20/100*IF(R20="SI",1.2,1),"--")</f>
        <v>--</v>
      </c>
      <c r="Z20" s="802" t="str">
        <f>IF(AND(P20="R",O20&gt;=10),K20*J20*Q20/100*IF(R20="SI",1.2,1)*IF(O20&lt;=300,ROUND(O20/60,2),5),"--")</f>
        <v>--</v>
      </c>
      <c r="AA20" s="803" t="str">
        <f>IF(AND(P20="R",O20&gt;300),(ROUND(O20/60,2)-5)*K20*J20*0.1*Q20/100*IF(R20="SI",1.2,1),"--")</f>
        <v>--</v>
      </c>
      <c r="AB20" s="804" t="str">
        <f>IF(P20="RF",ROUND(O20/60,2)*K20*J20*0.1*IF(R20="SI",1.2,1),"--")</f>
        <v>--</v>
      </c>
      <c r="AC20" s="805" t="str">
        <f>IF(P20="RR",ROUND(O20/60,2)*K20*J20*0.1*Q20/100*IF(R20="SI",1.2,1),"--")</f>
        <v>--</v>
      </c>
      <c r="AD20" s="796" t="str">
        <f>IF(F20="","","SI")</f>
        <v>SI</v>
      </c>
      <c r="AE20" s="16">
        <f>IF(F20="","",SUM(T20:AC20)*IF(AD20="SI",1,2))</f>
        <v>655748.02116</v>
      </c>
      <c r="AF20" s="705"/>
    </row>
    <row r="21" spans="2:32" s="5" customFormat="1" ht="17.1" customHeight="1">
      <c r="B21" s="50"/>
      <c r="C21" s="270">
        <v>29</v>
      </c>
      <c r="D21" s="270">
        <v>297807</v>
      </c>
      <c r="E21" s="270">
        <v>4444</v>
      </c>
      <c r="F21" s="706" t="s">
        <v>411</v>
      </c>
      <c r="G21" s="707">
        <v>500</v>
      </c>
      <c r="H21" s="748">
        <v>354</v>
      </c>
      <c r="I21" s="707" t="s">
        <v>306</v>
      </c>
      <c r="J21" s="696">
        <f t="shared" si="0"/>
        <v>200</v>
      </c>
      <c r="K21" s="697">
        <f t="shared" si="1"/>
        <v>1791.66126</v>
      </c>
      <c r="L21" s="698">
        <v>42392.32361111111</v>
      </c>
      <c r="M21" s="699">
        <v>42392.71875</v>
      </c>
      <c r="N21" s="182">
        <f t="shared" si="2"/>
        <v>9.483333333337214</v>
      </c>
      <c r="O21" s="183">
        <f t="shared" si="3"/>
        <v>569</v>
      </c>
      <c r="P21" s="216" t="s">
        <v>304</v>
      </c>
      <c r="Q21" s="795" t="str">
        <f t="shared" si="4"/>
        <v>--</v>
      </c>
      <c r="R21" s="217" t="str">
        <f>IF(F21="","","NO")</f>
        <v>NO</v>
      </c>
      <c r="S21" s="217" t="str">
        <f>IF(F21="","",IF(OR(P21="P",P21="RP"),"--","NO"))</f>
        <v>--</v>
      </c>
      <c r="T21" s="799">
        <f>IF(P21="P",K21*J21*ROUND(O21/60,2)*0.01,"--")</f>
        <v>33969.89748960001</v>
      </c>
      <c r="U21" s="800" t="str">
        <f>IF(P21="RP",K21*J21*ROUND(O21/60,2)*0.01*Q21/100,"--")</f>
        <v>--</v>
      </c>
      <c r="V21" s="208" t="str">
        <f>IF(AND(P21="F",S21="NO"),K21*J21*IF(R21="SI",1.2,1),"--")</f>
        <v>--</v>
      </c>
      <c r="W21" s="209" t="str">
        <f>IF(AND(P21="F",O21&gt;=10),K21*J21*IF(R21="SI",1.2,1)*IF(O21&lt;=300,ROUND(O21/60,2),5),"--")</f>
        <v>--</v>
      </c>
      <c r="X21" s="210" t="str">
        <f>IF(AND(P21="F",O21&gt;300),(ROUND(O21/60,2)-5)*K21*J21*0.1*IF(R21="SI",1.2,1),"--")</f>
        <v>--</v>
      </c>
      <c r="Y21" s="801" t="str">
        <f>IF(AND(P21="R",S21="NO"),K21*J21*Q21/100*IF(R21="SI",1.2,1),"--")</f>
        <v>--</v>
      </c>
      <c r="Z21" s="802" t="str">
        <f>IF(AND(P21="R",O21&gt;=10),K21*J21*Q21/100*IF(R21="SI",1.2,1)*IF(O21&lt;=300,ROUND(O21/60,2),5),"--")</f>
        <v>--</v>
      </c>
      <c r="AA21" s="803" t="str">
        <f>IF(AND(P21="R",O21&gt;300),(ROUND(O21/60,2)-5)*K21*J21*0.1*Q21/100*IF(R21="SI",1.2,1),"--")</f>
        <v>--</v>
      </c>
      <c r="AB21" s="804" t="str">
        <f>IF(P21="RF",ROUND(O21/60,2)*K21*J21*0.1*IF(R21="SI",1.2,1),"--")</f>
        <v>--</v>
      </c>
      <c r="AC21" s="805" t="str">
        <f>IF(P21="RR",ROUND(O21/60,2)*K21*J21*0.1*Q21/100*IF(R21="SI",1.2,1),"--")</f>
        <v>--</v>
      </c>
      <c r="AD21" s="796" t="str">
        <f>IF(F21="","","SI")</f>
        <v>SI</v>
      </c>
      <c r="AE21" s="16">
        <f>IF(F21="","",SUM(T21:AC21)*IF(AD21="SI",1,2))</f>
        <v>33969.89748960001</v>
      </c>
      <c r="AF21" s="705"/>
    </row>
    <row r="22" spans="2:32" s="5" customFormat="1" ht="17.1" customHeight="1">
      <c r="B22" s="50"/>
      <c r="C22" s="149"/>
      <c r="D22" s="149"/>
      <c r="E22" s="149"/>
      <c r="F22" s="706"/>
      <c r="G22" s="707"/>
      <c r="H22" s="748"/>
      <c r="I22" s="707"/>
      <c r="J22" s="696">
        <f t="shared" si="0"/>
        <v>20</v>
      </c>
      <c r="K22" s="697" t="e">
        <f t="shared" si="1"/>
        <v>#VALUE!</v>
      </c>
      <c r="L22" s="708"/>
      <c r="M22" s="709"/>
      <c r="N22" s="182" t="str">
        <f t="shared" si="2"/>
        <v/>
      </c>
      <c r="O22" s="183" t="str">
        <f t="shared" si="3"/>
        <v/>
      </c>
      <c r="P22" s="216"/>
      <c r="Q22" s="795" t="str">
        <f t="shared" si="4"/>
        <v/>
      </c>
      <c r="R22" s="217" t="str">
        <f>IF(F22="","","NO")</f>
        <v/>
      </c>
      <c r="S22" s="217" t="str">
        <f>IF(F22="","",IF(OR(P22="P",P22="RP"),"--","NO"))</f>
        <v/>
      </c>
      <c r="T22" s="799" t="str">
        <f>IF(P22="P",K22*J22*ROUND(O22/60,2)*0.01,"--")</f>
        <v>--</v>
      </c>
      <c r="U22" s="800" t="str">
        <f>IF(P22="RP",K22*J22*ROUND(O22/60,2)*0.01*Q22/100,"--")</f>
        <v>--</v>
      </c>
      <c r="V22" s="208" t="str">
        <f>IF(AND(P22="F",S22="NO"),K22*J22*IF(R22="SI",1.2,1),"--")</f>
        <v>--</v>
      </c>
      <c r="W22" s="209" t="str">
        <f>IF(AND(P22="F",O22&gt;=10),K22*J22*IF(R22="SI",1.2,1)*IF(O22&lt;=300,ROUND(O22/60,2),5),"--")</f>
        <v>--</v>
      </c>
      <c r="X22" s="210" t="str">
        <f>IF(AND(P22="F",O22&gt;300),(ROUND(O22/60,2)-5)*K22*J22*0.1*IF(R22="SI",1.2,1),"--")</f>
        <v>--</v>
      </c>
      <c r="Y22" s="801" t="str">
        <f>IF(AND(P22="R",S22="NO"),K22*J22*Q22/100*IF(R22="SI",1.2,1),"--")</f>
        <v>--</v>
      </c>
      <c r="Z22" s="802" t="str">
        <f>IF(AND(P22="R",O22&gt;=10),K22*J22*Q22/100*IF(R22="SI",1.2,1)*IF(O22&lt;=300,ROUND(O22/60,2),5),"--")</f>
        <v>--</v>
      </c>
      <c r="AA22" s="803" t="str">
        <f>IF(AND(P22="R",O22&gt;300),(ROUND(O22/60,2)-5)*K22*J22*0.1*Q22/100*IF(R22="SI",1.2,1),"--")</f>
        <v>--</v>
      </c>
      <c r="AB22" s="804" t="str">
        <f>IF(P22="RF",ROUND(O22/60,2)*K22*J22*0.1*IF(R22="SI",1.2,1),"--")</f>
        <v>--</v>
      </c>
      <c r="AC22" s="805" t="str">
        <f>IF(P22="RR",ROUND(O22/60,2)*K22*J22*0.1*Q22/100*IF(R22="SI",1.2,1),"--")</f>
        <v>--</v>
      </c>
      <c r="AD22" s="796" t="str">
        <f>IF(F22="","","SI")</f>
        <v/>
      </c>
      <c r="AE22" s="16" t="str">
        <f>IF(F22="","",SUM(T22:AC22)*IF(AD22="SI",1,2))</f>
        <v/>
      </c>
      <c r="AF22" s="705"/>
    </row>
    <row r="23" spans="2:32" s="5" customFormat="1" ht="17.1" customHeight="1">
      <c r="B23" s="50"/>
      <c r="C23" s="270"/>
      <c r="D23" s="270"/>
      <c r="E23" s="270"/>
      <c r="F23" s="706"/>
      <c r="G23" s="707"/>
      <c r="H23" s="748"/>
      <c r="I23" s="707"/>
      <c r="J23" s="696">
        <f t="shared" si="0"/>
        <v>20</v>
      </c>
      <c r="K23" s="697" t="e">
        <f t="shared" si="1"/>
        <v>#VALUE!</v>
      </c>
      <c r="L23" s="708"/>
      <c r="M23" s="709"/>
      <c r="N23" s="182" t="str">
        <f t="shared" si="2"/>
        <v/>
      </c>
      <c r="O23" s="183" t="str">
        <f t="shared" si="3"/>
        <v/>
      </c>
      <c r="P23" s="216"/>
      <c r="Q23" s="795" t="str">
        <f t="shared" si="4"/>
        <v/>
      </c>
      <c r="R23" s="217" t="str">
        <f aca="true" t="shared" si="5" ref="R23:R39">IF(F23="","","NO")</f>
        <v/>
      </c>
      <c r="S23" s="217" t="str">
        <f aca="true" t="shared" si="6" ref="S23:S39">IF(F23="","",IF(OR(P23="P",P23="RP"),"--","NO"))</f>
        <v/>
      </c>
      <c r="T23" s="799" t="str">
        <f aca="true" t="shared" si="7" ref="T23:T39">IF(P23="P",K23*J23*ROUND(O23/60,2)*0.01,"--")</f>
        <v>--</v>
      </c>
      <c r="U23" s="800" t="str">
        <f aca="true" t="shared" si="8" ref="U23:U39">IF(P23="RP",K23*J23*ROUND(O23/60,2)*0.01*Q23/100,"--")</f>
        <v>--</v>
      </c>
      <c r="V23" s="208" t="str">
        <f aca="true" t="shared" si="9" ref="V23:V39">IF(AND(P23="F",S23="NO"),K23*J23*IF(R23="SI",1.2,1),"--")</f>
        <v>--</v>
      </c>
      <c r="W23" s="209" t="str">
        <f aca="true" t="shared" si="10" ref="W23:W39">IF(AND(P23="F",O23&gt;=10),K23*J23*IF(R23="SI",1.2,1)*IF(O23&lt;=300,ROUND(O23/60,2),5),"--")</f>
        <v>--</v>
      </c>
      <c r="X23" s="210" t="str">
        <f aca="true" t="shared" si="11" ref="X23:X39">IF(AND(P23="F",O23&gt;300),(ROUND(O23/60,2)-5)*K23*J23*0.1*IF(R23="SI",1.2,1),"--")</f>
        <v>--</v>
      </c>
      <c r="Y23" s="801" t="str">
        <f aca="true" t="shared" si="12" ref="Y23:Y39">IF(AND(P23="R",S23="NO"),K23*J23*Q23/100*IF(R23="SI",1.2,1),"--")</f>
        <v>--</v>
      </c>
      <c r="Z23" s="802" t="str">
        <f aca="true" t="shared" si="13" ref="Z23:Z39">IF(AND(P23="R",O23&gt;=10),K23*J23*Q23/100*IF(R23="SI",1.2,1)*IF(O23&lt;=300,ROUND(O23/60,2),5),"--")</f>
        <v>--</v>
      </c>
      <c r="AA23" s="803" t="str">
        <f aca="true" t="shared" si="14" ref="AA23:AA39">IF(AND(P23="R",O23&gt;300),(ROUND(O23/60,2)-5)*K23*J23*0.1*Q23/100*IF(R23="SI",1.2,1),"--")</f>
        <v>--</v>
      </c>
      <c r="AB23" s="804" t="str">
        <f aca="true" t="shared" si="15" ref="AB23:AB39">IF(P23="RF",ROUND(O23/60,2)*K23*J23*0.1*IF(R23="SI",1.2,1),"--")</f>
        <v>--</v>
      </c>
      <c r="AC23" s="805" t="str">
        <f aca="true" t="shared" si="16" ref="AC23:AC39">IF(P23="RR",ROUND(O23/60,2)*K23*J23*0.1*Q23/100*IF(R23="SI",1.2,1),"--")</f>
        <v>--</v>
      </c>
      <c r="AD23" s="796" t="str">
        <f aca="true" t="shared" si="17" ref="AD23:AD39">IF(F23="","","SI")</f>
        <v/>
      </c>
      <c r="AE23" s="16" t="str">
        <f>IF(F23="","",SUM(T23:AC23)*IF(AD23="SI",1,2))</f>
        <v/>
      </c>
      <c r="AF23" s="705"/>
    </row>
    <row r="24" spans="2:32" s="5" customFormat="1" ht="17.1" customHeight="1">
      <c r="B24" s="50"/>
      <c r="C24" s="149"/>
      <c r="D24" s="149"/>
      <c r="E24" s="149"/>
      <c r="F24" s="149"/>
      <c r="G24" s="179"/>
      <c r="H24" s="747"/>
      <c r="I24" s="179"/>
      <c r="J24" s="696">
        <f t="shared" si="0"/>
        <v>20</v>
      </c>
      <c r="K24" s="697" t="e">
        <f t="shared" si="1"/>
        <v>#VALUE!</v>
      </c>
      <c r="L24" s="698"/>
      <c r="M24" s="699"/>
      <c r="N24" s="182" t="str">
        <f t="shared" si="2"/>
        <v/>
      </c>
      <c r="O24" s="183" t="str">
        <f t="shared" si="3"/>
        <v/>
      </c>
      <c r="P24" s="216"/>
      <c r="Q24" s="795" t="str">
        <f t="shared" si="4"/>
        <v/>
      </c>
      <c r="R24" s="217" t="str">
        <f t="shared" si="5"/>
        <v/>
      </c>
      <c r="S24" s="217" t="str">
        <f t="shared" si="6"/>
        <v/>
      </c>
      <c r="T24" s="799" t="str">
        <f t="shared" si="7"/>
        <v>--</v>
      </c>
      <c r="U24" s="800" t="str">
        <f t="shared" si="8"/>
        <v>--</v>
      </c>
      <c r="V24" s="208" t="str">
        <f t="shared" si="9"/>
        <v>--</v>
      </c>
      <c r="W24" s="209" t="str">
        <f t="shared" si="10"/>
        <v>--</v>
      </c>
      <c r="X24" s="210" t="str">
        <f t="shared" si="11"/>
        <v>--</v>
      </c>
      <c r="Y24" s="801" t="str">
        <f t="shared" si="12"/>
        <v>--</v>
      </c>
      <c r="Z24" s="802" t="str">
        <f t="shared" si="13"/>
        <v>--</v>
      </c>
      <c r="AA24" s="803" t="str">
        <f t="shared" si="14"/>
        <v>--</v>
      </c>
      <c r="AB24" s="804" t="str">
        <f t="shared" si="15"/>
        <v>--</v>
      </c>
      <c r="AC24" s="805" t="str">
        <f t="shared" si="16"/>
        <v>--</v>
      </c>
      <c r="AD24" s="796" t="str">
        <f t="shared" si="17"/>
        <v/>
      </c>
      <c r="AE24" s="16" t="str">
        <f aca="true" t="shared" si="18" ref="AE24:AE39">IF(F24="","",SUM(T24:AC24)*IF(AD24="SI",1,2))</f>
        <v/>
      </c>
      <c r="AF24" s="705"/>
    </row>
    <row r="25" spans="2:32" s="5" customFormat="1" ht="17.1" customHeight="1">
      <c r="B25" s="50"/>
      <c r="C25" s="270"/>
      <c r="D25" s="270"/>
      <c r="E25" s="270"/>
      <c r="F25" s="149"/>
      <c r="G25" s="179"/>
      <c r="H25" s="747"/>
      <c r="I25" s="179"/>
      <c r="J25" s="696">
        <f t="shared" si="0"/>
        <v>20</v>
      </c>
      <c r="K25" s="697" t="e">
        <f t="shared" si="1"/>
        <v>#VALUE!</v>
      </c>
      <c r="L25" s="698"/>
      <c r="M25" s="699"/>
      <c r="N25" s="182" t="str">
        <f t="shared" si="2"/>
        <v/>
      </c>
      <c r="O25" s="183" t="str">
        <f t="shared" si="3"/>
        <v/>
      </c>
      <c r="P25" s="216"/>
      <c r="Q25" s="795" t="str">
        <f t="shared" si="4"/>
        <v/>
      </c>
      <c r="R25" s="217" t="str">
        <f t="shared" si="5"/>
        <v/>
      </c>
      <c r="S25" s="217" t="str">
        <f t="shared" si="6"/>
        <v/>
      </c>
      <c r="T25" s="799" t="str">
        <f t="shared" si="7"/>
        <v>--</v>
      </c>
      <c r="U25" s="800" t="str">
        <f t="shared" si="8"/>
        <v>--</v>
      </c>
      <c r="V25" s="208" t="str">
        <f t="shared" si="9"/>
        <v>--</v>
      </c>
      <c r="W25" s="209" t="str">
        <f t="shared" si="10"/>
        <v>--</v>
      </c>
      <c r="X25" s="210" t="str">
        <f t="shared" si="11"/>
        <v>--</v>
      </c>
      <c r="Y25" s="801" t="str">
        <f t="shared" si="12"/>
        <v>--</v>
      </c>
      <c r="Z25" s="802" t="str">
        <f t="shared" si="13"/>
        <v>--</v>
      </c>
      <c r="AA25" s="803" t="str">
        <f t="shared" si="14"/>
        <v>--</v>
      </c>
      <c r="AB25" s="804" t="str">
        <f t="shared" si="15"/>
        <v>--</v>
      </c>
      <c r="AC25" s="805" t="str">
        <f t="shared" si="16"/>
        <v>--</v>
      </c>
      <c r="AD25" s="796" t="str">
        <f t="shared" si="17"/>
        <v/>
      </c>
      <c r="AE25" s="16" t="str">
        <f t="shared" si="18"/>
        <v/>
      </c>
      <c r="AF25" s="705"/>
    </row>
    <row r="26" spans="2:32" s="5" customFormat="1" ht="17.1" customHeight="1">
      <c r="B26" s="50"/>
      <c r="C26" s="149"/>
      <c r="D26" s="149"/>
      <c r="E26" s="149"/>
      <c r="F26" s="141"/>
      <c r="G26" s="143"/>
      <c r="H26" s="749"/>
      <c r="I26" s="143"/>
      <c r="J26" s="696">
        <f t="shared" si="0"/>
        <v>20</v>
      </c>
      <c r="K26" s="697" t="e">
        <f t="shared" si="1"/>
        <v>#VALUE!</v>
      </c>
      <c r="L26" s="180"/>
      <c r="M26" s="215"/>
      <c r="N26" s="182" t="str">
        <f t="shared" si="2"/>
        <v/>
      </c>
      <c r="O26" s="183" t="str">
        <f t="shared" si="3"/>
        <v/>
      </c>
      <c r="P26" s="216"/>
      <c r="Q26" s="795" t="str">
        <f t="shared" si="4"/>
        <v/>
      </c>
      <c r="R26" s="217" t="str">
        <f t="shared" si="5"/>
        <v/>
      </c>
      <c r="S26" s="217" t="str">
        <f t="shared" si="6"/>
        <v/>
      </c>
      <c r="T26" s="799" t="str">
        <f t="shared" si="7"/>
        <v>--</v>
      </c>
      <c r="U26" s="800" t="str">
        <f t="shared" si="8"/>
        <v>--</v>
      </c>
      <c r="V26" s="208" t="str">
        <f t="shared" si="9"/>
        <v>--</v>
      </c>
      <c r="W26" s="209" t="str">
        <f t="shared" si="10"/>
        <v>--</v>
      </c>
      <c r="X26" s="210" t="str">
        <f t="shared" si="11"/>
        <v>--</v>
      </c>
      <c r="Y26" s="801" t="str">
        <f t="shared" si="12"/>
        <v>--</v>
      </c>
      <c r="Z26" s="802" t="str">
        <f t="shared" si="13"/>
        <v>--</v>
      </c>
      <c r="AA26" s="803" t="str">
        <f t="shared" si="14"/>
        <v>--</v>
      </c>
      <c r="AB26" s="804" t="str">
        <f t="shared" si="15"/>
        <v>--</v>
      </c>
      <c r="AC26" s="805" t="str">
        <f t="shared" si="16"/>
        <v>--</v>
      </c>
      <c r="AD26" s="796" t="str">
        <f t="shared" si="17"/>
        <v/>
      </c>
      <c r="AE26" s="16" t="str">
        <f t="shared" si="18"/>
        <v/>
      </c>
      <c r="AF26" s="705"/>
    </row>
    <row r="27" spans="2:32" s="5" customFormat="1" ht="17.1" customHeight="1">
      <c r="B27" s="50"/>
      <c r="C27" s="270"/>
      <c r="D27" s="270"/>
      <c r="E27" s="270"/>
      <c r="F27" s="141"/>
      <c r="G27" s="143"/>
      <c r="H27" s="749"/>
      <c r="I27" s="143"/>
      <c r="J27" s="696">
        <f t="shared" si="0"/>
        <v>20</v>
      </c>
      <c r="K27" s="697" t="e">
        <f t="shared" si="1"/>
        <v>#VALUE!</v>
      </c>
      <c r="L27" s="180"/>
      <c r="M27" s="215"/>
      <c r="N27" s="182" t="str">
        <f t="shared" si="2"/>
        <v/>
      </c>
      <c r="O27" s="183" t="str">
        <f t="shared" si="3"/>
        <v/>
      </c>
      <c r="P27" s="216"/>
      <c r="Q27" s="795" t="str">
        <f t="shared" si="4"/>
        <v/>
      </c>
      <c r="R27" s="217" t="str">
        <f t="shared" si="5"/>
        <v/>
      </c>
      <c r="S27" s="217" t="str">
        <f t="shared" si="6"/>
        <v/>
      </c>
      <c r="T27" s="799" t="str">
        <f t="shared" si="7"/>
        <v>--</v>
      </c>
      <c r="U27" s="800" t="str">
        <f t="shared" si="8"/>
        <v>--</v>
      </c>
      <c r="V27" s="208" t="str">
        <f t="shared" si="9"/>
        <v>--</v>
      </c>
      <c r="W27" s="209" t="str">
        <f t="shared" si="10"/>
        <v>--</v>
      </c>
      <c r="X27" s="210" t="str">
        <f t="shared" si="11"/>
        <v>--</v>
      </c>
      <c r="Y27" s="801" t="str">
        <f t="shared" si="12"/>
        <v>--</v>
      </c>
      <c r="Z27" s="802" t="str">
        <f t="shared" si="13"/>
        <v>--</v>
      </c>
      <c r="AA27" s="803" t="str">
        <f t="shared" si="14"/>
        <v>--</v>
      </c>
      <c r="AB27" s="804" t="str">
        <f t="shared" si="15"/>
        <v>--</v>
      </c>
      <c r="AC27" s="805" t="str">
        <f t="shared" si="16"/>
        <v>--</v>
      </c>
      <c r="AD27" s="796" t="str">
        <f t="shared" si="17"/>
        <v/>
      </c>
      <c r="AE27" s="16" t="str">
        <f t="shared" si="18"/>
        <v/>
      </c>
      <c r="AF27" s="705"/>
    </row>
    <row r="28" spans="2:32" s="5" customFormat="1" ht="17.1" customHeight="1">
      <c r="B28" s="50"/>
      <c r="C28" s="149"/>
      <c r="D28" s="149"/>
      <c r="E28" s="149"/>
      <c r="F28" s="141"/>
      <c r="G28" s="143"/>
      <c r="H28" s="749"/>
      <c r="I28" s="143"/>
      <c r="J28" s="696">
        <f t="shared" si="0"/>
        <v>20</v>
      </c>
      <c r="K28" s="697" t="e">
        <f t="shared" si="1"/>
        <v>#VALUE!</v>
      </c>
      <c r="L28" s="180"/>
      <c r="M28" s="215"/>
      <c r="N28" s="182" t="str">
        <f t="shared" si="2"/>
        <v/>
      </c>
      <c r="O28" s="183" t="str">
        <f t="shared" si="3"/>
        <v/>
      </c>
      <c r="P28" s="216"/>
      <c r="Q28" s="795" t="str">
        <f t="shared" si="4"/>
        <v/>
      </c>
      <c r="R28" s="217" t="str">
        <f t="shared" si="5"/>
        <v/>
      </c>
      <c r="S28" s="217" t="str">
        <f t="shared" si="6"/>
        <v/>
      </c>
      <c r="T28" s="799" t="str">
        <f t="shared" si="7"/>
        <v>--</v>
      </c>
      <c r="U28" s="800" t="str">
        <f t="shared" si="8"/>
        <v>--</v>
      </c>
      <c r="V28" s="208" t="str">
        <f t="shared" si="9"/>
        <v>--</v>
      </c>
      <c r="W28" s="209" t="str">
        <f t="shared" si="10"/>
        <v>--</v>
      </c>
      <c r="X28" s="210" t="str">
        <f t="shared" si="11"/>
        <v>--</v>
      </c>
      <c r="Y28" s="801" t="str">
        <f t="shared" si="12"/>
        <v>--</v>
      </c>
      <c r="Z28" s="802" t="str">
        <f t="shared" si="13"/>
        <v>--</v>
      </c>
      <c r="AA28" s="803" t="str">
        <f t="shared" si="14"/>
        <v>--</v>
      </c>
      <c r="AB28" s="804" t="str">
        <f t="shared" si="15"/>
        <v>--</v>
      </c>
      <c r="AC28" s="805" t="str">
        <f t="shared" si="16"/>
        <v>--</v>
      </c>
      <c r="AD28" s="796" t="str">
        <f t="shared" si="17"/>
        <v/>
      </c>
      <c r="AE28" s="16" t="str">
        <f t="shared" si="18"/>
        <v/>
      </c>
      <c r="AF28" s="705"/>
    </row>
    <row r="29" spans="2:32" s="5" customFormat="1" ht="17.1" customHeight="1">
      <c r="B29" s="50"/>
      <c r="C29" s="270"/>
      <c r="D29" s="270"/>
      <c r="E29" s="270"/>
      <c r="F29" s="141"/>
      <c r="G29" s="143"/>
      <c r="H29" s="749"/>
      <c r="I29" s="143"/>
      <c r="J29" s="696">
        <f t="shared" si="0"/>
        <v>20</v>
      </c>
      <c r="K29" s="697" t="e">
        <f t="shared" si="1"/>
        <v>#VALUE!</v>
      </c>
      <c r="L29" s="180"/>
      <c r="M29" s="215"/>
      <c r="N29" s="182" t="str">
        <f t="shared" si="2"/>
        <v/>
      </c>
      <c r="O29" s="183" t="str">
        <f t="shared" si="3"/>
        <v/>
      </c>
      <c r="P29" s="216"/>
      <c r="Q29" s="795" t="str">
        <f t="shared" si="4"/>
        <v/>
      </c>
      <c r="R29" s="217" t="str">
        <f t="shared" si="5"/>
        <v/>
      </c>
      <c r="S29" s="217" t="str">
        <f t="shared" si="6"/>
        <v/>
      </c>
      <c r="T29" s="799" t="str">
        <f t="shared" si="7"/>
        <v>--</v>
      </c>
      <c r="U29" s="800" t="str">
        <f t="shared" si="8"/>
        <v>--</v>
      </c>
      <c r="V29" s="208" t="str">
        <f t="shared" si="9"/>
        <v>--</v>
      </c>
      <c r="W29" s="209" t="str">
        <f t="shared" si="10"/>
        <v>--</v>
      </c>
      <c r="X29" s="210" t="str">
        <f t="shared" si="11"/>
        <v>--</v>
      </c>
      <c r="Y29" s="801" t="str">
        <f t="shared" si="12"/>
        <v>--</v>
      </c>
      <c r="Z29" s="802" t="str">
        <f t="shared" si="13"/>
        <v>--</v>
      </c>
      <c r="AA29" s="803" t="str">
        <f t="shared" si="14"/>
        <v>--</v>
      </c>
      <c r="AB29" s="804" t="str">
        <f t="shared" si="15"/>
        <v>--</v>
      </c>
      <c r="AC29" s="805" t="str">
        <f t="shared" si="16"/>
        <v>--</v>
      </c>
      <c r="AD29" s="796" t="str">
        <f t="shared" si="17"/>
        <v/>
      </c>
      <c r="AE29" s="16" t="str">
        <f t="shared" si="18"/>
        <v/>
      </c>
      <c r="AF29" s="705"/>
    </row>
    <row r="30" spans="2:32" s="5" customFormat="1" ht="17.1" customHeight="1">
      <c r="B30" s="50"/>
      <c r="C30" s="149"/>
      <c r="D30" s="149"/>
      <c r="E30" s="149"/>
      <c r="F30" s="141"/>
      <c r="G30" s="143"/>
      <c r="H30" s="749"/>
      <c r="I30" s="143"/>
      <c r="J30" s="696">
        <f t="shared" si="0"/>
        <v>20</v>
      </c>
      <c r="K30" s="697" t="e">
        <f t="shared" si="1"/>
        <v>#VALUE!</v>
      </c>
      <c r="L30" s="180"/>
      <c r="M30" s="215"/>
      <c r="N30" s="182" t="str">
        <f t="shared" si="2"/>
        <v/>
      </c>
      <c r="O30" s="183" t="str">
        <f t="shared" si="3"/>
        <v/>
      </c>
      <c r="P30" s="216"/>
      <c r="Q30" s="795" t="str">
        <f t="shared" si="4"/>
        <v/>
      </c>
      <c r="R30" s="217" t="str">
        <f t="shared" si="5"/>
        <v/>
      </c>
      <c r="S30" s="217" t="str">
        <f t="shared" si="6"/>
        <v/>
      </c>
      <c r="T30" s="799" t="str">
        <f t="shared" si="7"/>
        <v>--</v>
      </c>
      <c r="U30" s="800" t="str">
        <f t="shared" si="8"/>
        <v>--</v>
      </c>
      <c r="V30" s="208" t="str">
        <f t="shared" si="9"/>
        <v>--</v>
      </c>
      <c r="W30" s="209" t="str">
        <f t="shared" si="10"/>
        <v>--</v>
      </c>
      <c r="X30" s="210" t="str">
        <f t="shared" si="11"/>
        <v>--</v>
      </c>
      <c r="Y30" s="801" t="str">
        <f t="shared" si="12"/>
        <v>--</v>
      </c>
      <c r="Z30" s="802" t="str">
        <f t="shared" si="13"/>
        <v>--</v>
      </c>
      <c r="AA30" s="803" t="str">
        <f t="shared" si="14"/>
        <v>--</v>
      </c>
      <c r="AB30" s="804" t="str">
        <f t="shared" si="15"/>
        <v>--</v>
      </c>
      <c r="AC30" s="805" t="str">
        <f t="shared" si="16"/>
        <v>--</v>
      </c>
      <c r="AD30" s="796" t="str">
        <f t="shared" si="17"/>
        <v/>
      </c>
      <c r="AE30" s="16" t="str">
        <f t="shared" si="18"/>
        <v/>
      </c>
      <c r="AF30" s="705"/>
    </row>
    <row r="31" spans="2:32" s="5" customFormat="1" ht="17.1" customHeight="1">
      <c r="B31" s="50"/>
      <c r="C31" s="270"/>
      <c r="D31" s="270"/>
      <c r="E31" s="270"/>
      <c r="F31" s="141"/>
      <c r="G31" s="143"/>
      <c r="H31" s="749"/>
      <c r="I31" s="143"/>
      <c r="J31" s="696">
        <f t="shared" si="0"/>
        <v>20</v>
      </c>
      <c r="K31" s="697" t="e">
        <f t="shared" si="1"/>
        <v>#VALUE!</v>
      </c>
      <c r="L31" s="180"/>
      <c r="M31" s="181"/>
      <c r="N31" s="182" t="str">
        <f t="shared" si="2"/>
        <v/>
      </c>
      <c r="O31" s="183" t="str">
        <f t="shared" si="3"/>
        <v/>
      </c>
      <c r="P31" s="216"/>
      <c r="Q31" s="795" t="str">
        <f t="shared" si="4"/>
        <v/>
      </c>
      <c r="R31" s="217" t="str">
        <f t="shared" si="5"/>
        <v/>
      </c>
      <c r="S31" s="217" t="str">
        <f t="shared" si="6"/>
        <v/>
      </c>
      <c r="T31" s="799" t="str">
        <f t="shared" si="7"/>
        <v>--</v>
      </c>
      <c r="U31" s="800" t="str">
        <f t="shared" si="8"/>
        <v>--</v>
      </c>
      <c r="V31" s="208" t="str">
        <f t="shared" si="9"/>
        <v>--</v>
      </c>
      <c r="W31" s="209" t="str">
        <f t="shared" si="10"/>
        <v>--</v>
      </c>
      <c r="X31" s="210" t="str">
        <f t="shared" si="11"/>
        <v>--</v>
      </c>
      <c r="Y31" s="801" t="str">
        <f t="shared" si="12"/>
        <v>--</v>
      </c>
      <c r="Z31" s="802" t="str">
        <f t="shared" si="13"/>
        <v>--</v>
      </c>
      <c r="AA31" s="803" t="str">
        <f t="shared" si="14"/>
        <v>--</v>
      </c>
      <c r="AB31" s="804" t="str">
        <f t="shared" si="15"/>
        <v>--</v>
      </c>
      <c r="AC31" s="805" t="str">
        <f t="shared" si="16"/>
        <v>--</v>
      </c>
      <c r="AD31" s="796" t="str">
        <f t="shared" si="17"/>
        <v/>
      </c>
      <c r="AE31" s="16" t="str">
        <f t="shared" si="18"/>
        <v/>
      </c>
      <c r="AF31" s="705"/>
    </row>
    <row r="32" spans="2:32" s="5" customFormat="1" ht="17.1" customHeight="1">
      <c r="B32" s="50"/>
      <c r="C32" s="149"/>
      <c r="D32" s="149"/>
      <c r="E32" s="149"/>
      <c r="F32" s="141"/>
      <c r="G32" s="143"/>
      <c r="H32" s="749"/>
      <c r="I32" s="143"/>
      <c r="J32" s="696">
        <f t="shared" si="0"/>
        <v>20</v>
      </c>
      <c r="K32" s="697" t="e">
        <f t="shared" si="1"/>
        <v>#VALUE!</v>
      </c>
      <c r="L32" s="180"/>
      <c r="M32" s="181"/>
      <c r="N32" s="182" t="str">
        <f t="shared" si="2"/>
        <v/>
      </c>
      <c r="O32" s="183" t="str">
        <f t="shared" si="3"/>
        <v/>
      </c>
      <c r="P32" s="216"/>
      <c r="Q32" s="795" t="str">
        <f t="shared" si="4"/>
        <v/>
      </c>
      <c r="R32" s="217" t="str">
        <f t="shared" si="5"/>
        <v/>
      </c>
      <c r="S32" s="217" t="str">
        <f t="shared" si="6"/>
        <v/>
      </c>
      <c r="T32" s="799" t="str">
        <f t="shared" si="7"/>
        <v>--</v>
      </c>
      <c r="U32" s="800" t="str">
        <f t="shared" si="8"/>
        <v>--</v>
      </c>
      <c r="V32" s="208" t="str">
        <f t="shared" si="9"/>
        <v>--</v>
      </c>
      <c r="W32" s="209" t="str">
        <f t="shared" si="10"/>
        <v>--</v>
      </c>
      <c r="X32" s="210" t="str">
        <f t="shared" si="11"/>
        <v>--</v>
      </c>
      <c r="Y32" s="801" t="str">
        <f t="shared" si="12"/>
        <v>--</v>
      </c>
      <c r="Z32" s="802" t="str">
        <f t="shared" si="13"/>
        <v>--</v>
      </c>
      <c r="AA32" s="803" t="str">
        <f t="shared" si="14"/>
        <v>--</v>
      </c>
      <c r="AB32" s="804" t="str">
        <f t="shared" si="15"/>
        <v>--</v>
      </c>
      <c r="AC32" s="805" t="str">
        <f t="shared" si="16"/>
        <v>--</v>
      </c>
      <c r="AD32" s="796" t="str">
        <f t="shared" si="17"/>
        <v/>
      </c>
      <c r="AE32" s="16" t="str">
        <f t="shared" si="18"/>
        <v/>
      </c>
      <c r="AF32" s="705"/>
    </row>
    <row r="33" spans="2:32" s="5" customFormat="1" ht="17.1" customHeight="1">
      <c r="B33" s="50"/>
      <c r="C33" s="270"/>
      <c r="D33" s="270"/>
      <c r="E33" s="270"/>
      <c r="F33" s="141"/>
      <c r="G33" s="143"/>
      <c r="H33" s="749"/>
      <c r="I33" s="143"/>
      <c r="J33" s="696">
        <f t="shared" si="0"/>
        <v>20</v>
      </c>
      <c r="K33" s="697" t="e">
        <f t="shared" si="1"/>
        <v>#VALUE!</v>
      </c>
      <c r="L33" s="180"/>
      <c r="M33" s="181"/>
      <c r="N33" s="182" t="str">
        <f t="shared" si="2"/>
        <v/>
      </c>
      <c r="O33" s="183" t="str">
        <f t="shared" si="3"/>
        <v/>
      </c>
      <c r="P33" s="216"/>
      <c r="Q33" s="795" t="str">
        <f t="shared" si="4"/>
        <v/>
      </c>
      <c r="R33" s="217" t="str">
        <f t="shared" si="5"/>
        <v/>
      </c>
      <c r="S33" s="217" t="str">
        <f t="shared" si="6"/>
        <v/>
      </c>
      <c r="T33" s="799" t="str">
        <f t="shared" si="7"/>
        <v>--</v>
      </c>
      <c r="U33" s="800" t="str">
        <f t="shared" si="8"/>
        <v>--</v>
      </c>
      <c r="V33" s="208" t="str">
        <f t="shared" si="9"/>
        <v>--</v>
      </c>
      <c r="W33" s="209" t="str">
        <f t="shared" si="10"/>
        <v>--</v>
      </c>
      <c r="X33" s="210" t="str">
        <f t="shared" si="11"/>
        <v>--</v>
      </c>
      <c r="Y33" s="801" t="str">
        <f t="shared" si="12"/>
        <v>--</v>
      </c>
      <c r="Z33" s="802" t="str">
        <f t="shared" si="13"/>
        <v>--</v>
      </c>
      <c r="AA33" s="803" t="str">
        <f t="shared" si="14"/>
        <v>--</v>
      </c>
      <c r="AB33" s="804" t="str">
        <f t="shared" si="15"/>
        <v>--</v>
      </c>
      <c r="AC33" s="805" t="str">
        <f t="shared" si="16"/>
        <v>--</v>
      </c>
      <c r="AD33" s="796" t="str">
        <f t="shared" si="17"/>
        <v/>
      </c>
      <c r="AE33" s="16" t="str">
        <f t="shared" si="18"/>
        <v/>
      </c>
      <c r="AF33" s="705"/>
    </row>
    <row r="34" spans="2:32" s="5" customFormat="1" ht="17.1" customHeight="1">
      <c r="B34" s="50"/>
      <c r="C34" s="149"/>
      <c r="D34" s="149"/>
      <c r="E34" s="149"/>
      <c r="F34" s="141"/>
      <c r="G34" s="143"/>
      <c r="H34" s="749"/>
      <c r="I34" s="143"/>
      <c r="J34" s="696">
        <f t="shared" si="0"/>
        <v>20</v>
      </c>
      <c r="K34" s="697" t="e">
        <f t="shared" si="1"/>
        <v>#VALUE!</v>
      </c>
      <c r="L34" s="180"/>
      <c r="M34" s="181"/>
      <c r="N34" s="182" t="str">
        <f t="shared" si="2"/>
        <v/>
      </c>
      <c r="O34" s="183" t="str">
        <f t="shared" si="3"/>
        <v/>
      </c>
      <c r="P34" s="216"/>
      <c r="Q34" s="795" t="str">
        <f t="shared" si="4"/>
        <v/>
      </c>
      <c r="R34" s="217" t="str">
        <f t="shared" si="5"/>
        <v/>
      </c>
      <c r="S34" s="217" t="str">
        <f t="shared" si="6"/>
        <v/>
      </c>
      <c r="T34" s="799" t="str">
        <f t="shared" si="7"/>
        <v>--</v>
      </c>
      <c r="U34" s="800" t="str">
        <f t="shared" si="8"/>
        <v>--</v>
      </c>
      <c r="V34" s="208" t="str">
        <f t="shared" si="9"/>
        <v>--</v>
      </c>
      <c r="W34" s="209" t="str">
        <f t="shared" si="10"/>
        <v>--</v>
      </c>
      <c r="X34" s="210" t="str">
        <f t="shared" si="11"/>
        <v>--</v>
      </c>
      <c r="Y34" s="801" t="str">
        <f t="shared" si="12"/>
        <v>--</v>
      </c>
      <c r="Z34" s="802" t="str">
        <f t="shared" si="13"/>
        <v>--</v>
      </c>
      <c r="AA34" s="803" t="str">
        <f t="shared" si="14"/>
        <v>--</v>
      </c>
      <c r="AB34" s="804" t="str">
        <f t="shared" si="15"/>
        <v>--</v>
      </c>
      <c r="AC34" s="805" t="str">
        <f t="shared" si="16"/>
        <v>--</v>
      </c>
      <c r="AD34" s="796" t="str">
        <f t="shared" si="17"/>
        <v/>
      </c>
      <c r="AE34" s="16" t="str">
        <f t="shared" si="18"/>
        <v/>
      </c>
      <c r="AF34" s="705"/>
    </row>
    <row r="35" spans="2:32" s="5" customFormat="1" ht="17.1" customHeight="1">
      <c r="B35" s="50"/>
      <c r="C35" s="270"/>
      <c r="D35" s="270"/>
      <c r="E35" s="270"/>
      <c r="F35" s="141"/>
      <c r="G35" s="143"/>
      <c r="H35" s="749"/>
      <c r="I35" s="143"/>
      <c r="J35" s="696">
        <f t="shared" si="0"/>
        <v>20</v>
      </c>
      <c r="K35" s="697" t="e">
        <f t="shared" si="1"/>
        <v>#VALUE!</v>
      </c>
      <c r="L35" s="180"/>
      <c r="M35" s="181"/>
      <c r="N35" s="182" t="str">
        <f t="shared" si="2"/>
        <v/>
      </c>
      <c r="O35" s="183" t="str">
        <f t="shared" si="3"/>
        <v/>
      </c>
      <c r="P35" s="216"/>
      <c r="Q35" s="795" t="str">
        <f t="shared" si="4"/>
        <v/>
      </c>
      <c r="R35" s="217" t="str">
        <f t="shared" si="5"/>
        <v/>
      </c>
      <c r="S35" s="217" t="str">
        <f t="shared" si="6"/>
        <v/>
      </c>
      <c r="T35" s="799" t="str">
        <f t="shared" si="7"/>
        <v>--</v>
      </c>
      <c r="U35" s="800" t="str">
        <f t="shared" si="8"/>
        <v>--</v>
      </c>
      <c r="V35" s="208" t="str">
        <f t="shared" si="9"/>
        <v>--</v>
      </c>
      <c r="W35" s="209" t="str">
        <f t="shared" si="10"/>
        <v>--</v>
      </c>
      <c r="X35" s="210" t="str">
        <f t="shared" si="11"/>
        <v>--</v>
      </c>
      <c r="Y35" s="801" t="str">
        <f t="shared" si="12"/>
        <v>--</v>
      </c>
      <c r="Z35" s="802" t="str">
        <f t="shared" si="13"/>
        <v>--</v>
      </c>
      <c r="AA35" s="803" t="str">
        <f t="shared" si="14"/>
        <v>--</v>
      </c>
      <c r="AB35" s="804" t="str">
        <f t="shared" si="15"/>
        <v>--</v>
      </c>
      <c r="AC35" s="805" t="str">
        <f t="shared" si="16"/>
        <v>--</v>
      </c>
      <c r="AD35" s="796" t="str">
        <f t="shared" si="17"/>
        <v/>
      </c>
      <c r="AE35" s="16" t="str">
        <f t="shared" si="18"/>
        <v/>
      </c>
      <c r="AF35" s="705"/>
    </row>
    <row r="36" spans="2:32" s="5" customFormat="1" ht="17.1" customHeight="1">
      <c r="B36" s="50"/>
      <c r="C36" s="149"/>
      <c r="D36" s="149"/>
      <c r="E36" s="149"/>
      <c r="F36" s="141"/>
      <c r="G36" s="143"/>
      <c r="H36" s="749"/>
      <c r="I36" s="143"/>
      <c r="J36" s="696">
        <f t="shared" si="0"/>
        <v>20</v>
      </c>
      <c r="K36" s="697" t="e">
        <f t="shared" si="1"/>
        <v>#VALUE!</v>
      </c>
      <c r="L36" s="180"/>
      <c r="M36" s="181"/>
      <c r="N36" s="182" t="str">
        <f t="shared" si="2"/>
        <v/>
      </c>
      <c r="O36" s="183" t="str">
        <f t="shared" si="3"/>
        <v/>
      </c>
      <c r="P36" s="216"/>
      <c r="Q36" s="795" t="str">
        <f t="shared" si="4"/>
        <v/>
      </c>
      <c r="R36" s="217" t="str">
        <f t="shared" si="5"/>
        <v/>
      </c>
      <c r="S36" s="217" t="str">
        <f t="shared" si="6"/>
        <v/>
      </c>
      <c r="T36" s="799" t="str">
        <f t="shared" si="7"/>
        <v>--</v>
      </c>
      <c r="U36" s="800" t="str">
        <f t="shared" si="8"/>
        <v>--</v>
      </c>
      <c r="V36" s="208" t="str">
        <f t="shared" si="9"/>
        <v>--</v>
      </c>
      <c r="W36" s="209" t="str">
        <f t="shared" si="10"/>
        <v>--</v>
      </c>
      <c r="X36" s="210" t="str">
        <f t="shared" si="11"/>
        <v>--</v>
      </c>
      <c r="Y36" s="801" t="str">
        <f t="shared" si="12"/>
        <v>--</v>
      </c>
      <c r="Z36" s="802" t="str">
        <f t="shared" si="13"/>
        <v>--</v>
      </c>
      <c r="AA36" s="803" t="str">
        <f t="shared" si="14"/>
        <v>--</v>
      </c>
      <c r="AB36" s="804" t="str">
        <f t="shared" si="15"/>
        <v>--</v>
      </c>
      <c r="AC36" s="805" t="str">
        <f t="shared" si="16"/>
        <v>--</v>
      </c>
      <c r="AD36" s="796" t="str">
        <f t="shared" si="17"/>
        <v/>
      </c>
      <c r="AE36" s="16" t="str">
        <f t="shared" si="18"/>
        <v/>
      </c>
      <c r="AF36" s="705"/>
    </row>
    <row r="37" spans="2:32" s="5" customFormat="1" ht="17.1" customHeight="1">
      <c r="B37" s="50"/>
      <c r="C37" s="270"/>
      <c r="D37" s="270"/>
      <c r="E37" s="270"/>
      <c r="F37" s="141"/>
      <c r="G37" s="143"/>
      <c r="H37" s="749"/>
      <c r="I37" s="143"/>
      <c r="J37" s="696">
        <f t="shared" si="0"/>
        <v>20</v>
      </c>
      <c r="K37" s="697" t="e">
        <f t="shared" si="1"/>
        <v>#VALUE!</v>
      </c>
      <c r="L37" s="180"/>
      <c r="M37" s="181"/>
      <c r="N37" s="182" t="str">
        <f t="shared" si="2"/>
        <v/>
      </c>
      <c r="O37" s="183" t="str">
        <f t="shared" si="3"/>
        <v/>
      </c>
      <c r="P37" s="216"/>
      <c r="Q37" s="795" t="str">
        <f t="shared" si="4"/>
        <v/>
      </c>
      <c r="R37" s="217" t="str">
        <f t="shared" si="5"/>
        <v/>
      </c>
      <c r="S37" s="217" t="str">
        <f t="shared" si="6"/>
        <v/>
      </c>
      <c r="T37" s="799" t="str">
        <f t="shared" si="7"/>
        <v>--</v>
      </c>
      <c r="U37" s="800" t="str">
        <f t="shared" si="8"/>
        <v>--</v>
      </c>
      <c r="V37" s="208" t="str">
        <f t="shared" si="9"/>
        <v>--</v>
      </c>
      <c r="W37" s="209" t="str">
        <f t="shared" si="10"/>
        <v>--</v>
      </c>
      <c r="X37" s="210" t="str">
        <f t="shared" si="11"/>
        <v>--</v>
      </c>
      <c r="Y37" s="801" t="str">
        <f t="shared" si="12"/>
        <v>--</v>
      </c>
      <c r="Z37" s="802" t="str">
        <f t="shared" si="13"/>
        <v>--</v>
      </c>
      <c r="AA37" s="803" t="str">
        <f t="shared" si="14"/>
        <v>--</v>
      </c>
      <c r="AB37" s="804" t="str">
        <f t="shared" si="15"/>
        <v>--</v>
      </c>
      <c r="AC37" s="805" t="str">
        <f t="shared" si="16"/>
        <v>--</v>
      </c>
      <c r="AD37" s="796" t="str">
        <f t="shared" si="17"/>
        <v/>
      </c>
      <c r="AE37" s="16" t="str">
        <f t="shared" si="18"/>
        <v/>
      </c>
      <c r="AF37" s="705"/>
    </row>
    <row r="38" spans="2:32" s="5" customFormat="1" ht="17.1" customHeight="1">
      <c r="B38" s="50"/>
      <c r="C38" s="149"/>
      <c r="D38" s="149"/>
      <c r="E38" s="149"/>
      <c r="F38" s="141"/>
      <c r="G38" s="143"/>
      <c r="H38" s="749"/>
      <c r="I38" s="143"/>
      <c r="J38" s="696">
        <f t="shared" si="0"/>
        <v>20</v>
      </c>
      <c r="K38" s="697" t="e">
        <f t="shared" si="1"/>
        <v>#VALUE!</v>
      </c>
      <c r="L38" s="180"/>
      <c r="M38" s="181"/>
      <c r="N38" s="182" t="str">
        <f t="shared" si="2"/>
        <v/>
      </c>
      <c r="O38" s="183" t="str">
        <f t="shared" si="3"/>
        <v/>
      </c>
      <c r="P38" s="216"/>
      <c r="Q38" s="795" t="str">
        <f t="shared" si="4"/>
        <v/>
      </c>
      <c r="R38" s="217" t="str">
        <f t="shared" si="5"/>
        <v/>
      </c>
      <c r="S38" s="217" t="str">
        <f t="shared" si="6"/>
        <v/>
      </c>
      <c r="T38" s="799" t="str">
        <f t="shared" si="7"/>
        <v>--</v>
      </c>
      <c r="U38" s="800" t="str">
        <f t="shared" si="8"/>
        <v>--</v>
      </c>
      <c r="V38" s="208" t="str">
        <f t="shared" si="9"/>
        <v>--</v>
      </c>
      <c r="W38" s="209" t="str">
        <f t="shared" si="10"/>
        <v>--</v>
      </c>
      <c r="X38" s="210" t="str">
        <f t="shared" si="11"/>
        <v>--</v>
      </c>
      <c r="Y38" s="801" t="str">
        <f t="shared" si="12"/>
        <v>--</v>
      </c>
      <c r="Z38" s="802" t="str">
        <f t="shared" si="13"/>
        <v>--</v>
      </c>
      <c r="AA38" s="803" t="str">
        <f t="shared" si="14"/>
        <v>--</v>
      </c>
      <c r="AB38" s="804" t="str">
        <f t="shared" si="15"/>
        <v>--</v>
      </c>
      <c r="AC38" s="805" t="str">
        <f t="shared" si="16"/>
        <v>--</v>
      </c>
      <c r="AD38" s="796" t="str">
        <f t="shared" si="17"/>
        <v/>
      </c>
      <c r="AE38" s="16" t="str">
        <f t="shared" si="18"/>
        <v/>
      </c>
      <c r="AF38" s="705"/>
    </row>
    <row r="39" spans="2:32" s="5" customFormat="1" ht="17.1" customHeight="1">
      <c r="B39" s="50"/>
      <c r="C39" s="270"/>
      <c r="D39" s="270"/>
      <c r="E39" s="270"/>
      <c r="F39" s="141"/>
      <c r="G39" s="143"/>
      <c r="H39" s="749"/>
      <c r="I39" s="143"/>
      <c r="J39" s="696">
        <f t="shared" si="0"/>
        <v>20</v>
      </c>
      <c r="K39" s="697" t="e">
        <f t="shared" si="1"/>
        <v>#VALUE!</v>
      </c>
      <c r="L39" s="180"/>
      <c r="M39" s="181"/>
      <c r="N39" s="182" t="str">
        <f t="shared" si="2"/>
        <v/>
      </c>
      <c r="O39" s="183" t="str">
        <f t="shared" si="3"/>
        <v/>
      </c>
      <c r="P39" s="216"/>
      <c r="Q39" s="795" t="str">
        <f t="shared" si="4"/>
        <v/>
      </c>
      <c r="R39" s="217" t="str">
        <f t="shared" si="5"/>
        <v/>
      </c>
      <c r="S39" s="217" t="str">
        <f t="shared" si="6"/>
        <v/>
      </c>
      <c r="T39" s="799" t="str">
        <f t="shared" si="7"/>
        <v>--</v>
      </c>
      <c r="U39" s="800" t="str">
        <f t="shared" si="8"/>
        <v>--</v>
      </c>
      <c r="V39" s="208" t="str">
        <f t="shared" si="9"/>
        <v>--</v>
      </c>
      <c r="W39" s="209" t="str">
        <f t="shared" si="10"/>
        <v>--</v>
      </c>
      <c r="X39" s="210" t="str">
        <f t="shared" si="11"/>
        <v>--</v>
      </c>
      <c r="Y39" s="801" t="str">
        <f t="shared" si="12"/>
        <v>--</v>
      </c>
      <c r="Z39" s="802" t="str">
        <f t="shared" si="13"/>
        <v>--</v>
      </c>
      <c r="AA39" s="803" t="str">
        <f t="shared" si="14"/>
        <v>--</v>
      </c>
      <c r="AB39" s="804" t="str">
        <f t="shared" si="15"/>
        <v>--</v>
      </c>
      <c r="AC39" s="805" t="str">
        <f t="shared" si="16"/>
        <v>--</v>
      </c>
      <c r="AD39" s="796" t="str">
        <f t="shared" si="17"/>
        <v/>
      </c>
      <c r="AE39" s="16" t="str">
        <f t="shared" si="18"/>
        <v/>
      </c>
      <c r="AF39" s="705"/>
    </row>
    <row r="40" spans="2:32" s="5" customFormat="1" ht="17.1" customHeight="1" thickBot="1">
      <c r="B40" s="50"/>
      <c r="C40" s="149"/>
      <c r="D40" s="794"/>
      <c r="E40" s="149"/>
      <c r="F40" s="146"/>
      <c r="G40" s="224"/>
      <c r="H40" s="743"/>
      <c r="I40" s="225"/>
      <c r="J40" s="710"/>
      <c r="K40" s="711"/>
      <c r="L40" s="741"/>
      <c r="M40" s="741"/>
      <c r="N40" s="9"/>
      <c r="O40" s="9"/>
      <c r="P40" s="148"/>
      <c r="Q40" s="185"/>
      <c r="R40" s="148"/>
      <c r="S40" s="148"/>
      <c r="T40" s="712"/>
      <c r="U40" s="713"/>
      <c r="V40" s="226"/>
      <c r="W40" s="227"/>
      <c r="X40" s="228"/>
      <c r="Y40" s="714"/>
      <c r="Z40" s="715"/>
      <c r="AA40" s="716"/>
      <c r="AB40" s="229"/>
      <c r="AC40" s="230"/>
      <c r="AD40" s="717"/>
      <c r="AE40" s="231"/>
      <c r="AF40" s="705"/>
    </row>
    <row r="41" spans="2:32" s="5" customFormat="1" ht="17.1" customHeight="1" thickBot="1" thickTop="1">
      <c r="B41" s="50"/>
      <c r="C41" s="126" t="s">
        <v>25</v>
      </c>
      <c r="D41" s="73" t="s">
        <v>371</v>
      </c>
      <c r="E41" s="126"/>
      <c r="F41" s="127"/>
      <c r="G41" s="232"/>
      <c r="H41" s="197"/>
      <c r="I41" s="233"/>
      <c r="J41" s="197"/>
      <c r="K41" s="186"/>
      <c r="L41" s="186"/>
      <c r="M41" s="186"/>
      <c r="N41" s="186"/>
      <c r="O41" s="186"/>
      <c r="P41" s="186"/>
      <c r="Q41" s="234"/>
      <c r="R41" s="186"/>
      <c r="S41" s="186"/>
      <c r="T41" s="718">
        <f aca="true" t="shared" si="19" ref="T41:AC41">SUM(T18:T40)</f>
        <v>33969.89748960001</v>
      </c>
      <c r="U41" s="719">
        <f t="shared" si="19"/>
        <v>0</v>
      </c>
      <c r="V41" s="720">
        <f t="shared" si="19"/>
        <v>358332.25200000004</v>
      </c>
      <c r="W41" s="720">
        <f t="shared" si="19"/>
        <v>297415.76916</v>
      </c>
      <c r="X41" s="720">
        <f t="shared" si="19"/>
        <v>0</v>
      </c>
      <c r="Y41" s="721">
        <f t="shared" si="19"/>
        <v>0</v>
      </c>
      <c r="Z41" s="721">
        <f t="shared" si="19"/>
        <v>0</v>
      </c>
      <c r="AA41" s="721">
        <f t="shared" si="19"/>
        <v>0</v>
      </c>
      <c r="AB41" s="235">
        <f t="shared" si="19"/>
        <v>0</v>
      </c>
      <c r="AC41" s="236">
        <f t="shared" si="19"/>
        <v>0</v>
      </c>
      <c r="AD41" s="237"/>
      <c r="AE41" s="238">
        <f>ROUND(SUM(AE18:AE40),2)</f>
        <v>689717.92</v>
      </c>
      <c r="AF41" s="705"/>
    </row>
    <row r="42" spans="2:32" s="5" customFormat="1" ht="17.1" customHeight="1" thickBot="1" thickTop="1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6"/>
    </row>
    <row r="43" spans="2:32" ht="17.1" customHeight="1" thickTop="1">
      <c r="B43" s="1"/>
      <c r="C43" s="1"/>
      <c r="D43" s="1"/>
      <c r="AF43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91169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57150</xdr:colOff>
                    <xdr:row>40</xdr:row>
                    <xdr:rowOff>19050</xdr:rowOff>
                  </from>
                  <to>
                    <xdr:col>2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A1:AF43"/>
  <sheetViews>
    <sheetView zoomScale="70" zoomScaleNormal="70" workbookViewId="0" topLeftCell="A1">
      <selection activeCell="E4" sqref="E4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71093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39"/>
    </row>
    <row r="2" spans="1:32" s="18" customFormat="1" ht="26.25">
      <c r="A2" s="91"/>
      <c r="B2" s="19" t="str">
        <f>+'TOT-0116'!B2</f>
        <v>ANEXO II al Memorándum D.T.E.E. N° 231 / 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23.25" customHeight="1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67" t="s">
        <v>69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6.5" customHeight="1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759" customFormat="1" ht="33" customHeight="1">
      <c r="B10" s="760"/>
      <c r="C10" s="758"/>
      <c r="D10" s="758"/>
      <c r="E10" s="758"/>
      <c r="F10" s="757" t="s">
        <v>12</v>
      </c>
      <c r="G10" s="758"/>
      <c r="H10" s="758"/>
      <c r="I10" s="758"/>
      <c r="K10" s="758"/>
      <c r="L10" s="758"/>
      <c r="M10" s="758"/>
      <c r="N10" s="758"/>
      <c r="O10" s="758"/>
      <c r="P10" s="758"/>
      <c r="Q10" s="758"/>
      <c r="R10" s="757"/>
      <c r="S10" s="757"/>
      <c r="T10" s="758"/>
      <c r="U10" s="758"/>
      <c r="V10" s="758"/>
      <c r="W10" s="758"/>
      <c r="X10" s="758"/>
      <c r="Y10" s="758"/>
      <c r="Z10" s="758"/>
      <c r="AA10" s="758"/>
      <c r="AB10" s="758"/>
      <c r="AC10" s="758"/>
      <c r="AD10" s="758"/>
      <c r="AE10" s="758"/>
      <c r="AF10" s="761"/>
    </row>
    <row r="11" spans="2:32" s="762" customFormat="1" ht="33" customHeight="1">
      <c r="B11" s="763"/>
      <c r="C11" s="764"/>
      <c r="D11" s="764"/>
      <c r="E11" s="764"/>
      <c r="F11" s="791" t="s">
        <v>462</v>
      </c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4"/>
      <c r="U11" s="764"/>
      <c r="V11" s="764"/>
      <c r="W11" s="764"/>
      <c r="X11" s="764"/>
      <c r="Y11" s="764"/>
      <c r="Z11" s="764"/>
      <c r="AA11" s="764"/>
      <c r="AB11" s="764"/>
      <c r="AC11" s="764"/>
      <c r="AD11" s="764"/>
      <c r="AE11" s="764"/>
      <c r="AF11" s="766"/>
    </row>
    <row r="12" spans="2:32" s="36" customFormat="1" ht="19.5">
      <c r="B12" s="37" t="str">
        <f>'TOT-0116'!B14</f>
        <v>Desde el 01 al 31 de enero de 2016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92"/>
      <c r="Q12" s="192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137"/>
    </row>
    <row r="13" spans="2:32" s="5" customFormat="1" ht="17.1" customHeight="1" thickBot="1">
      <c r="B13" s="50"/>
      <c r="C13" s="4"/>
      <c r="D13" s="4"/>
      <c r="E13" s="4"/>
      <c r="F13" s="4"/>
      <c r="G13" s="66"/>
      <c r="H13" s="66"/>
      <c r="I13" s="4"/>
      <c r="J13" s="4"/>
      <c r="K13" s="4"/>
      <c r="L13" s="193"/>
      <c r="M13" s="4"/>
      <c r="N13" s="4"/>
      <c r="O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5" customFormat="1" ht="17.1" customHeight="1" thickBot="1" thickTop="1">
      <c r="B14" s="50"/>
      <c r="C14" s="4"/>
      <c r="D14" s="4"/>
      <c r="E14" s="4"/>
      <c r="F14" s="82" t="s">
        <v>90</v>
      </c>
      <c r="G14" s="744">
        <v>506.119</v>
      </c>
      <c r="H14" s="19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7"/>
    </row>
    <row r="15" spans="2:32" s="5" customFormat="1" ht="17.1" customHeight="1" thickBot="1" thickTop="1">
      <c r="B15" s="50"/>
      <c r="C15" s="4"/>
      <c r="D15" s="4"/>
      <c r="E15" s="4"/>
      <c r="F15" s="82" t="s">
        <v>91</v>
      </c>
      <c r="G15" s="744" t="s">
        <v>357</v>
      </c>
      <c r="H15" s="194"/>
      <c r="I15" s="4"/>
      <c r="J15" s="4"/>
      <c r="K15" s="4"/>
      <c r="L15" s="195"/>
      <c r="M15" s="196"/>
      <c r="N15" s="4"/>
      <c r="O15" s="4"/>
      <c r="P15" s="4"/>
      <c r="Q15" s="4"/>
      <c r="R15" s="4"/>
      <c r="S15" s="4"/>
      <c r="T15" s="4"/>
      <c r="U15" s="4"/>
      <c r="V15" s="4"/>
      <c r="W15" s="4"/>
      <c r="X15" s="115"/>
      <c r="Y15" s="115"/>
      <c r="Z15" s="115"/>
      <c r="AA15" s="115"/>
      <c r="AB15" s="115"/>
      <c r="AC15" s="115"/>
      <c r="AD15" s="115"/>
      <c r="AF15" s="17"/>
    </row>
    <row r="16" spans="2:32" s="5" customFormat="1" ht="17.1" customHeight="1" thickBot="1" thickTop="1">
      <c r="B16" s="50"/>
      <c r="C16" s="836">
        <v>3</v>
      </c>
      <c r="D16" s="836">
        <v>4</v>
      </c>
      <c r="E16" s="836">
        <v>5</v>
      </c>
      <c r="F16" s="836">
        <v>6</v>
      </c>
      <c r="G16" s="836">
        <v>7</v>
      </c>
      <c r="H16" s="836">
        <v>8</v>
      </c>
      <c r="I16" s="836">
        <v>9</v>
      </c>
      <c r="J16" s="836">
        <v>10</v>
      </c>
      <c r="K16" s="836">
        <v>11</v>
      </c>
      <c r="L16" s="836">
        <v>12</v>
      </c>
      <c r="M16" s="836">
        <v>13</v>
      </c>
      <c r="N16" s="836">
        <v>14</v>
      </c>
      <c r="O16" s="836">
        <v>15</v>
      </c>
      <c r="P16" s="836">
        <v>16</v>
      </c>
      <c r="Q16" s="836">
        <v>17</v>
      </c>
      <c r="R16" s="836">
        <v>18</v>
      </c>
      <c r="S16" s="836">
        <v>19</v>
      </c>
      <c r="T16" s="836">
        <v>20</v>
      </c>
      <c r="U16" s="836">
        <v>21</v>
      </c>
      <c r="V16" s="836">
        <v>22</v>
      </c>
      <c r="W16" s="836">
        <v>23</v>
      </c>
      <c r="X16" s="836">
        <v>24</v>
      </c>
      <c r="Y16" s="836">
        <v>25</v>
      </c>
      <c r="Z16" s="836">
        <v>26</v>
      </c>
      <c r="AA16" s="836">
        <v>27</v>
      </c>
      <c r="AB16" s="836">
        <v>28</v>
      </c>
      <c r="AC16" s="836">
        <v>29</v>
      </c>
      <c r="AD16" s="836">
        <v>30</v>
      </c>
      <c r="AE16" s="836">
        <v>31</v>
      </c>
      <c r="AF16" s="17"/>
    </row>
    <row r="17" spans="2:32" s="5" customFormat="1" ht="33.95" customHeight="1" thickBot="1" thickTop="1">
      <c r="B17" s="50"/>
      <c r="C17" s="84" t="s">
        <v>13</v>
      </c>
      <c r="D17" s="84" t="s">
        <v>242</v>
      </c>
      <c r="E17" s="84" t="s">
        <v>243</v>
      </c>
      <c r="F17" s="85" t="s">
        <v>0</v>
      </c>
      <c r="G17" s="678" t="s">
        <v>14</v>
      </c>
      <c r="H17" s="86" t="s">
        <v>15</v>
      </c>
      <c r="I17" s="199" t="s">
        <v>71</v>
      </c>
      <c r="J17" s="679" t="s">
        <v>37</v>
      </c>
      <c r="K17" s="680" t="s">
        <v>16</v>
      </c>
      <c r="L17" s="85" t="s">
        <v>17</v>
      </c>
      <c r="M17" s="850" t="s">
        <v>18</v>
      </c>
      <c r="N17" s="88" t="s">
        <v>36</v>
      </c>
      <c r="O17" s="86" t="s">
        <v>31</v>
      </c>
      <c r="P17" s="88" t="s">
        <v>19</v>
      </c>
      <c r="Q17" s="86" t="s">
        <v>58</v>
      </c>
      <c r="R17" s="850" t="s">
        <v>59</v>
      </c>
      <c r="S17" s="85" t="s">
        <v>32</v>
      </c>
      <c r="T17" s="135" t="s">
        <v>20</v>
      </c>
      <c r="U17" s="681" t="s">
        <v>21</v>
      </c>
      <c r="V17" s="201" t="s">
        <v>60</v>
      </c>
      <c r="W17" s="202"/>
      <c r="X17" s="203"/>
      <c r="Y17" s="682" t="s">
        <v>147</v>
      </c>
      <c r="Z17" s="683"/>
      <c r="AA17" s="684"/>
      <c r="AB17" s="204" t="s">
        <v>22</v>
      </c>
      <c r="AC17" s="205" t="s">
        <v>73</v>
      </c>
      <c r="AD17" s="131" t="s">
        <v>74</v>
      </c>
      <c r="AE17" s="131" t="s">
        <v>24</v>
      </c>
      <c r="AF17" s="206"/>
    </row>
    <row r="18" spans="2:32" s="5" customFormat="1" ht="17.1" customHeight="1" thickTop="1">
      <c r="B18" s="50"/>
      <c r="C18" s="174"/>
      <c r="D18" s="174"/>
      <c r="E18" s="174"/>
      <c r="F18" s="727"/>
      <c r="G18" s="727"/>
      <c r="H18" s="745"/>
      <c r="I18" s="726"/>
      <c r="J18" s="728"/>
      <c r="K18" s="729"/>
      <c r="L18" s="740"/>
      <c r="M18" s="740"/>
      <c r="N18" s="726"/>
      <c r="O18" s="726"/>
      <c r="P18" s="726"/>
      <c r="Q18" s="726"/>
      <c r="R18" s="726"/>
      <c r="S18" s="726"/>
      <c r="T18" s="730"/>
      <c r="U18" s="731"/>
      <c r="V18" s="732"/>
      <c r="W18" s="733"/>
      <c r="X18" s="734"/>
      <c r="Y18" s="735"/>
      <c r="Z18" s="736"/>
      <c r="AA18" s="737"/>
      <c r="AB18" s="738"/>
      <c r="AC18" s="739"/>
      <c r="AD18" s="726"/>
      <c r="AE18" s="685"/>
      <c r="AF18" s="17"/>
    </row>
    <row r="19" spans="2:32" s="5" customFormat="1" ht="17.1" customHeight="1">
      <c r="B19" s="50"/>
      <c r="C19" s="10"/>
      <c r="D19" s="10"/>
      <c r="E19" s="10"/>
      <c r="F19" s="706"/>
      <c r="G19" s="707"/>
      <c r="H19" s="748"/>
      <c r="I19" s="707"/>
      <c r="J19" s="696">
        <f aca="true" t="shared" si="0" ref="J19:J39">IF(I19="A",200,IF(I19="B",60,20))</f>
        <v>20</v>
      </c>
      <c r="K19" s="697" t="e">
        <f aca="true" t="shared" si="1" ref="K19:K39">IF(G19=500,IF(H19&lt;100,100*$G$14/100,H19*$G$14/100),IF(H19&lt;100,100*$G$15/100,H19*$G$15/100))</f>
        <v>#VALUE!</v>
      </c>
      <c r="L19" s="698"/>
      <c r="M19" s="699"/>
      <c r="N19" s="182" t="str">
        <f aca="true" t="shared" si="2" ref="N19:N39">IF(F19="","",(M19-L19)*24)</f>
        <v/>
      </c>
      <c r="O19" s="183" t="str">
        <f aca="true" t="shared" si="3" ref="O19:O39">IF(F19="","",ROUND((M19-L19)*24*60,0))</f>
        <v/>
      </c>
      <c r="P19" s="216"/>
      <c r="Q19" s="795" t="str">
        <f aca="true" t="shared" si="4" ref="Q19:Q39">IF(F19="","","--")</f>
        <v/>
      </c>
      <c r="R19" s="217" t="str">
        <f>IF(F19="","","NO")</f>
        <v/>
      </c>
      <c r="S19" s="217" t="str">
        <f>IF(F19="","",IF(OR(P19="P",P19="RP"),"--","NO"))</f>
        <v/>
      </c>
      <c r="T19" s="799" t="str">
        <f>IF(P19="P",K19*J19*ROUND(O19/60,2)*0.01,"--")</f>
        <v>--</v>
      </c>
      <c r="U19" s="800" t="str">
        <f>IF(P19="RP",K19*J19*ROUND(O19/60,2)*0.01*Q19/100,"--")</f>
        <v>--</v>
      </c>
      <c r="V19" s="208" t="str">
        <f>IF(AND(P19="F",S19="NO"),K19*J19*IF(R19="SI",1.2,1),"--")</f>
        <v>--</v>
      </c>
      <c r="W19" s="209" t="str">
        <f>IF(AND(P19="F",O19&gt;=10),K19*J19*IF(R19="SI",1.2,1)*IF(O19&lt;=300,ROUND(O19/60,2),5),"--")</f>
        <v>--</v>
      </c>
      <c r="X19" s="210" t="str">
        <f>IF(AND(P19="F",O19&gt;300),(ROUND(O19/60,2)-5)*K19*J19*0.1*IF(R19="SI",1.2,1),"--")</f>
        <v>--</v>
      </c>
      <c r="Y19" s="801" t="str">
        <f>IF(AND(P19="R",S19="NO"),K19*J19*Q19/100*IF(R19="SI",1.2,1),"--")</f>
        <v>--</v>
      </c>
      <c r="Z19" s="802" t="str">
        <f>IF(AND(P19="R",O19&gt;=10),K19*J19*Q19/100*IF(R19="SI",1.2,1)*IF(O19&lt;=300,ROUND(O19/60,2),5),"--")</f>
        <v>--</v>
      </c>
      <c r="AA19" s="803" t="str">
        <f>IF(AND(P19="R",O19&gt;300),(ROUND(O19/60,2)-5)*K19*J19*0.1*Q19/100*IF(R19="SI",1.2,1),"--")</f>
        <v>--</v>
      </c>
      <c r="AB19" s="804" t="str">
        <f>IF(P19="RF",ROUND(O19/60,2)*K19*J19*0.1*IF(R19="SI",1.2,1),"--")</f>
        <v>--</v>
      </c>
      <c r="AC19" s="805" t="str">
        <f>IF(P19="RR",ROUND(O19/60,2)*K19*J19*0.1*Q19/100*IF(R19="SI",1.2,1),"--")</f>
        <v>--</v>
      </c>
      <c r="AD19" s="798" t="str">
        <f>IF(F19="","","SI")</f>
        <v/>
      </c>
      <c r="AE19" s="16" t="str">
        <f>IF(F19="","",SUM(T19:AC19)*IF(AD19="SI",1,2))</f>
        <v/>
      </c>
      <c r="AF19" s="17"/>
    </row>
    <row r="20" spans="2:32" s="5" customFormat="1" ht="17.1" customHeight="1">
      <c r="B20" s="50"/>
      <c r="C20" s="10">
        <v>30</v>
      </c>
      <c r="D20" s="10">
        <v>297812</v>
      </c>
      <c r="E20" s="10">
        <v>4790</v>
      </c>
      <c r="F20" s="706" t="s">
        <v>412</v>
      </c>
      <c r="G20" s="707">
        <v>500</v>
      </c>
      <c r="H20" s="748">
        <v>552.31</v>
      </c>
      <c r="I20" s="707" t="s">
        <v>303</v>
      </c>
      <c r="J20" s="696">
        <f t="shared" si="0"/>
        <v>20</v>
      </c>
      <c r="K20" s="697">
        <f t="shared" si="1"/>
        <v>2795.3458489</v>
      </c>
      <c r="L20" s="698">
        <v>42393.33125</v>
      </c>
      <c r="M20" s="699">
        <v>42393.788194444445</v>
      </c>
      <c r="N20" s="182">
        <f t="shared" si="2"/>
        <v>10.96666666661622</v>
      </c>
      <c r="O20" s="183">
        <f t="shared" si="3"/>
        <v>658</v>
      </c>
      <c r="P20" s="216" t="s">
        <v>304</v>
      </c>
      <c r="Q20" s="795" t="str">
        <f t="shared" si="4"/>
        <v>--</v>
      </c>
      <c r="R20" s="217" t="str">
        <f>IF(F20="","","NO")</f>
        <v>NO</v>
      </c>
      <c r="S20" s="217" t="str">
        <f>IF(F20="","",IF(OR(P20="P",P20="RP"),"--","NO"))</f>
        <v>--</v>
      </c>
      <c r="T20" s="799">
        <f>IF(P20="P",K20*J20*ROUND(O20/60,2)*0.01,"--")</f>
        <v>6132.988792486601</v>
      </c>
      <c r="U20" s="800" t="str">
        <f>IF(P20="RP",K20*J20*ROUND(O20/60,2)*0.01*Q20/100,"--")</f>
        <v>--</v>
      </c>
      <c r="V20" s="208" t="str">
        <f>IF(AND(P20="F",S20="NO"),K20*J20*IF(R20="SI",1.2,1),"--")</f>
        <v>--</v>
      </c>
      <c r="W20" s="209" t="str">
        <f>IF(AND(P20="F",O20&gt;=10),K20*J20*IF(R20="SI",1.2,1)*IF(O20&lt;=300,ROUND(O20/60,2),5),"--")</f>
        <v>--</v>
      </c>
      <c r="X20" s="210" t="str">
        <f>IF(AND(P20="F",O20&gt;300),(ROUND(O20/60,2)-5)*K20*J20*0.1*IF(R20="SI",1.2,1),"--")</f>
        <v>--</v>
      </c>
      <c r="Y20" s="801" t="str">
        <f>IF(AND(P20="R",S20="NO"),K20*J20*Q20/100*IF(R20="SI",1.2,1),"--")</f>
        <v>--</v>
      </c>
      <c r="Z20" s="802" t="str">
        <f>IF(AND(P20="R",O20&gt;=10),K20*J20*Q20/100*IF(R20="SI",1.2,1)*IF(O20&lt;=300,ROUND(O20/60,2),5),"--")</f>
        <v>--</v>
      </c>
      <c r="AA20" s="803" t="str">
        <f>IF(AND(P20="R",O20&gt;300),(ROUND(O20/60,2)-5)*K20*J20*0.1*Q20/100*IF(R20="SI",1.2,1),"--")</f>
        <v>--</v>
      </c>
      <c r="AB20" s="804" t="str">
        <f>IF(P20="RF",ROUND(O20/60,2)*K20*J20*0.1*IF(R20="SI",1.2,1),"--")</f>
        <v>--</v>
      </c>
      <c r="AC20" s="805" t="str">
        <f>IF(P20="RR",ROUND(O20/60,2)*K20*J20*0.1*Q20/100*IF(R20="SI",1.2,1),"--")</f>
        <v>--</v>
      </c>
      <c r="AD20" s="796" t="str">
        <f>IF(F20="","","SI")</f>
        <v>SI</v>
      </c>
      <c r="AE20" s="16">
        <f>IF(F20="","",SUM(T20:AC20)*IF(AD20="SI",1,2))</f>
        <v>6132.988792486601</v>
      </c>
      <c r="AF20" s="705"/>
    </row>
    <row r="21" spans="2:32" s="5" customFormat="1" ht="17.1" customHeight="1">
      <c r="B21" s="50"/>
      <c r="C21" s="270">
        <v>31</v>
      </c>
      <c r="D21" s="270">
        <v>298214</v>
      </c>
      <c r="E21" s="270">
        <v>4790</v>
      </c>
      <c r="F21" s="706" t="s">
        <v>412</v>
      </c>
      <c r="G21" s="707">
        <v>500</v>
      </c>
      <c r="H21" s="748">
        <v>552.31</v>
      </c>
      <c r="I21" s="707" t="s">
        <v>303</v>
      </c>
      <c r="J21" s="696">
        <f t="shared" si="0"/>
        <v>20</v>
      </c>
      <c r="K21" s="697">
        <f t="shared" si="1"/>
        <v>2795.3458489</v>
      </c>
      <c r="L21" s="698">
        <v>42392.32361111111</v>
      </c>
      <c r="M21" s="699">
        <v>42392.71875</v>
      </c>
      <c r="N21" s="182">
        <f t="shared" si="2"/>
        <v>9.483333333337214</v>
      </c>
      <c r="O21" s="183">
        <f t="shared" si="3"/>
        <v>569</v>
      </c>
      <c r="P21" s="216" t="s">
        <v>304</v>
      </c>
      <c r="Q21" s="795" t="str">
        <f t="shared" si="4"/>
        <v>--</v>
      </c>
      <c r="R21" s="217" t="str">
        <f>IF(F21="","","NO")</f>
        <v>NO</v>
      </c>
      <c r="S21" s="217" t="str">
        <f>IF(F21="","",IF(OR(P21="P",P21="RP"),"--","NO"))</f>
        <v>--</v>
      </c>
      <c r="T21" s="799">
        <f>IF(P21="P",K21*J21*ROUND(O21/60,2)*0.01,"--")</f>
        <v>5299.9757295144</v>
      </c>
      <c r="U21" s="800" t="str">
        <f>IF(P21="RP",K21*J21*ROUND(O21/60,2)*0.01*Q21/100,"--")</f>
        <v>--</v>
      </c>
      <c r="V21" s="208" t="str">
        <f>IF(AND(P21="F",S21="NO"),K21*J21*IF(R21="SI",1.2,1),"--")</f>
        <v>--</v>
      </c>
      <c r="W21" s="209" t="str">
        <f>IF(AND(P21="F",O21&gt;=10),K21*J21*IF(R21="SI",1.2,1)*IF(O21&lt;=300,ROUND(O21/60,2),5),"--")</f>
        <v>--</v>
      </c>
      <c r="X21" s="210" t="str">
        <f>IF(AND(P21="F",O21&gt;300),(ROUND(O21/60,2)-5)*K21*J21*0.1*IF(R21="SI",1.2,1),"--")</f>
        <v>--</v>
      </c>
      <c r="Y21" s="801" t="str">
        <f>IF(AND(P21="R",S21="NO"),K21*J21*Q21/100*IF(R21="SI",1.2,1),"--")</f>
        <v>--</v>
      </c>
      <c r="Z21" s="802" t="str">
        <f>IF(AND(P21="R",O21&gt;=10),K21*J21*Q21/100*IF(R21="SI",1.2,1)*IF(O21&lt;=300,ROUND(O21/60,2),5),"--")</f>
        <v>--</v>
      </c>
      <c r="AA21" s="803" t="str">
        <f>IF(AND(P21="R",O21&gt;300),(ROUND(O21/60,2)-5)*K21*J21*0.1*Q21/100*IF(R21="SI",1.2,1),"--")</f>
        <v>--</v>
      </c>
      <c r="AB21" s="804" t="str">
        <f>IF(P21="RF",ROUND(O21/60,2)*K21*J21*0.1*IF(R21="SI",1.2,1),"--")</f>
        <v>--</v>
      </c>
      <c r="AC21" s="805" t="str">
        <f>IF(P21="RR",ROUND(O21/60,2)*K21*J21*0.1*Q21/100*IF(R21="SI",1.2,1),"--")</f>
        <v>--</v>
      </c>
      <c r="AD21" s="796" t="str">
        <f>IF(F21="","","SI")</f>
        <v>SI</v>
      </c>
      <c r="AE21" s="16">
        <f>IF(F21="","",SUM(T21:AC21)*IF(AD21="SI",1,2))</f>
        <v>5299.9757295144</v>
      </c>
      <c r="AF21" s="705"/>
    </row>
    <row r="22" spans="2:32" s="5" customFormat="1" ht="17.1" customHeight="1">
      <c r="B22" s="50"/>
      <c r="C22" s="149"/>
      <c r="D22" s="149"/>
      <c r="E22" s="149"/>
      <c r="F22" s="706"/>
      <c r="G22" s="707"/>
      <c r="H22" s="748"/>
      <c r="I22" s="707"/>
      <c r="J22" s="696">
        <f t="shared" si="0"/>
        <v>20</v>
      </c>
      <c r="K22" s="697" t="e">
        <f t="shared" si="1"/>
        <v>#VALUE!</v>
      </c>
      <c r="L22" s="708"/>
      <c r="M22" s="709"/>
      <c r="N22" s="182" t="str">
        <f t="shared" si="2"/>
        <v/>
      </c>
      <c r="O22" s="183" t="str">
        <f t="shared" si="3"/>
        <v/>
      </c>
      <c r="P22" s="216"/>
      <c r="Q22" s="795" t="str">
        <f t="shared" si="4"/>
        <v/>
      </c>
      <c r="R22" s="217" t="str">
        <f>IF(F22="","","NO")</f>
        <v/>
      </c>
      <c r="S22" s="217" t="str">
        <f>IF(F22="","",IF(OR(P22="P",P22="RP"),"--","NO"))</f>
        <v/>
      </c>
      <c r="T22" s="799" t="str">
        <f>IF(P22="P",K22*J22*ROUND(O22/60,2)*0.01,"--")</f>
        <v>--</v>
      </c>
      <c r="U22" s="800" t="str">
        <f>IF(P22="RP",K22*J22*ROUND(O22/60,2)*0.01*Q22/100,"--")</f>
        <v>--</v>
      </c>
      <c r="V22" s="208" t="str">
        <f>IF(AND(P22="F",S22="NO"),K22*J22*IF(R22="SI",1.2,1),"--")</f>
        <v>--</v>
      </c>
      <c r="W22" s="209" t="str">
        <f>IF(AND(P22="F",O22&gt;=10),K22*J22*IF(R22="SI",1.2,1)*IF(O22&lt;=300,ROUND(O22/60,2),5),"--")</f>
        <v>--</v>
      </c>
      <c r="X22" s="210" t="str">
        <f>IF(AND(P22="F",O22&gt;300),(ROUND(O22/60,2)-5)*K22*J22*0.1*IF(R22="SI",1.2,1),"--")</f>
        <v>--</v>
      </c>
      <c r="Y22" s="801" t="str">
        <f>IF(AND(P22="R",S22="NO"),K22*J22*Q22/100*IF(R22="SI",1.2,1),"--")</f>
        <v>--</v>
      </c>
      <c r="Z22" s="802" t="str">
        <f>IF(AND(P22="R",O22&gt;=10),K22*J22*Q22/100*IF(R22="SI",1.2,1)*IF(O22&lt;=300,ROUND(O22/60,2),5),"--")</f>
        <v>--</v>
      </c>
      <c r="AA22" s="803" t="str">
        <f>IF(AND(P22="R",O22&gt;300),(ROUND(O22/60,2)-5)*K22*J22*0.1*Q22/100*IF(R22="SI",1.2,1),"--")</f>
        <v>--</v>
      </c>
      <c r="AB22" s="804" t="str">
        <f>IF(P22="RF",ROUND(O22/60,2)*K22*J22*0.1*IF(R22="SI",1.2,1),"--")</f>
        <v>--</v>
      </c>
      <c r="AC22" s="805" t="str">
        <f>IF(P22="RR",ROUND(O22/60,2)*K22*J22*0.1*Q22/100*IF(R22="SI",1.2,1),"--")</f>
        <v>--</v>
      </c>
      <c r="AD22" s="796" t="str">
        <f>IF(F22="","","SI")</f>
        <v/>
      </c>
      <c r="AE22" s="16" t="str">
        <f>IF(F22="","",SUM(T22:AC22)*IF(AD22="SI",1,2))</f>
        <v/>
      </c>
      <c r="AF22" s="705"/>
    </row>
    <row r="23" spans="2:32" s="5" customFormat="1" ht="17.1" customHeight="1">
      <c r="B23" s="50"/>
      <c r="C23" s="270"/>
      <c r="D23" s="270"/>
      <c r="E23" s="270"/>
      <c r="F23" s="706"/>
      <c r="G23" s="707"/>
      <c r="H23" s="748"/>
      <c r="I23" s="707"/>
      <c r="J23" s="696">
        <f t="shared" si="0"/>
        <v>20</v>
      </c>
      <c r="K23" s="697" t="e">
        <f t="shared" si="1"/>
        <v>#VALUE!</v>
      </c>
      <c r="L23" s="708"/>
      <c r="M23" s="709"/>
      <c r="N23" s="182" t="str">
        <f t="shared" si="2"/>
        <v/>
      </c>
      <c r="O23" s="183" t="str">
        <f t="shared" si="3"/>
        <v/>
      </c>
      <c r="P23" s="216"/>
      <c r="Q23" s="795" t="str">
        <f t="shared" si="4"/>
        <v/>
      </c>
      <c r="R23" s="217" t="str">
        <f aca="true" t="shared" si="5" ref="R23:R39">IF(F23="","","NO")</f>
        <v/>
      </c>
      <c r="S23" s="217" t="str">
        <f aca="true" t="shared" si="6" ref="S23:S39">IF(F23="","",IF(OR(P23="P",P23="RP"),"--","NO"))</f>
        <v/>
      </c>
      <c r="T23" s="799" t="str">
        <f aca="true" t="shared" si="7" ref="T23:T39">IF(P23="P",K23*J23*ROUND(O23/60,2)*0.01,"--")</f>
        <v>--</v>
      </c>
      <c r="U23" s="800" t="str">
        <f aca="true" t="shared" si="8" ref="U23:U39">IF(P23="RP",K23*J23*ROUND(O23/60,2)*0.01*Q23/100,"--")</f>
        <v>--</v>
      </c>
      <c r="V23" s="208" t="str">
        <f aca="true" t="shared" si="9" ref="V23:V39">IF(AND(P23="F",S23="NO"),K23*J23*IF(R23="SI",1.2,1),"--")</f>
        <v>--</v>
      </c>
      <c r="W23" s="209" t="str">
        <f aca="true" t="shared" si="10" ref="W23:W39">IF(AND(P23="F",O23&gt;=10),K23*J23*IF(R23="SI",1.2,1)*IF(O23&lt;=300,ROUND(O23/60,2),5),"--")</f>
        <v>--</v>
      </c>
      <c r="X23" s="210" t="str">
        <f aca="true" t="shared" si="11" ref="X23:X39">IF(AND(P23="F",O23&gt;300),(ROUND(O23/60,2)-5)*K23*J23*0.1*IF(R23="SI",1.2,1),"--")</f>
        <v>--</v>
      </c>
      <c r="Y23" s="801" t="str">
        <f aca="true" t="shared" si="12" ref="Y23:Y39">IF(AND(P23="R",S23="NO"),K23*J23*Q23/100*IF(R23="SI",1.2,1),"--")</f>
        <v>--</v>
      </c>
      <c r="Z23" s="802" t="str">
        <f aca="true" t="shared" si="13" ref="Z23:Z39">IF(AND(P23="R",O23&gt;=10),K23*J23*Q23/100*IF(R23="SI",1.2,1)*IF(O23&lt;=300,ROUND(O23/60,2),5),"--")</f>
        <v>--</v>
      </c>
      <c r="AA23" s="803" t="str">
        <f aca="true" t="shared" si="14" ref="AA23:AA39">IF(AND(P23="R",O23&gt;300),(ROUND(O23/60,2)-5)*K23*J23*0.1*Q23/100*IF(R23="SI",1.2,1),"--")</f>
        <v>--</v>
      </c>
      <c r="AB23" s="804" t="str">
        <f aca="true" t="shared" si="15" ref="AB23:AB39">IF(P23="RF",ROUND(O23/60,2)*K23*J23*0.1*IF(R23="SI",1.2,1),"--")</f>
        <v>--</v>
      </c>
      <c r="AC23" s="805" t="str">
        <f aca="true" t="shared" si="16" ref="AC23:AC39">IF(P23="RR",ROUND(O23/60,2)*K23*J23*0.1*Q23/100*IF(R23="SI",1.2,1),"--")</f>
        <v>--</v>
      </c>
      <c r="AD23" s="796" t="str">
        <f aca="true" t="shared" si="17" ref="AD23:AD39">IF(F23="","","SI")</f>
        <v/>
      </c>
      <c r="AE23" s="16" t="str">
        <f>IF(F23="","",SUM(T23:AC23)*IF(AD23="SI",1,2))</f>
        <v/>
      </c>
      <c r="AF23" s="705"/>
    </row>
    <row r="24" spans="2:32" s="5" customFormat="1" ht="17.1" customHeight="1">
      <c r="B24" s="50"/>
      <c r="C24" s="149"/>
      <c r="D24" s="149"/>
      <c r="E24" s="149"/>
      <c r="F24" s="149"/>
      <c r="G24" s="179"/>
      <c r="H24" s="747"/>
      <c r="I24" s="179"/>
      <c r="J24" s="696">
        <f t="shared" si="0"/>
        <v>20</v>
      </c>
      <c r="K24" s="697" t="e">
        <f t="shared" si="1"/>
        <v>#VALUE!</v>
      </c>
      <c r="L24" s="698"/>
      <c r="M24" s="699"/>
      <c r="N24" s="182" t="str">
        <f t="shared" si="2"/>
        <v/>
      </c>
      <c r="O24" s="183" t="str">
        <f t="shared" si="3"/>
        <v/>
      </c>
      <c r="P24" s="216"/>
      <c r="Q24" s="795" t="str">
        <f t="shared" si="4"/>
        <v/>
      </c>
      <c r="R24" s="217" t="str">
        <f t="shared" si="5"/>
        <v/>
      </c>
      <c r="S24" s="217" t="str">
        <f t="shared" si="6"/>
        <v/>
      </c>
      <c r="T24" s="799" t="str">
        <f t="shared" si="7"/>
        <v>--</v>
      </c>
      <c r="U24" s="800" t="str">
        <f t="shared" si="8"/>
        <v>--</v>
      </c>
      <c r="V24" s="208" t="str">
        <f t="shared" si="9"/>
        <v>--</v>
      </c>
      <c r="W24" s="209" t="str">
        <f t="shared" si="10"/>
        <v>--</v>
      </c>
      <c r="X24" s="210" t="str">
        <f t="shared" si="11"/>
        <v>--</v>
      </c>
      <c r="Y24" s="801" t="str">
        <f t="shared" si="12"/>
        <v>--</v>
      </c>
      <c r="Z24" s="802" t="str">
        <f t="shared" si="13"/>
        <v>--</v>
      </c>
      <c r="AA24" s="803" t="str">
        <f t="shared" si="14"/>
        <v>--</v>
      </c>
      <c r="AB24" s="804" t="str">
        <f t="shared" si="15"/>
        <v>--</v>
      </c>
      <c r="AC24" s="805" t="str">
        <f t="shared" si="16"/>
        <v>--</v>
      </c>
      <c r="AD24" s="796" t="str">
        <f t="shared" si="17"/>
        <v/>
      </c>
      <c r="AE24" s="16" t="str">
        <f aca="true" t="shared" si="18" ref="AE24:AE39">IF(F24="","",SUM(T24:AC24)*IF(AD24="SI",1,2))</f>
        <v/>
      </c>
      <c r="AF24" s="705"/>
    </row>
    <row r="25" spans="2:32" s="5" customFormat="1" ht="17.1" customHeight="1">
      <c r="B25" s="50"/>
      <c r="C25" s="270"/>
      <c r="D25" s="270"/>
      <c r="E25" s="270"/>
      <c r="F25" s="149"/>
      <c r="G25" s="179"/>
      <c r="H25" s="747"/>
      <c r="I25" s="179"/>
      <c r="J25" s="696">
        <f t="shared" si="0"/>
        <v>20</v>
      </c>
      <c r="K25" s="697" t="e">
        <f t="shared" si="1"/>
        <v>#VALUE!</v>
      </c>
      <c r="L25" s="698"/>
      <c r="M25" s="699"/>
      <c r="N25" s="182" t="str">
        <f t="shared" si="2"/>
        <v/>
      </c>
      <c r="O25" s="183" t="str">
        <f t="shared" si="3"/>
        <v/>
      </c>
      <c r="P25" s="216"/>
      <c r="Q25" s="795" t="str">
        <f t="shared" si="4"/>
        <v/>
      </c>
      <c r="R25" s="217" t="str">
        <f t="shared" si="5"/>
        <v/>
      </c>
      <c r="S25" s="217" t="str">
        <f t="shared" si="6"/>
        <v/>
      </c>
      <c r="T25" s="799" t="str">
        <f t="shared" si="7"/>
        <v>--</v>
      </c>
      <c r="U25" s="800" t="str">
        <f t="shared" si="8"/>
        <v>--</v>
      </c>
      <c r="V25" s="208" t="str">
        <f t="shared" si="9"/>
        <v>--</v>
      </c>
      <c r="W25" s="209" t="str">
        <f t="shared" si="10"/>
        <v>--</v>
      </c>
      <c r="X25" s="210" t="str">
        <f t="shared" si="11"/>
        <v>--</v>
      </c>
      <c r="Y25" s="801" t="str">
        <f t="shared" si="12"/>
        <v>--</v>
      </c>
      <c r="Z25" s="802" t="str">
        <f t="shared" si="13"/>
        <v>--</v>
      </c>
      <c r="AA25" s="803" t="str">
        <f t="shared" si="14"/>
        <v>--</v>
      </c>
      <c r="AB25" s="804" t="str">
        <f t="shared" si="15"/>
        <v>--</v>
      </c>
      <c r="AC25" s="805" t="str">
        <f t="shared" si="16"/>
        <v>--</v>
      </c>
      <c r="AD25" s="796" t="str">
        <f t="shared" si="17"/>
        <v/>
      </c>
      <c r="AE25" s="16" t="str">
        <f t="shared" si="18"/>
        <v/>
      </c>
      <c r="AF25" s="705"/>
    </row>
    <row r="26" spans="2:32" s="5" customFormat="1" ht="17.1" customHeight="1">
      <c r="B26" s="50"/>
      <c r="C26" s="149"/>
      <c r="D26" s="149"/>
      <c r="E26" s="149"/>
      <c r="F26" s="141"/>
      <c r="G26" s="143"/>
      <c r="H26" s="749"/>
      <c r="I26" s="143"/>
      <c r="J26" s="696">
        <f t="shared" si="0"/>
        <v>20</v>
      </c>
      <c r="K26" s="697" t="e">
        <f t="shared" si="1"/>
        <v>#VALUE!</v>
      </c>
      <c r="L26" s="180"/>
      <c r="M26" s="215"/>
      <c r="N26" s="182" t="str">
        <f t="shared" si="2"/>
        <v/>
      </c>
      <c r="O26" s="183" t="str">
        <f t="shared" si="3"/>
        <v/>
      </c>
      <c r="P26" s="216"/>
      <c r="Q26" s="795" t="str">
        <f t="shared" si="4"/>
        <v/>
      </c>
      <c r="R26" s="217" t="str">
        <f t="shared" si="5"/>
        <v/>
      </c>
      <c r="S26" s="217" t="str">
        <f t="shared" si="6"/>
        <v/>
      </c>
      <c r="T26" s="799" t="str">
        <f t="shared" si="7"/>
        <v>--</v>
      </c>
      <c r="U26" s="800" t="str">
        <f t="shared" si="8"/>
        <v>--</v>
      </c>
      <c r="V26" s="208" t="str">
        <f t="shared" si="9"/>
        <v>--</v>
      </c>
      <c r="W26" s="209" t="str">
        <f t="shared" si="10"/>
        <v>--</v>
      </c>
      <c r="X26" s="210" t="str">
        <f t="shared" si="11"/>
        <v>--</v>
      </c>
      <c r="Y26" s="801" t="str">
        <f t="shared" si="12"/>
        <v>--</v>
      </c>
      <c r="Z26" s="802" t="str">
        <f t="shared" si="13"/>
        <v>--</v>
      </c>
      <c r="AA26" s="803" t="str">
        <f t="shared" si="14"/>
        <v>--</v>
      </c>
      <c r="AB26" s="804" t="str">
        <f t="shared" si="15"/>
        <v>--</v>
      </c>
      <c r="AC26" s="805" t="str">
        <f t="shared" si="16"/>
        <v>--</v>
      </c>
      <c r="AD26" s="796" t="str">
        <f t="shared" si="17"/>
        <v/>
      </c>
      <c r="AE26" s="16" t="str">
        <f t="shared" si="18"/>
        <v/>
      </c>
      <c r="AF26" s="705"/>
    </row>
    <row r="27" spans="2:32" s="5" customFormat="1" ht="17.1" customHeight="1">
      <c r="B27" s="50"/>
      <c r="C27" s="270"/>
      <c r="D27" s="270"/>
      <c r="E27" s="270"/>
      <c r="F27" s="141"/>
      <c r="G27" s="143"/>
      <c r="H27" s="749"/>
      <c r="I27" s="143"/>
      <c r="J27" s="696">
        <f t="shared" si="0"/>
        <v>20</v>
      </c>
      <c r="K27" s="697" t="e">
        <f t="shared" si="1"/>
        <v>#VALUE!</v>
      </c>
      <c r="L27" s="180"/>
      <c r="M27" s="215"/>
      <c r="N27" s="182" t="str">
        <f t="shared" si="2"/>
        <v/>
      </c>
      <c r="O27" s="183" t="str">
        <f t="shared" si="3"/>
        <v/>
      </c>
      <c r="P27" s="216"/>
      <c r="Q27" s="795" t="str">
        <f t="shared" si="4"/>
        <v/>
      </c>
      <c r="R27" s="217" t="str">
        <f t="shared" si="5"/>
        <v/>
      </c>
      <c r="S27" s="217" t="str">
        <f t="shared" si="6"/>
        <v/>
      </c>
      <c r="T27" s="799" t="str">
        <f t="shared" si="7"/>
        <v>--</v>
      </c>
      <c r="U27" s="800" t="str">
        <f t="shared" si="8"/>
        <v>--</v>
      </c>
      <c r="V27" s="208" t="str">
        <f t="shared" si="9"/>
        <v>--</v>
      </c>
      <c r="W27" s="209" t="str">
        <f t="shared" si="10"/>
        <v>--</v>
      </c>
      <c r="X27" s="210" t="str">
        <f t="shared" si="11"/>
        <v>--</v>
      </c>
      <c r="Y27" s="801" t="str">
        <f t="shared" si="12"/>
        <v>--</v>
      </c>
      <c r="Z27" s="802" t="str">
        <f t="shared" si="13"/>
        <v>--</v>
      </c>
      <c r="AA27" s="803" t="str">
        <f t="shared" si="14"/>
        <v>--</v>
      </c>
      <c r="AB27" s="804" t="str">
        <f t="shared" si="15"/>
        <v>--</v>
      </c>
      <c r="AC27" s="805" t="str">
        <f t="shared" si="16"/>
        <v>--</v>
      </c>
      <c r="AD27" s="796" t="str">
        <f t="shared" si="17"/>
        <v/>
      </c>
      <c r="AE27" s="16" t="str">
        <f t="shared" si="18"/>
        <v/>
      </c>
      <c r="AF27" s="705"/>
    </row>
    <row r="28" spans="2:32" s="5" customFormat="1" ht="17.1" customHeight="1">
      <c r="B28" s="50"/>
      <c r="C28" s="149"/>
      <c r="D28" s="149"/>
      <c r="E28" s="149"/>
      <c r="F28" s="141"/>
      <c r="G28" s="143"/>
      <c r="H28" s="749"/>
      <c r="I28" s="143"/>
      <c r="J28" s="696">
        <f t="shared" si="0"/>
        <v>20</v>
      </c>
      <c r="K28" s="697" t="e">
        <f t="shared" si="1"/>
        <v>#VALUE!</v>
      </c>
      <c r="L28" s="180"/>
      <c r="M28" s="215"/>
      <c r="N28" s="182" t="str">
        <f t="shared" si="2"/>
        <v/>
      </c>
      <c r="O28" s="183" t="str">
        <f t="shared" si="3"/>
        <v/>
      </c>
      <c r="P28" s="216"/>
      <c r="Q28" s="795" t="str">
        <f t="shared" si="4"/>
        <v/>
      </c>
      <c r="R28" s="217" t="str">
        <f t="shared" si="5"/>
        <v/>
      </c>
      <c r="S28" s="217" t="str">
        <f t="shared" si="6"/>
        <v/>
      </c>
      <c r="T28" s="799" t="str">
        <f t="shared" si="7"/>
        <v>--</v>
      </c>
      <c r="U28" s="800" t="str">
        <f t="shared" si="8"/>
        <v>--</v>
      </c>
      <c r="V28" s="208" t="str">
        <f t="shared" si="9"/>
        <v>--</v>
      </c>
      <c r="W28" s="209" t="str">
        <f t="shared" si="10"/>
        <v>--</v>
      </c>
      <c r="X28" s="210" t="str">
        <f t="shared" si="11"/>
        <v>--</v>
      </c>
      <c r="Y28" s="801" t="str">
        <f t="shared" si="12"/>
        <v>--</v>
      </c>
      <c r="Z28" s="802" t="str">
        <f t="shared" si="13"/>
        <v>--</v>
      </c>
      <c r="AA28" s="803" t="str">
        <f t="shared" si="14"/>
        <v>--</v>
      </c>
      <c r="AB28" s="804" t="str">
        <f t="shared" si="15"/>
        <v>--</v>
      </c>
      <c r="AC28" s="805" t="str">
        <f t="shared" si="16"/>
        <v>--</v>
      </c>
      <c r="AD28" s="796" t="str">
        <f t="shared" si="17"/>
        <v/>
      </c>
      <c r="AE28" s="16" t="str">
        <f t="shared" si="18"/>
        <v/>
      </c>
      <c r="AF28" s="705"/>
    </row>
    <row r="29" spans="2:32" s="5" customFormat="1" ht="17.1" customHeight="1">
      <c r="B29" s="50"/>
      <c r="C29" s="270"/>
      <c r="D29" s="270"/>
      <c r="E29" s="270"/>
      <c r="F29" s="141"/>
      <c r="G29" s="143"/>
      <c r="H29" s="749"/>
      <c r="I29" s="143"/>
      <c r="J29" s="696">
        <f t="shared" si="0"/>
        <v>20</v>
      </c>
      <c r="K29" s="697" t="e">
        <f t="shared" si="1"/>
        <v>#VALUE!</v>
      </c>
      <c r="L29" s="180"/>
      <c r="M29" s="215"/>
      <c r="N29" s="182" t="str">
        <f t="shared" si="2"/>
        <v/>
      </c>
      <c r="O29" s="183" t="str">
        <f t="shared" si="3"/>
        <v/>
      </c>
      <c r="P29" s="216"/>
      <c r="Q29" s="795" t="str">
        <f t="shared" si="4"/>
        <v/>
      </c>
      <c r="R29" s="217" t="str">
        <f t="shared" si="5"/>
        <v/>
      </c>
      <c r="S29" s="217" t="str">
        <f t="shared" si="6"/>
        <v/>
      </c>
      <c r="T29" s="799" t="str">
        <f t="shared" si="7"/>
        <v>--</v>
      </c>
      <c r="U29" s="800" t="str">
        <f t="shared" si="8"/>
        <v>--</v>
      </c>
      <c r="V29" s="208" t="str">
        <f t="shared" si="9"/>
        <v>--</v>
      </c>
      <c r="W29" s="209" t="str">
        <f t="shared" si="10"/>
        <v>--</v>
      </c>
      <c r="X29" s="210" t="str">
        <f t="shared" si="11"/>
        <v>--</v>
      </c>
      <c r="Y29" s="801" t="str">
        <f t="shared" si="12"/>
        <v>--</v>
      </c>
      <c r="Z29" s="802" t="str">
        <f t="shared" si="13"/>
        <v>--</v>
      </c>
      <c r="AA29" s="803" t="str">
        <f t="shared" si="14"/>
        <v>--</v>
      </c>
      <c r="AB29" s="804" t="str">
        <f t="shared" si="15"/>
        <v>--</v>
      </c>
      <c r="AC29" s="805" t="str">
        <f t="shared" si="16"/>
        <v>--</v>
      </c>
      <c r="AD29" s="796" t="str">
        <f t="shared" si="17"/>
        <v/>
      </c>
      <c r="AE29" s="16" t="str">
        <f t="shared" si="18"/>
        <v/>
      </c>
      <c r="AF29" s="705"/>
    </row>
    <row r="30" spans="2:32" s="5" customFormat="1" ht="17.1" customHeight="1">
      <c r="B30" s="50"/>
      <c r="C30" s="149"/>
      <c r="D30" s="149"/>
      <c r="E30" s="149"/>
      <c r="F30" s="141"/>
      <c r="G30" s="143"/>
      <c r="H30" s="749"/>
      <c r="I30" s="143"/>
      <c r="J30" s="696">
        <f t="shared" si="0"/>
        <v>20</v>
      </c>
      <c r="K30" s="697" t="e">
        <f t="shared" si="1"/>
        <v>#VALUE!</v>
      </c>
      <c r="L30" s="180"/>
      <c r="M30" s="215"/>
      <c r="N30" s="182" t="str">
        <f t="shared" si="2"/>
        <v/>
      </c>
      <c r="O30" s="183" t="str">
        <f t="shared" si="3"/>
        <v/>
      </c>
      <c r="P30" s="216"/>
      <c r="Q30" s="795" t="str">
        <f t="shared" si="4"/>
        <v/>
      </c>
      <c r="R30" s="217" t="str">
        <f t="shared" si="5"/>
        <v/>
      </c>
      <c r="S30" s="217" t="str">
        <f t="shared" si="6"/>
        <v/>
      </c>
      <c r="T30" s="799" t="str">
        <f t="shared" si="7"/>
        <v>--</v>
      </c>
      <c r="U30" s="800" t="str">
        <f t="shared" si="8"/>
        <v>--</v>
      </c>
      <c r="V30" s="208" t="str">
        <f t="shared" si="9"/>
        <v>--</v>
      </c>
      <c r="W30" s="209" t="str">
        <f t="shared" si="10"/>
        <v>--</v>
      </c>
      <c r="X30" s="210" t="str">
        <f t="shared" si="11"/>
        <v>--</v>
      </c>
      <c r="Y30" s="801" t="str">
        <f t="shared" si="12"/>
        <v>--</v>
      </c>
      <c r="Z30" s="802" t="str">
        <f t="shared" si="13"/>
        <v>--</v>
      </c>
      <c r="AA30" s="803" t="str">
        <f t="shared" si="14"/>
        <v>--</v>
      </c>
      <c r="AB30" s="804" t="str">
        <f t="shared" si="15"/>
        <v>--</v>
      </c>
      <c r="AC30" s="805" t="str">
        <f t="shared" si="16"/>
        <v>--</v>
      </c>
      <c r="AD30" s="796" t="str">
        <f t="shared" si="17"/>
        <v/>
      </c>
      <c r="AE30" s="16" t="str">
        <f t="shared" si="18"/>
        <v/>
      </c>
      <c r="AF30" s="705"/>
    </row>
    <row r="31" spans="2:32" s="5" customFormat="1" ht="17.1" customHeight="1">
      <c r="B31" s="50"/>
      <c r="C31" s="270"/>
      <c r="D31" s="270"/>
      <c r="E31" s="270"/>
      <c r="F31" s="141"/>
      <c r="G31" s="143"/>
      <c r="H31" s="749"/>
      <c r="I31" s="143"/>
      <c r="J31" s="696">
        <f t="shared" si="0"/>
        <v>20</v>
      </c>
      <c r="K31" s="697" t="e">
        <f t="shared" si="1"/>
        <v>#VALUE!</v>
      </c>
      <c r="L31" s="180"/>
      <c r="M31" s="181"/>
      <c r="N31" s="182" t="str">
        <f t="shared" si="2"/>
        <v/>
      </c>
      <c r="O31" s="183" t="str">
        <f t="shared" si="3"/>
        <v/>
      </c>
      <c r="P31" s="216"/>
      <c r="Q31" s="795" t="str">
        <f t="shared" si="4"/>
        <v/>
      </c>
      <c r="R31" s="217" t="str">
        <f t="shared" si="5"/>
        <v/>
      </c>
      <c r="S31" s="217" t="str">
        <f t="shared" si="6"/>
        <v/>
      </c>
      <c r="T31" s="799" t="str">
        <f t="shared" si="7"/>
        <v>--</v>
      </c>
      <c r="U31" s="800" t="str">
        <f t="shared" si="8"/>
        <v>--</v>
      </c>
      <c r="V31" s="208" t="str">
        <f t="shared" si="9"/>
        <v>--</v>
      </c>
      <c r="W31" s="209" t="str">
        <f t="shared" si="10"/>
        <v>--</v>
      </c>
      <c r="X31" s="210" t="str">
        <f t="shared" si="11"/>
        <v>--</v>
      </c>
      <c r="Y31" s="801" t="str">
        <f t="shared" si="12"/>
        <v>--</v>
      </c>
      <c r="Z31" s="802" t="str">
        <f t="shared" si="13"/>
        <v>--</v>
      </c>
      <c r="AA31" s="803" t="str">
        <f t="shared" si="14"/>
        <v>--</v>
      </c>
      <c r="AB31" s="804" t="str">
        <f t="shared" si="15"/>
        <v>--</v>
      </c>
      <c r="AC31" s="805" t="str">
        <f t="shared" si="16"/>
        <v>--</v>
      </c>
      <c r="AD31" s="796" t="str">
        <f t="shared" si="17"/>
        <v/>
      </c>
      <c r="AE31" s="16" t="str">
        <f t="shared" si="18"/>
        <v/>
      </c>
      <c r="AF31" s="705"/>
    </row>
    <row r="32" spans="2:32" s="5" customFormat="1" ht="17.1" customHeight="1">
      <c r="B32" s="50"/>
      <c r="C32" s="149"/>
      <c r="D32" s="149"/>
      <c r="E32" s="149"/>
      <c r="F32" s="141"/>
      <c r="G32" s="143"/>
      <c r="H32" s="749"/>
      <c r="I32" s="143"/>
      <c r="J32" s="696">
        <f t="shared" si="0"/>
        <v>20</v>
      </c>
      <c r="K32" s="697" t="e">
        <f t="shared" si="1"/>
        <v>#VALUE!</v>
      </c>
      <c r="L32" s="180"/>
      <c r="M32" s="181"/>
      <c r="N32" s="182" t="str">
        <f t="shared" si="2"/>
        <v/>
      </c>
      <c r="O32" s="183" t="str">
        <f t="shared" si="3"/>
        <v/>
      </c>
      <c r="P32" s="216"/>
      <c r="Q32" s="795" t="str">
        <f t="shared" si="4"/>
        <v/>
      </c>
      <c r="R32" s="217" t="str">
        <f t="shared" si="5"/>
        <v/>
      </c>
      <c r="S32" s="217" t="str">
        <f t="shared" si="6"/>
        <v/>
      </c>
      <c r="T32" s="799" t="str">
        <f t="shared" si="7"/>
        <v>--</v>
      </c>
      <c r="U32" s="800" t="str">
        <f t="shared" si="8"/>
        <v>--</v>
      </c>
      <c r="V32" s="208" t="str">
        <f t="shared" si="9"/>
        <v>--</v>
      </c>
      <c r="W32" s="209" t="str">
        <f t="shared" si="10"/>
        <v>--</v>
      </c>
      <c r="X32" s="210" t="str">
        <f t="shared" si="11"/>
        <v>--</v>
      </c>
      <c r="Y32" s="801" t="str">
        <f t="shared" si="12"/>
        <v>--</v>
      </c>
      <c r="Z32" s="802" t="str">
        <f t="shared" si="13"/>
        <v>--</v>
      </c>
      <c r="AA32" s="803" t="str">
        <f t="shared" si="14"/>
        <v>--</v>
      </c>
      <c r="AB32" s="804" t="str">
        <f t="shared" si="15"/>
        <v>--</v>
      </c>
      <c r="AC32" s="805" t="str">
        <f t="shared" si="16"/>
        <v>--</v>
      </c>
      <c r="AD32" s="796" t="str">
        <f t="shared" si="17"/>
        <v/>
      </c>
      <c r="AE32" s="16" t="str">
        <f t="shared" si="18"/>
        <v/>
      </c>
      <c r="AF32" s="705"/>
    </row>
    <row r="33" spans="2:32" s="5" customFormat="1" ht="17.1" customHeight="1">
      <c r="B33" s="50"/>
      <c r="C33" s="270"/>
      <c r="D33" s="270"/>
      <c r="E33" s="270"/>
      <c r="F33" s="141"/>
      <c r="G33" s="143"/>
      <c r="H33" s="749"/>
      <c r="I33" s="143"/>
      <c r="J33" s="696">
        <f t="shared" si="0"/>
        <v>20</v>
      </c>
      <c r="K33" s="697" t="e">
        <f t="shared" si="1"/>
        <v>#VALUE!</v>
      </c>
      <c r="L33" s="180"/>
      <c r="M33" s="181"/>
      <c r="N33" s="182" t="str">
        <f t="shared" si="2"/>
        <v/>
      </c>
      <c r="O33" s="183" t="str">
        <f t="shared" si="3"/>
        <v/>
      </c>
      <c r="P33" s="216"/>
      <c r="Q33" s="795" t="str">
        <f t="shared" si="4"/>
        <v/>
      </c>
      <c r="R33" s="217" t="str">
        <f t="shared" si="5"/>
        <v/>
      </c>
      <c r="S33" s="217" t="str">
        <f t="shared" si="6"/>
        <v/>
      </c>
      <c r="T33" s="799" t="str">
        <f t="shared" si="7"/>
        <v>--</v>
      </c>
      <c r="U33" s="800" t="str">
        <f t="shared" si="8"/>
        <v>--</v>
      </c>
      <c r="V33" s="208" t="str">
        <f t="shared" si="9"/>
        <v>--</v>
      </c>
      <c r="W33" s="209" t="str">
        <f t="shared" si="10"/>
        <v>--</v>
      </c>
      <c r="X33" s="210" t="str">
        <f t="shared" si="11"/>
        <v>--</v>
      </c>
      <c r="Y33" s="801" t="str">
        <f t="shared" si="12"/>
        <v>--</v>
      </c>
      <c r="Z33" s="802" t="str">
        <f t="shared" si="13"/>
        <v>--</v>
      </c>
      <c r="AA33" s="803" t="str">
        <f t="shared" si="14"/>
        <v>--</v>
      </c>
      <c r="AB33" s="804" t="str">
        <f t="shared" si="15"/>
        <v>--</v>
      </c>
      <c r="AC33" s="805" t="str">
        <f t="shared" si="16"/>
        <v>--</v>
      </c>
      <c r="AD33" s="796" t="str">
        <f t="shared" si="17"/>
        <v/>
      </c>
      <c r="AE33" s="16" t="str">
        <f t="shared" si="18"/>
        <v/>
      </c>
      <c r="AF33" s="705"/>
    </row>
    <row r="34" spans="2:32" s="5" customFormat="1" ht="17.1" customHeight="1">
      <c r="B34" s="50"/>
      <c r="C34" s="149"/>
      <c r="D34" s="149"/>
      <c r="E34" s="149"/>
      <c r="F34" s="141"/>
      <c r="G34" s="143"/>
      <c r="H34" s="749"/>
      <c r="I34" s="143"/>
      <c r="J34" s="696">
        <f t="shared" si="0"/>
        <v>20</v>
      </c>
      <c r="K34" s="697" t="e">
        <f t="shared" si="1"/>
        <v>#VALUE!</v>
      </c>
      <c r="L34" s="180"/>
      <c r="M34" s="181"/>
      <c r="N34" s="182" t="str">
        <f t="shared" si="2"/>
        <v/>
      </c>
      <c r="O34" s="183" t="str">
        <f t="shared" si="3"/>
        <v/>
      </c>
      <c r="P34" s="216"/>
      <c r="Q34" s="795" t="str">
        <f t="shared" si="4"/>
        <v/>
      </c>
      <c r="R34" s="217" t="str">
        <f t="shared" si="5"/>
        <v/>
      </c>
      <c r="S34" s="217" t="str">
        <f t="shared" si="6"/>
        <v/>
      </c>
      <c r="T34" s="799" t="str">
        <f t="shared" si="7"/>
        <v>--</v>
      </c>
      <c r="U34" s="800" t="str">
        <f t="shared" si="8"/>
        <v>--</v>
      </c>
      <c r="V34" s="208" t="str">
        <f t="shared" si="9"/>
        <v>--</v>
      </c>
      <c r="W34" s="209" t="str">
        <f t="shared" si="10"/>
        <v>--</v>
      </c>
      <c r="X34" s="210" t="str">
        <f t="shared" si="11"/>
        <v>--</v>
      </c>
      <c r="Y34" s="801" t="str">
        <f t="shared" si="12"/>
        <v>--</v>
      </c>
      <c r="Z34" s="802" t="str">
        <f t="shared" si="13"/>
        <v>--</v>
      </c>
      <c r="AA34" s="803" t="str">
        <f t="shared" si="14"/>
        <v>--</v>
      </c>
      <c r="AB34" s="804" t="str">
        <f t="shared" si="15"/>
        <v>--</v>
      </c>
      <c r="AC34" s="805" t="str">
        <f t="shared" si="16"/>
        <v>--</v>
      </c>
      <c r="AD34" s="796" t="str">
        <f t="shared" si="17"/>
        <v/>
      </c>
      <c r="AE34" s="16" t="str">
        <f t="shared" si="18"/>
        <v/>
      </c>
      <c r="AF34" s="705"/>
    </row>
    <row r="35" spans="2:32" s="5" customFormat="1" ht="17.1" customHeight="1">
      <c r="B35" s="50"/>
      <c r="C35" s="270"/>
      <c r="D35" s="270"/>
      <c r="E35" s="270"/>
      <c r="F35" s="141"/>
      <c r="G35" s="143"/>
      <c r="H35" s="749"/>
      <c r="I35" s="143"/>
      <c r="J35" s="696">
        <f t="shared" si="0"/>
        <v>20</v>
      </c>
      <c r="K35" s="697" t="e">
        <f t="shared" si="1"/>
        <v>#VALUE!</v>
      </c>
      <c r="L35" s="180"/>
      <c r="M35" s="181"/>
      <c r="N35" s="182" t="str">
        <f t="shared" si="2"/>
        <v/>
      </c>
      <c r="O35" s="183" t="str">
        <f t="shared" si="3"/>
        <v/>
      </c>
      <c r="P35" s="216"/>
      <c r="Q35" s="795" t="str">
        <f t="shared" si="4"/>
        <v/>
      </c>
      <c r="R35" s="217" t="str">
        <f t="shared" si="5"/>
        <v/>
      </c>
      <c r="S35" s="217" t="str">
        <f t="shared" si="6"/>
        <v/>
      </c>
      <c r="T35" s="799" t="str">
        <f t="shared" si="7"/>
        <v>--</v>
      </c>
      <c r="U35" s="800" t="str">
        <f t="shared" si="8"/>
        <v>--</v>
      </c>
      <c r="V35" s="208" t="str">
        <f t="shared" si="9"/>
        <v>--</v>
      </c>
      <c r="W35" s="209" t="str">
        <f t="shared" si="10"/>
        <v>--</v>
      </c>
      <c r="X35" s="210" t="str">
        <f t="shared" si="11"/>
        <v>--</v>
      </c>
      <c r="Y35" s="801" t="str">
        <f t="shared" si="12"/>
        <v>--</v>
      </c>
      <c r="Z35" s="802" t="str">
        <f t="shared" si="13"/>
        <v>--</v>
      </c>
      <c r="AA35" s="803" t="str">
        <f t="shared" si="14"/>
        <v>--</v>
      </c>
      <c r="AB35" s="804" t="str">
        <f t="shared" si="15"/>
        <v>--</v>
      </c>
      <c r="AC35" s="805" t="str">
        <f t="shared" si="16"/>
        <v>--</v>
      </c>
      <c r="AD35" s="796" t="str">
        <f t="shared" si="17"/>
        <v/>
      </c>
      <c r="AE35" s="16" t="str">
        <f t="shared" si="18"/>
        <v/>
      </c>
      <c r="AF35" s="705"/>
    </row>
    <row r="36" spans="2:32" s="5" customFormat="1" ht="17.1" customHeight="1">
      <c r="B36" s="50"/>
      <c r="C36" s="149"/>
      <c r="D36" s="149"/>
      <c r="E36" s="149"/>
      <c r="F36" s="141"/>
      <c r="G36" s="143"/>
      <c r="H36" s="749"/>
      <c r="I36" s="143"/>
      <c r="J36" s="696">
        <f t="shared" si="0"/>
        <v>20</v>
      </c>
      <c r="K36" s="697" t="e">
        <f t="shared" si="1"/>
        <v>#VALUE!</v>
      </c>
      <c r="L36" s="180"/>
      <c r="M36" s="181"/>
      <c r="N36" s="182" t="str">
        <f t="shared" si="2"/>
        <v/>
      </c>
      <c r="O36" s="183" t="str">
        <f t="shared" si="3"/>
        <v/>
      </c>
      <c r="P36" s="216"/>
      <c r="Q36" s="795" t="str">
        <f t="shared" si="4"/>
        <v/>
      </c>
      <c r="R36" s="217" t="str">
        <f t="shared" si="5"/>
        <v/>
      </c>
      <c r="S36" s="217" t="str">
        <f t="shared" si="6"/>
        <v/>
      </c>
      <c r="T36" s="799" t="str">
        <f t="shared" si="7"/>
        <v>--</v>
      </c>
      <c r="U36" s="800" t="str">
        <f t="shared" si="8"/>
        <v>--</v>
      </c>
      <c r="V36" s="208" t="str">
        <f t="shared" si="9"/>
        <v>--</v>
      </c>
      <c r="W36" s="209" t="str">
        <f t="shared" si="10"/>
        <v>--</v>
      </c>
      <c r="X36" s="210" t="str">
        <f t="shared" si="11"/>
        <v>--</v>
      </c>
      <c r="Y36" s="801" t="str">
        <f t="shared" si="12"/>
        <v>--</v>
      </c>
      <c r="Z36" s="802" t="str">
        <f t="shared" si="13"/>
        <v>--</v>
      </c>
      <c r="AA36" s="803" t="str">
        <f t="shared" si="14"/>
        <v>--</v>
      </c>
      <c r="AB36" s="804" t="str">
        <f t="shared" si="15"/>
        <v>--</v>
      </c>
      <c r="AC36" s="805" t="str">
        <f t="shared" si="16"/>
        <v>--</v>
      </c>
      <c r="AD36" s="796" t="str">
        <f t="shared" si="17"/>
        <v/>
      </c>
      <c r="AE36" s="16" t="str">
        <f t="shared" si="18"/>
        <v/>
      </c>
      <c r="AF36" s="705"/>
    </row>
    <row r="37" spans="2:32" s="5" customFormat="1" ht="17.1" customHeight="1">
      <c r="B37" s="50"/>
      <c r="C37" s="270"/>
      <c r="D37" s="270"/>
      <c r="E37" s="270"/>
      <c r="F37" s="141"/>
      <c r="G37" s="143"/>
      <c r="H37" s="749"/>
      <c r="I37" s="143"/>
      <c r="J37" s="696">
        <f t="shared" si="0"/>
        <v>20</v>
      </c>
      <c r="K37" s="697" t="e">
        <f t="shared" si="1"/>
        <v>#VALUE!</v>
      </c>
      <c r="L37" s="180"/>
      <c r="M37" s="181"/>
      <c r="N37" s="182" t="str">
        <f t="shared" si="2"/>
        <v/>
      </c>
      <c r="O37" s="183" t="str">
        <f t="shared" si="3"/>
        <v/>
      </c>
      <c r="P37" s="216"/>
      <c r="Q37" s="795" t="str">
        <f t="shared" si="4"/>
        <v/>
      </c>
      <c r="R37" s="217" t="str">
        <f t="shared" si="5"/>
        <v/>
      </c>
      <c r="S37" s="217" t="str">
        <f t="shared" si="6"/>
        <v/>
      </c>
      <c r="T37" s="799" t="str">
        <f t="shared" si="7"/>
        <v>--</v>
      </c>
      <c r="U37" s="800" t="str">
        <f t="shared" si="8"/>
        <v>--</v>
      </c>
      <c r="V37" s="208" t="str">
        <f t="shared" si="9"/>
        <v>--</v>
      </c>
      <c r="W37" s="209" t="str">
        <f t="shared" si="10"/>
        <v>--</v>
      </c>
      <c r="X37" s="210" t="str">
        <f t="shared" si="11"/>
        <v>--</v>
      </c>
      <c r="Y37" s="801" t="str">
        <f t="shared" si="12"/>
        <v>--</v>
      </c>
      <c r="Z37" s="802" t="str">
        <f t="shared" si="13"/>
        <v>--</v>
      </c>
      <c r="AA37" s="803" t="str">
        <f t="shared" si="14"/>
        <v>--</v>
      </c>
      <c r="AB37" s="804" t="str">
        <f t="shared" si="15"/>
        <v>--</v>
      </c>
      <c r="AC37" s="805" t="str">
        <f t="shared" si="16"/>
        <v>--</v>
      </c>
      <c r="AD37" s="796" t="str">
        <f t="shared" si="17"/>
        <v/>
      </c>
      <c r="AE37" s="16" t="str">
        <f t="shared" si="18"/>
        <v/>
      </c>
      <c r="AF37" s="705"/>
    </row>
    <row r="38" spans="2:32" s="5" customFormat="1" ht="17.1" customHeight="1">
      <c r="B38" s="50"/>
      <c r="C38" s="149"/>
      <c r="D38" s="149"/>
      <c r="E38" s="149"/>
      <c r="F38" s="141"/>
      <c r="G38" s="143"/>
      <c r="H38" s="749"/>
      <c r="I38" s="143"/>
      <c r="J38" s="696">
        <f t="shared" si="0"/>
        <v>20</v>
      </c>
      <c r="K38" s="697" t="e">
        <f t="shared" si="1"/>
        <v>#VALUE!</v>
      </c>
      <c r="L38" s="180"/>
      <c r="M38" s="181"/>
      <c r="N38" s="182" t="str">
        <f t="shared" si="2"/>
        <v/>
      </c>
      <c r="O38" s="183" t="str">
        <f t="shared" si="3"/>
        <v/>
      </c>
      <c r="P38" s="216"/>
      <c r="Q38" s="795" t="str">
        <f t="shared" si="4"/>
        <v/>
      </c>
      <c r="R38" s="217" t="str">
        <f t="shared" si="5"/>
        <v/>
      </c>
      <c r="S38" s="217" t="str">
        <f t="shared" si="6"/>
        <v/>
      </c>
      <c r="T38" s="799" t="str">
        <f t="shared" si="7"/>
        <v>--</v>
      </c>
      <c r="U38" s="800" t="str">
        <f t="shared" si="8"/>
        <v>--</v>
      </c>
      <c r="V38" s="208" t="str">
        <f t="shared" si="9"/>
        <v>--</v>
      </c>
      <c r="W38" s="209" t="str">
        <f t="shared" si="10"/>
        <v>--</v>
      </c>
      <c r="X38" s="210" t="str">
        <f t="shared" si="11"/>
        <v>--</v>
      </c>
      <c r="Y38" s="801" t="str">
        <f t="shared" si="12"/>
        <v>--</v>
      </c>
      <c r="Z38" s="802" t="str">
        <f t="shared" si="13"/>
        <v>--</v>
      </c>
      <c r="AA38" s="803" t="str">
        <f t="shared" si="14"/>
        <v>--</v>
      </c>
      <c r="AB38" s="804" t="str">
        <f t="shared" si="15"/>
        <v>--</v>
      </c>
      <c r="AC38" s="805" t="str">
        <f t="shared" si="16"/>
        <v>--</v>
      </c>
      <c r="AD38" s="796" t="str">
        <f t="shared" si="17"/>
        <v/>
      </c>
      <c r="AE38" s="16" t="str">
        <f t="shared" si="18"/>
        <v/>
      </c>
      <c r="AF38" s="705"/>
    </row>
    <row r="39" spans="2:32" s="5" customFormat="1" ht="17.1" customHeight="1">
      <c r="B39" s="50"/>
      <c r="C39" s="270"/>
      <c r="D39" s="270"/>
      <c r="E39" s="270"/>
      <c r="F39" s="141"/>
      <c r="G39" s="143"/>
      <c r="H39" s="749"/>
      <c r="I39" s="143"/>
      <c r="J39" s="696">
        <f t="shared" si="0"/>
        <v>20</v>
      </c>
      <c r="K39" s="697" t="e">
        <f t="shared" si="1"/>
        <v>#VALUE!</v>
      </c>
      <c r="L39" s="180"/>
      <c r="M39" s="181"/>
      <c r="N39" s="182" t="str">
        <f t="shared" si="2"/>
        <v/>
      </c>
      <c r="O39" s="183" t="str">
        <f t="shared" si="3"/>
        <v/>
      </c>
      <c r="P39" s="216"/>
      <c r="Q39" s="795" t="str">
        <f t="shared" si="4"/>
        <v/>
      </c>
      <c r="R39" s="217" t="str">
        <f t="shared" si="5"/>
        <v/>
      </c>
      <c r="S39" s="217" t="str">
        <f t="shared" si="6"/>
        <v/>
      </c>
      <c r="T39" s="799" t="str">
        <f t="shared" si="7"/>
        <v>--</v>
      </c>
      <c r="U39" s="800" t="str">
        <f t="shared" si="8"/>
        <v>--</v>
      </c>
      <c r="V39" s="208" t="str">
        <f t="shared" si="9"/>
        <v>--</v>
      </c>
      <c r="W39" s="209" t="str">
        <f t="shared" si="10"/>
        <v>--</v>
      </c>
      <c r="X39" s="210" t="str">
        <f t="shared" si="11"/>
        <v>--</v>
      </c>
      <c r="Y39" s="801" t="str">
        <f t="shared" si="12"/>
        <v>--</v>
      </c>
      <c r="Z39" s="802" t="str">
        <f t="shared" si="13"/>
        <v>--</v>
      </c>
      <c r="AA39" s="803" t="str">
        <f t="shared" si="14"/>
        <v>--</v>
      </c>
      <c r="AB39" s="804" t="str">
        <f t="shared" si="15"/>
        <v>--</v>
      </c>
      <c r="AC39" s="805" t="str">
        <f t="shared" si="16"/>
        <v>--</v>
      </c>
      <c r="AD39" s="796" t="str">
        <f t="shared" si="17"/>
        <v/>
      </c>
      <c r="AE39" s="16" t="str">
        <f t="shared" si="18"/>
        <v/>
      </c>
      <c r="AF39" s="705"/>
    </row>
    <row r="40" spans="2:32" s="5" customFormat="1" ht="17.1" customHeight="1" thickBot="1">
      <c r="B40" s="50"/>
      <c r="C40" s="149"/>
      <c r="D40" s="794"/>
      <c r="E40" s="149"/>
      <c r="F40" s="146"/>
      <c r="G40" s="224"/>
      <c r="H40" s="743"/>
      <c r="I40" s="225"/>
      <c r="J40" s="710"/>
      <c r="K40" s="711"/>
      <c r="L40" s="741"/>
      <c r="M40" s="741"/>
      <c r="N40" s="9"/>
      <c r="O40" s="9"/>
      <c r="P40" s="148"/>
      <c r="Q40" s="185"/>
      <c r="R40" s="148"/>
      <c r="S40" s="148"/>
      <c r="T40" s="712"/>
      <c r="U40" s="713"/>
      <c r="V40" s="226"/>
      <c r="W40" s="227"/>
      <c r="X40" s="228"/>
      <c r="Y40" s="714"/>
      <c r="Z40" s="715"/>
      <c r="AA40" s="716"/>
      <c r="AB40" s="229"/>
      <c r="AC40" s="230"/>
      <c r="AD40" s="717"/>
      <c r="AE40" s="231"/>
      <c r="AF40" s="705"/>
    </row>
    <row r="41" spans="2:32" s="5" customFormat="1" ht="17.1" customHeight="1" thickBot="1" thickTop="1">
      <c r="B41" s="50"/>
      <c r="C41" s="126" t="s">
        <v>25</v>
      </c>
      <c r="D41" s="73" t="s">
        <v>369</v>
      </c>
      <c r="E41" s="126"/>
      <c r="F41" s="127"/>
      <c r="G41" s="232"/>
      <c r="H41" s="197"/>
      <c r="I41" s="233"/>
      <c r="J41" s="197"/>
      <c r="K41" s="186"/>
      <c r="L41" s="186"/>
      <c r="M41" s="186"/>
      <c r="N41" s="186"/>
      <c r="O41" s="186"/>
      <c r="P41" s="186"/>
      <c r="Q41" s="234"/>
      <c r="R41" s="186"/>
      <c r="S41" s="186"/>
      <c r="T41" s="718">
        <f aca="true" t="shared" si="19" ref="T41:AC41">SUM(T18:T40)</f>
        <v>11432.964522001</v>
      </c>
      <c r="U41" s="719">
        <f t="shared" si="19"/>
        <v>0</v>
      </c>
      <c r="V41" s="720">
        <f t="shared" si="19"/>
        <v>0</v>
      </c>
      <c r="W41" s="720">
        <f t="shared" si="19"/>
        <v>0</v>
      </c>
      <c r="X41" s="720">
        <f t="shared" si="19"/>
        <v>0</v>
      </c>
      <c r="Y41" s="721">
        <f t="shared" si="19"/>
        <v>0</v>
      </c>
      <c r="Z41" s="721">
        <f t="shared" si="19"/>
        <v>0</v>
      </c>
      <c r="AA41" s="721">
        <f t="shared" si="19"/>
        <v>0</v>
      </c>
      <c r="AB41" s="235">
        <f t="shared" si="19"/>
        <v>0</v>
      </c>
      <c r="AC41" s="236">
        <f t="shared" si="19"/>
        <v>0</v>
      </c>
      <c r="AD41" s="237"/>
      <c r="AE41" s="238">
        <f>ROUND(SUM(AE18:AE40),2)</f>
        <v>11432.96</v>
      </c>
      <c r="AF41" s="705"/>
    </row>
    <row r="42" spans="2:32" s="5" customFormat="1" ht="17.1" customHeight="1" thickBot="1" thickTop="1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6"/>
    </row>
    <row r="43" spans="2:32" ht="17.1" customHeight="1" thickTop="1">
      <c r="B43" s="1"/>
      <c r="C43" s="1"/>
      <c r="D43" s="1"/>
      <c r="AF43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47489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57150</xdr:colOff>
                    <xdr:row>40</xdr:row>
                    <xdr:rowOff>19050</xdr:rowOff>
                  </from>
                  <to>
                    <xdr:col>2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3">
    <pageSetUpPr fitToPage="1"/>
  </sheetPr>
  <dimension ref="A1:AF43"/>
  <sheetViews>
    <sheetView zoomScale="85" zoomScaleNormal="85" workbookViewId="0" topLeftCell="A1">
      <selection activeCell="E4" sqref="E4"/>
    </sheetView>
  </sheetViews>
  <sheetFormatPr defaultColWidth="11.421875" defaultRowHeight="12.75"/>
  <cols>
    <col min="1" max="2" width="4.140625" style="1369" customWidth="1"/>
    <col min="3" max="3" width="5.421875" style="1369" customWidth="1"/>
    <col min="4" max="5" width="13.7109375" style="1369" customWidth="1"/>
    <col min="6" max="6" width="45.7109375" style="1369" customWidth="1"/>
    <col min="7" max="8" width="9.7109375" style="1369" customWidth="1"/>
    <col min="9" max="9" width="3.8515625" style="1369" customWidth="1"/>
    <col min="10" max="10" width="3.421875" style="1369" hidden="1" customWidth="1"/>
    <col min="11" max="11" width="10.28125" style="1369" hidden="1" customWidth="1"/>
    <col min="12" max="12" width="16.28125" style="1369" customWidth="1"/>
    <col min="13" max="13" width="16.7109375" style="1369" customWidth="1"/>
    <col min="14" max="16" width="9.7109375" style="1369" customWidth="1"/>
    <col min="17" max="17" width="8.7109375" style="1369" customWidth="1"/>
    <col min="18" max="18" width="5.421875" style="1369" customWidth="1"/>
    <col min="19" max="19" width="6.00390625" style="1369" customWidth="1"/>
    <col min="20" max="21" width="12.28125" style="1369" hidden="1" customWidth="1"/>
    <col min="22" max="27" width="5.7109375" style="1369" hidden="1" customWidth="1"/>
    <col min="28" max="28" width="12.28125" style="1369" hidden="1" customWidth="1"/>
    <col min="29" max="29" width="13.421875" style="1369" hidden="1" customWidth="1"/>
    <col min="30" max="30" width="9.7109375" style="1369" customWidth="1"/>
    <col min="31" max="31" width="15.7109375" style="1369" customWidth="1"/>
    <col min="32" max="32" width="4.140625" style="1369" customWidth="1"/>
    <col min="33" max="33" width="30.421875" style="1369" customWidth="1"/>
    <col min="34" max="34" width="3.140625" style="1369" customWidth="1"/>
    <col min="35" max="35" width="3.57421875" style="1369" customWidth="1"/>
    <col min="36" max="36" width="24.28125" style="1369" customWidth="1"/>
    <col min="37" max="37" width="4.7109375" style="1369" customWidth="1"/>
    <col min="38" max="38" width="7.57421875" style="1369" customWidth="1"/>
    <col min="39" max="40" width="4.140625" style="1369" customWidth="1"/>
    <col min="41" max="41" width="7.140625" style="1369" customWidth="1"/>
    <col min="42" max="42" width="5.28125" style="1369" customWidth="1"/>
    <col min="43" max="43" width="5.421875" style="1369" customWidth="1"/>
    <col min="44" max="44" width="4.7109375" style="1369" customWidth="1"/>
    <col min="45" max="45" width="5.28125" style="1369" customWidth="1"/>
    <col min="46" max="47" width="13.28125" style="1369" customWidth="1"/>
    <col min="48" max="48" width="6.57421875" style="1369" customWidth="1"/>
    <col min="49" max="49" width="6.421875" style="1369" customWidth="1"/>
    <col min="50" max="53" width="11.421875" style="1369" customWidth="1"/>
    <col min="54" max="54" width="12.7109375" style="1369" customWidth="1"/>
    <col min="55" max="57" width="11.421875" style="1369" customWidth="1"/>
    <col min="58" max="58" width="21.00390625" style="1369" customWidth="1"/>
    <col min="59" max="16384" width="11.421875" style="1369" customWidth="1"/>
  </cols>
  <sheetData>
    <row r="1" spans="1:32" s="1370" customFormat="1" ht="26.25">
      <c r="A1" s="1369"/>
      <c r="E1" s="1369"/>
      <c r="G1" s="1369"/>
      <c r="I1" s="1369"/>
      <c r="K1" s="1369"/>
      <c r="M1" s="1369"/>
      <c r="O1" s="1369"/>
      <c r="Q1" s="1369"/>
      <c r="S1" s="1369"/>
      <c r="U1" s="1369"/>
      <c r="W1" s="1369"/>
      <c r="Y1" s="1369"/>
      <c r="AA1" s="1369"/>
      <c r="AF1" s="1371"/>
    </row>
    <row r="2" spans="1:32" s="1370" customFormat="1" ht="26.25">
      <c r="A2" s="1372"/>
      <c r="B2" s="1373" t="str">
        <f>'TOT-0116'!B2</f>
        <v>ANEXO II al Memorándum D.T.E.E. N° 231 / 2017</v>
      </c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  <c r="Q2" s="1373"/>
      <c r="R2" s="1373"/>
      <c r="S2" s="1373"/>
      <c r="T2" s="1373"/>
      <c r="U2" s="1373"/>
      <c r="V2" s="1373"/>
      <c r="W2" s="1373"/>
      <c r="X2" s="1373"/>
      <c r="Y2" s="1373"/>
      <c r="Z2" s="1373"/>
      <c r="AA2" s="1373"/>
      <c r="AB2" s="1373"/>
      <c r="AC2" s="1373"/>
      <c r="AD2" s="1373"/>
      <c r="AE2" s="1373"/>
      <c r="AF2" s="1373"/>
    </row>
    <row r="3" s="1375" customFormat="1" ht="23.25" customHeight="1">
      <c r="A3" s="1374"/>
    </row>
    <row r="4" spans="1:4" s="1378" customFormat="1" ht="11.25">
      <c r="A4" s="1376" t="s">
        <v>2</v>
      </c>
      <c r="B4" s="1377"/>
      <c r="C4" s="1377"/>
      <c r="D4" s="1377"/>
    </row>
    <row r="5" spans="1:4" s="1378" customFormat="1" ht="11.25">
      <c r="A5" s="1376" t="s">
        <v>3</v>
      </c>
      <c r="B5" s="1377"/>
      <c r="C5" s="1377"/>
      <c r="D5" s="1377"/>
    </row>
    <row r="6" s="1375" customFormat="1" ht="13.5" thickBot="1"/>
    <row r="7" spans="2:32" s="1375" customFormat="1" ht="13.5" thickTop="1">
      <c r="B7" s="1379"/>
      <c r="C7" s="1380"/>
      <c r="D7" s="1380"/>
      <c r="E7" s="1380"/>
      <c r="F7" s="1380"/>
      <c r="G7" s="1381"/>
      <c r="H7" s="1380"/>
      <c r="I7" s="1380"/>
      <c r="J7" s="1380"/>
      <c r="K7" s="1380"/>
      <c r="L7" s="1380"/>
      <c r="M7" s="1380"/>
      <c r="N7" s="1380"/>
      <c r="O7" s="1380"/>
      <c r="P7" s="1380"/>
      <c r="Q7" s="1380"/>
      <c r="R7" s="1380"/>
      <c r="S7" s="1380"/>
      <c r="T7" s="1380"/>
      <c r="U7" s="1380"/>
      <c r="V7" s="1380"/>
      <c r="W7" s="1380"/>
      <c r="X7" s="1380"/>
      <c r="Y7" s="1380"/>
      <c r="Z7" s="1380"/>
      <c r="AA7" s="1380"/>
      <c r="AB7" s="1380"/>
      <c r="AC7" s="1380"/>
      <c r="AD7" s="1380"/>
      <c r="AE7" s="1380"/>
      <c r="AF7" s="1382"/>
    </row>
    <row r="8" spans="2:32" s="1383" customFormat="1" ht="20.25">
      <c r="B8" s="1384"/>
      <c r="C8" s="1385"/>
      <c r="D8" s="1385"/>
      <c r="E8" s="1385"/>
      <c r="F8" s="1386" t="s">
        <v>69</v>
      </c>
      <c r="G8" s="1385"/>
      <c r="H8" s="1385"/>
      <c r="I8" s="1385"/>
      <c r="J8" s="1385"/>
      <c r="P8" s="1385"/>
      <c r="Q8" s="1385"/>
      <c r="R8" s="1387"/>
      <c r="S8" s="1387"/>
      <c r="T8" s="1385"/>
      <c r="U8" s="1385"/>
      <c r="V8" s="1385"/>
      <c r="W8" s="1385"/>
      <c r="X8" s="1385"/>
      <c r="Y8" s="1385"/>
      <c r="Z8" s="1385"/>
      <c r="AA8" s="1385"/>
      <c r="AB8" s="1385"/>
      <c r="AC8" s="1385"/>
      <c r="AD8" s="1385"/>
      <c r="AE8" s="1385"/>
      <c r="AF8" s="1388"/>
    </row>
    <row r="9" spans="2:32" s="1375" customFormat="1" ht="16.5" customHeight="1">
      <c r="B9" s="1389"/>
      <c r="C9" s="1390"/>
      <c r="D9" s="1390"/>
      <c r="E9" s="1390"/>
      <c r="F9" s="1390"/>
      <c r="G9" s="1390"/>
      <c r="H9" s="1390"/>
      <c r="I9" s="1390"/>
      <c r="J9" s="1390"/>
      <c r="K9" s="1390"/>
      <c r="L9" s="1390"/>
      <c r="M9" s="1390"/>
      <c r="N9" s="1390"/>
      <c r="O9" s="1390"/>
      <c r="P9" s="1390"/>
      <c r="Q9" s="1390"/>
      <c r="R9" s="1390"/>
      <c r="S9" s="1390"/>
      <c r="T9" s="1390"/>
      <c r="U9" s="1390"/>
      <c r="V9" s="1390"/>
      <c r="W9" s="1390"/>
      <c r="X9" s="1390"/>
      <c r="Y9" s="1390"/>
      <c r="Z9" s="1390"/>
      <c r="AA9" s="1390"/>
      <c r="AB9" s="1390"/>
      <c r="AC9" s="1390"/>
      <c r="AD9" s="1390"/>
      <c r="AE9" s="1390"/>
      <c r="AF9" s="1391"/>
    </row>
    <row r="10" spans="2:32" s="1392" customFormat="1" ht="33" customHeight="1">
      <c r="B10" s="1393"/>
      <c r="C10" s="1394"/>
      <c r="D10" s="1394"/>
      <c r="E10" s="1394"/>
      <c r="F10" s="1395" t="s">
        <v>12</v>
      </c>
      <c r="G10" s="1394"/>
      <c r="H10" s="1394"/>
      <c r="I10" s="1394"/>
      <c r="K10" s="1394"/>
      <c r="L10" s="1394"/>
      <c r="M10" s="1394"/>
      <c r="N10" s="1394"/>
      <c r="O10" s="1394"/>
      <c r="P10" s="1394"/>
      <c r="Q10" s="1394"/>
      <c r="R10" s="1395"/>
      <c r="S10" s="1395"/>
      <c r="T10" s="1394"/>
      <c r="U10" s="1394"/>
      <c r="V10" s="1394"/>
      <c r="W10" s="1394"/>
      <c r="X10" s="1394"/>
      <c r="Y10" s="1394"/>
      <c r="Z10" s="1394"/>
      <c r="AA10" s="1394"/>
      <c r="AB10" s="1394"/>
      <c r="AC10" s="1394"/>
      <c r="AD10" s="1394"/>
      <c r="AE10" s="1394"/>
      <c r="AF10" s="1396"/>
    </row>
    <row r="11" spans="2:32" s="1397" customFormat="1" ht="33" customHeight="1">
      <c r="B11" s="1398"/>
      <c r="C11" s="1399"/>
      <c r="D11" s="1399"/>
      <c r="E11" s="1399"/>
      <c r="F11" s="1400" t="s">
        <v>370</v>
      </c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399"/>
      <c r="U11" s="1399"/>
      <c r="V11" s="1399"/>
      <c r="W11" s="1399"/>
      <c r="X11" s="1399"/>
      <c r="Y11" s="1399"/>
      <c r="Z11" s="1399"/>
      <c r="AA11" s="1399"/>
      <c r="AB11" s="1399"/>
      <c r="AC11" s="1399"/>
      <c r="AD11" s="1399"/>
      <c r="AE11" s="1399"/>
      <c r="AF11" s="1402"/>
    </row>
    <row r="12" spans="2:32" s="1403" customFormat="1" ht="19.5">
      <c r="B12" s="1224" t="str">
        <f>'TOT-0116'!B14</f>
        <v>Desde el 01 al 31 de enero de 2016</v>
      </c>
      <c r="C12" s="1404"/>
      <c r="D12" s="1404"/>
      <c r="E12" s="1404"/>
      <c r="F12" s="1404"/>
      <c r="G12" s="1404"/>
      <c r="H12" s="1404"/>
      <c r="I12" s="1404"/>
      <c r="J12" s="1404"/>
      <c r="K12" s="1404"/>
      <c r="L12" s="1404"/>
      <c r="M12" s="1404"/>
      <c r="N12" s="1404"/>
      <c r="O12" s="1404"/>
      <c r="P12" s="1405"/>
      <c r="Q12" s="1405"/>
      <c r="R12" s="1404"/>
      <c r="S12" s="1404"/>
      <c r="T12" s="1404"/>
      <c r="U12" s="1404"/>
      <c r="V12" s="1404"/>
      <c r="W12" s="1404"/>
      <c r="X12" s="1404"/>
      <c r="Y12" s="1404"/>
      <c r="Z12" s="1404"/>
      <c r="AA12" s="1404"/>
      <c r="AB12" s="1404"/>
      <c r="AC12" s="1404"/>
      <c r="AD12" s="1404"/>
      <c r="AE12" s="1404"/>
      <c r="AF12" s="1406"/>
    </row>
    <row r="13" spans="2:32" s="1375" customFormat="1" ht="17.1" customHeight="1" thickBot="1">
      <c r="B13" s="1389"/>
      <c r="C13" s="1390"/>
      <c r="D13" s="1390"/>
      <c r="E13" s="1390"/>
      <c r="F13" s="1390"/>
      <c r="G13" s="1407"/>
      <c r="H13" s="1407"/>
      <c r="I13" s="1390"/>
      <c r="J13" s="1390"/>
      <c r="K13" s="1390"/>
      <c r="L13" s="1408"/>
      <c r="M13" s="1390"/>
      <c r="N13" s="1390"/>
      <c r="O13" s="1390"/>
      <c r="R13" s="1390"/>
      <c r="S13" s="1390"/>
      <c r="T13" s="1390"/>
      <c r="U13" s="1390"/>
      <c r="V13" s="1390"/>
      <c r="W13" s="1390"/>
      <c r="X13" s="1390"/>
      <c r="Y13" s="1390"/>
      <c r="Z13" s="1390"/>
      <c r="AA13" s="1390"/>
      <c r="AB13" s="1390"/>
      <c r="AC13" s="1390"/>
      <c r="AD13" s="1390"/>
      <c r="AE13" s="1390"/>
      <c r="AF13" s="1391"/>
    </row>
    <row r="14" spans="2:32" s="1375" customFormat="1" ht="17.1" customHeight="1" thickBot="1" thickTop="1">
      <c r="B14" s="1389"/>
      <c r="C14" s="1390"/>
      <c r="D14" s="1390"/>
      <c r="E14" s="1390"/>
      <c r="F14" s="1409" t="s">
        <v>90</v>
      </c>
      <c r="G14" s="1410">
        <v>506.119</v>
      </c>
      <c r="H14" s="1411"/>
      <c r="I14" s="1390"/>
      <c r="J14" s="1390"/>
      <c r="K14" s="1390"/>
      <c r="L14" s="1390"/>
      <c r="M14" s="1390"/>
      <c r="N14" s="1390"/>
      <c r="O14" s="1390"/>
      <c r="P14" s="1390"/>
      <c r="Q14" s="1390"/>
      <c r="R14" s="1390"/>
      <c r="S14" s="1390"/>
      <c r="T14" s="1390"/>
      <c r="U14" s="1390"/>
      <c r="V14" s="1390"/>
      <c r="W14" s="1390"/>
      <c r="X14" s="1390"/>
      <c r="Y14" s="1390"/>
      <c r="Z14" s="1390"/>
      <c r="AA14" s="1390"/>
      <c r="AB14" s="1390"/>
      <c r="AC14" s="1390"/>
      <c r="AD14" s="1390"/>
      <c r="AE14" s="1390"/>
      <c r="AF14" s="1391"/>
    </row>
    <row r="15" spans="2:32" s="1375" customFormat="1" ht="17.1" customHeight="1" thickBot="1" thickTop="1">
      <c r="B15" s="1389"/>
      <c r="C15" s="1390"/>
      <c r="D15" s="1390"/>
      <c r="E15" s="1390"/>
      <c r="F15" s="1409" t="s">
        <v>91</v>
      </c>
      <c r="G15" s="1410" t="s">
        <v>357</v>
      </c>
      <c r="H15" s="1411"/>
      <c r="I15" s="1390"/>
      <c r="J15" s="1390"/>
      <c r="K15" s="1390"/>
      <c r="L15" s="1412"/>
      <c r="M15" s="1413"/>
      <c r="N15" s="1390"/>
      <c r="O15" s="1390"/>
      <c r="P15" s="1390"/>
      <c r="Q15" s="1390"/>
      <c r="R15" s="1390"/>
      <c r="S15" s="1390"/>
      <c r="T15" s="1390"/>
      <c r="U15" s="1390"/>
      <c r="V15" s="1390"/>
      <c r="W15" s="1390"/>
      <c r="X15" s="1414"/>
      <c r="Y15" s="1414"/>
      <c r="Z15" s="1414"/>
      <c r="AA15" s="1414"/>
      <c r="AB15" s="1414"/>
      <c r="AC15" s="1414"/>
      <c r="AD15" s="1414"/>
      <c r="AF15" s="1391"/>
    </row>
    <row r="16" spans="2:32" s="1375" customFormat="1" ht="17.1" customHeight="1" thickBot="1" thickTop="1">
      <c r="B16" s="1389"/>
      <c r="C16" s="1415">
        <v>3</v>
      </c>
      <c r="D16" s="1415">
        <v>4</v>
      </c>
      <c r="E16" s="1415">
        <v>5</v>
      </c>
      <c r="F16" s="1415">
        <v>6</v>
      </c>
      <c r="G16" s="1415">
        <v>7</v>
      </c>
      <c r="H16" s="1415">
        <v>8</v>
      </c>
      <c r="I16" s="1415">
        <v>9</v>
      </c>
      <c r="J16" s="1415">
        <v>10</v>
      </c>
      <c r="K16" s="1415">
        <v>11</v>
      </c>
      <c r="L16" s="1415">
        <v>12</v>
      </c>
      <c r="M16" s="1415">
        <v>13</v>
      </c>
      <c r="N16" s="1415">
        <v>14</v>
      </c>
      <c r="O16" s="1415">
        <v>15</v>
      </c>
      <c r="P16" s="1415">
        <v>16</v>
      </c>
      <c r="Q16" s="1415">
        <v>17</v>
      </c>
      <c r="R16" s="1415">
        <v>18</v>
      </c>
      <c r="S16" s="1415">
        <v>19</v>
      </c>
      <c r="T16" s="1415">
        <v>20</v>
      </c>
      <c r="U16" s="1415">
        <v>21</v>
      </c>
      <c r="V16" s="1415">
        <v>22</v>
      </c>
      <c r="W16" s="1415">
        <v>23</v>
      </c>
      <c r="X16" s="1415">
        <v>24</v>
      </c>
      <c r="Y16" s="1415">
        <v>25</v>
      </c>
      <c r="Z16" s="1415">
        <v>26</v>
      </c>
      <c r="AA16" s="1415">
        <v>27</v>
      </c>
      <c r="AB16" s="1415">
        <v>28</v>
      </c>
      <c r="AC16" s="1415">
        <v>29</v>
      </c>
      <c r="AD16" s="1415">
        <v>30</v>
      </c>
      <c r="AE16" s="1415">
        <v>31</v>
      </c>
      <c r="AF16" s="1391"/>
    </row>
    <row r="17" spans="2:32" s="1375" customFormat="1" ht="33.95" customHeight="1" thickBot="1" thickTop="1">
      <c r="B17" s="1389"/>
      <c r="C17" s="1416" t="s">
        <v>13</v>
      </c>
      <c r="D17" s="1416" t="s">
        <v>242</v>
      </c>
      <c r="E17" s="1416" t="s">
        <v>243</v>
      </c>
      <c r="F17" s="1417" t="s">
        <v>0</v>
      </c>
      <c r="G17" s="1418" t="s">
        <v>14</v>
      </c>
      <c r="H17" s="1419" t="s">
        <v>15</v>
      </c>
      <c r="I17" s="1420" t="s">
        <v>71</v>
      </c>
      <c r="J17" s="1421" t="s">
        <v>37</v>
      </c>
      <c r="K17" s="1422" t="s">
        <v>16</v>
      </c>
      <c r="L17" s="1417" t="s">
        <v>17</v>
      </c>
      <c r="M17" s="1423" t="s">
        <v>18</v>
      </c>
      <c r="N17" s="1424" t="s">
        <v>36</v>
      </c>
      <c r="O17" s="1419" t="s">
        <v>31</v>
      </c>
      <c r="P17" s="1424" t="s">
        <v>19</v>
      </c>
      <c r="Q17" s="1419" t="s">
        <v>58</v>
      </c>
      <c r="R17" s="1423" t="s">
        <v>59</v>
      </c>
      <c r="S17" s="1417" t="s">
        <v>32</v>
      </c>
      <c r="T17" s="1425" t="s">
        <v>20</v>
      </c>
      <c r="U17" s="1426" t="s">
        <v>21</v>
      </c>
      <c r="V17" s="1427" t="s">
        <v>60</v>
      </c>
      <c r="W17" s="1428"/>
      <c r="X17" s="1429"/>
      <c r="Y17" s="1430" t="s">
        <v>147</v>
      </c>
      <c r="Z17" s="1431"/>
      <c r="AA17" s="1432"/>
      <c r="AB17" s="1433" t="s">
        <v>22</v>
      </c>
      <c r="AC17" s="1434" t="s">
        <v>73</v>
      </c>
      <c r="AD17" s="1435" t="s">
        <v>74</v>
      </c>
      <c r="AE17" s="1435" t="s">
        <v>24</v>
      </c>
      <c r="AF17" s="1436"/>
    </row>
    <row r="18" spans="2:32" s="1375" customFormat="1" ht="17.1" customHeight="1" thickTop="1">
      <c r="B18" s="1389"/>
      <c r="C18" s="1437"/>
      <c r="D18" s="1437"/>
      <c r="E18" s="1437"/>
      <c r="F18" s="1438"/>
      <c r="G18" s="1438"/>
      <c r="H18" s="1439"/>
      <c r="I18" s="1440"/>
      <c r="J18" s="1441"/>
      <c r="K18" s="1442"/>
      <c r="L18" s="1443"/>
      <c r="M18" s="1443"/>
      <c r="N18" s="1440"/>
      <c r="O18" s="1440"/>
      <c r="P18" s="1440"/>
      <c r="Q18" s="1440"/>
      <c r="R18" s="1440"/>
      <c r="S18" s="1440"/>
      <c r="T18" s="1444"/>
      <c r="U18" s="1445"/>
      <c r="V18" s="1446"/>
      <c r="W18" s="1447"/>
      <c r="X18" s="1448"/>
      <c r="Y18" s="1449"/>
      <c r="Z18" s="1450"/>
      <c r="AA18" s="1451"/>
      <c r="AB18" s="1452"/>
      <c r="AC18" s="1453"/>
      <c r="AD18" s="1440"/>
      <c r="AE18" s="1454"/>
      <c r="AF18" s="1391"/>
    </row>
    <row r="19" spans="2:32" s="1375" customFormat="1" ht="17.1" customHeight="1">
      <c r="B19" s="1389"/>
      <c r="C19" s="1455"/>
      <c r="D19" s="1455"/>
      <c r="E19" s="1455"/>
      <c r="F19" s="1456"/>
      <c r="G19" s="1457"/>
      <c r="H19" s="1458"/>
      <c r="I19" s="1457"/>
      <c r="J19" s="1459">
        <f aca="true" t="shared" si="0" ref="J19:J39">IF(I19="A",200,IF(I19="B",60,20))</f>
        <v>20</v>
      </c>
      <c r="K19" s="1460" t="e">
        <f>IF(G19=500,IF(H19&lt;100,100*$G$14/100,H19*$G$14/100),IF(H19&lt;100,100*$G$15/100,H19*$G$15/100))</f>
        <v>#VALUE!</v>
      </c>
      <c r="L19" s="1461"/>
      <c r="M19" s="1462"/>
      <c r="N19" s="1463" t="str">
        <f aca="true" t="shared" si="1" ref="N19:N39">IF(F19="","",(M19-L19)*24)</f>
        <v/>
      </c>
      <c r="O19" s="1464" t="str">
        <f aca="true" t="shared" si="2" ref="O19:O39">IF(F19="","",ROUND((M19-L19)*24*60,0))</f>
        <v/>
      </c>
      <c r="P19" s="1465"/>
      <c r="Q19" s="1466" t="str">
        <f aca="true" t="shared" si="3" ref="Q19:Q39">IF(F19="","","--")</f>
        <v/>
      </c>
      <c r="R19" s="1467" t="str">
        <f aca="true" t="shared" si="4" ref="R19:R39">IF(F19="","","NO")</f>
        <v/>
      </c>
      <c r="S19" s="1467" t="str">
        <f aca="true" t="shared" si="5" ref="S19:S39">IF(F19="","",IF(OR(P19="P",P19="RP"),"--","NO"))</f>
        <v/>
      </c>
      <c r="T19" s="1468" t="str">
        <f aca="true" t="shared" si="6" ref="T19:T39">IF(P19="P",K19*J19*ROUND(O19/60,2)*0.01,"--")</f>
        <v>--</v>
      </c>
      <c r="U19" s="1469" t="str">
        <f aca="true" t="shared" si="7" ref="U19:U39">IF(P19="RP",K19*J19*ROUND(O19/60,2)*0.01*Q19/100,"--")</f>
        <v>--</v>
      </c>
      <c r="V19" s="1470" t="str">
        <f aca="true" t="shared" si="8" ref="V19:V39">IF(AND(P19="F",S19="NO"),K19*J19*IF(R19="SI",1.2,1),"--")</f>
        <v>--</v>
      </c>
      <c r="W19" s="1471" t="str">
        <f aca="true" t="shared" si="9" ref="W19:W39">IF(AND(P19="F",O19&gt;=10),K19*J19*IF(R19="SI",1.2,1)*IF(O19&lt;=300,ROUND(O19/60,2),5),"--")</f>
        <v>--</v>
      </c>
      <c r="X19" s="1472" t="str">
        <f aca="true" t="shared" si="10" ref="X19:X39">IF(AND(P19="F",O19&gt;300),(ROUND(O19/60,2)-5)*K19*J19*0.1*IF(R19="SI",1.2,1),"--")</f>
        <v>--</v>
      </c>
      <c r="Y19" s="1473" t="str">
        <f aca="true" t="shared" si="11" ref="Y19:Y39">IF(AND(P19="R",S19="NO"),K19*J19*Q19/100*IF(R19="SI",1.2,1),"--")</f>
        <v>--</v>
      </c>
      <c r="Z19" s="1474" t="str">
        <f aca="true" t="shared" si="12" ref="Z19:Z39">IF(AND(P19="R",O19&gt;=10),K19*J19*Q19/100*IF(R19="SI",1.2,1)*IF(O19&lt;=300,ROUND(O19/60,2),5),"--")</f>
        <v>--</v>
      </c>
      <c r="AA19" s="1475" t="str">
        <f aca="true" t="shared" si="13" ref="AA19:AA39">IF(AND(P19="R",O19&gt;300),(ROUND(O19/60,2)-5)*K19*J19*0.1*Q19/100*IF(R19="SI",1.2,1),"--")</f>
        <v>--</v>
      </c>
      <c r="AB19" s="1476" t="str">
        <f aca="true" t="shared" si="14" ref="AB19:AB39">IF(P19="RF",ROUND(O19/60,2)*K19*J19*0.1*IF(R19="SI",1.2,1),"--")</f>
        <v>--</v>
      </c>
      <c r="AC19" s="1477" t="str">
        <f aca="true" t="shared" si="15" ref="AC19:AC39">IF(P19="RR",ROUND(O19/60,2)*K19*J19*0.1*Q19/100*IF(R19="SI",1.2,1),"--")</f>
        <v>--</v>
      </c>
      <c r="AD19" s="1478" t="str">
        <f>IF(F19="","","SI")</f>
        <v/>
      </c>
      <c r="AE19" s="1479" t="str">
        <f aca="true" t="shared" si="16" ref="AE19:AE39">IF(F19="","",SUM(T19:AC19)*IF(AD19="SI",1,2))</f>
        <v/>
      </c>
      <c r="AF19" s="1391"/>
    </row>
    <row r="20" spans="2:32" s="1375" customFormat="1" ht="17.1" customHeight="1">
      <c r="B20" s="1389"/>
      <c r="C20" s="1480">
        <v>32</v>
      </c>
      <c r="D20" s="149">
        <v>297782</v>
      </c>
      <c r="E20" s="149">
        <v>2028</v>
      </c>
      <c r="F20" s="141" t="s">
        <v>317</v>
      </c>
      <c r="G20" s="144">
        <v>500</v>
      </c>
      <c r="H20" s="749">
        <v>506</v>
      </c>
      <c r="I20" s="1482" t="s">
        <v>303</v>
      </c>
      <c r="J20" s="1459">
        <f t="shared" si="0"/>
        <v>20</v>
      </c>
      <c r="K20" s="1460">
        <f aca="true" t="shared" si="17" ref="K20:K39">IF(G20=500,IF(H20&lt;100,100*$G$14/100,H20*$G$14/100),IF(H20&lt;100,100*$G$15/100,H20*$G$15/100))</f>
        <v>2560.96214</v>
      </c>
      <c r="L20" s="1484">
        <v>42389.04652777778</v>
      </c>
      <c r="M20" s="1485">
        <v>42389.25</v>
      </c>
      <c r="N20" s="1463">
        <f t="shared" si="1"/>
        <v>4.883333333360497</v>
      </c>
      <c r="O20" s="1464">
        <f t="shared" si="2"/>
        <v>293</v>
      </c>
      <c r="P20" s="1486" t="s">
        <v>308</v>
      </c>
      <c r="Q20" s="1466" t="str">
        <f t="shared" si="3"/>
        <v>--</v>
      </c>
      <c r="R20" s="1467" t="str">
        <f t="shared" si="4"/>
        <v>NO</v>
      </c>
      <c r="S20" s="1467" t="s">
        <v>213</v>
      </c>
      <c r="T20" s="1468" t="str">
        <f t="shared" si="6"/>
        <v>--</v>
      </c>
      <c r="U20" s="1469" t="str">
        <f t="shared" si="7"/>
        <v>--</v>
      </c>
      <c r="V20" s="1470" t="str">
        <f t="shared" si="8"/>
        <v>--</v>
      </c>
      <c r="W20" s="1471">
        <f t="shared" si="9"/>
        <v>249949.90486399998</v>
      </c>
      <c r="X20" s="1472" t="str">
        <f t="shared" si="10"/>
        <v>--</v>
      </c>
      <c r="Y20" s="1473" t="str">
        <f t="shared" si="11"/>
        <v>--</v>
      </c>
      <c r="Z20" s="1474" t="str">
        <f t="shared" si="12"/>
        <v>--</v>
      </c>
      <c r="AA20" s="1475" t="str">
        <f t="shared" si="13"/>
        <v>--</v>
      </c>
      <c r="AB20" s="1476" t="str">
        <f t="shared" si="14"/>
        <v>--</v>
      </c>
      <c r="AC20" s="1477" t="str">
        <f t="shared" si="15"/>
        <v>--</v>
      </c>
      <c r="AD20" s="1487" t="s">
        <v>213</v>
      </c>
      <c r="AE20" s="1479">
        <f t="shared" si="16"/>
        <v>249949.90486399998</v>
      </c>
      <c r="AF20" s="1488"/>
    </row>
    <row r="21" spans="2:32" s="1375" customFormat="1" ht="17.1" customHeight="1">
      <c r="B21" s="1389"/>
      <c r="C21" s="1489"/>
      <c r="D21" s="1489"/>
      <c r="E21" s="1489"/>
      <c r="F21" s="1481"/>
      <c r="G21" s="1482"/>
      <c r="H21" s="1483"/>
      <c r="I21" s="1482"/>
      <c r="J21" s="1459">
        <f t="shared" si="0"/>
        <v>20</v>
      </c>
      <c r="K21" s="1460" t="e">
        <f t="shared" si="17"/>
        <v>#VALUE!</v>
      </c>
      <c r="L21" s="1484"/>
      <c r="M21" s="1485"/>
      <c r="N21" s="1463" t="str">
        <f>IF(F21="","",(M21-L21)*24)</f>
        <v/>
      </c>
      <c r="O21" s="1464" t="str">
        <f>IF(F21="","",ROUND((M21-L21)*24*60,0))</f>
        <v/>
      </c>
      <c r="P21" s="1486"/>
      <c r="Q21" s="1466" t="str">
        <f>IF(F21="","","--")</f>
        <v/>
      </c>
      <c r="R21" s="1467" t="str">
        <f>IF(F21="","","NO")</f>
        <v/>
      </c>
      <c r="S21" s="1467" t="str">
        <f>IF(F21="","",IF(OR(P21="P",P21="RP"),"--","NO"))</f>
        <v/>
      </c>
      <c r="T21" s="1468" t="str">
        <f>IF(P21="P",K21*J21*ROUND(O21/60,2)*0.01,"--")</f>
        <v>--</v>
      </c>
      <c r="U21" s="1469" t="str">
        <f>IF(P21="RP",K21*J21*ROUND(O21/60,2)*0.01*Q21/100,"--")</f>
        <v>--</v>
      </c>
      <c r="V21" s="1470" t="str">
        <f>IF(AND(P21="F",S21="NO"),K21*J21*IF(R21="SI",1.2,1),"--")</f>
        <v>--</v>
      </c>
      <c r="W21" s="1471" t="str">
        <f>IF(AND(P21="F",O21&gt;=10),K21*J21*IF(R21="SI",1.2,1)*IF(O21&lt;=300,ROUND(O21/60,2),5),"--")</f>
        <v>--</v>
      </c>
      <c r="X21" s="1472" t="str">
        <f>IF(AND(P21="F",O21&gt;300),(ROUND(O21/60,2)-5)*K21*J21*0.1*IF(R21="SI",1.2,1),"--")</f>
        <v>--</v>
      </c>
      <c r="Y21" s="1473" t="str">
        <f>IF(AND(P21="R",S21="NO"),K21*J21*Q21/100*IF(R21="SI",1.2,1),"--")</f>
        <v>--</v>
      </c>
      <c r="Z21" s="1474" t="str">
        <f>IF(AND(P21="R",O21&gt;=10),K21*J21*Q21/100*IF(R21="SI",1.2,1)*IF(O21&lt;=300,ROUND(O21/60,2),5),"--")</f>
        <v>--</v>
      </c>
      <c r="AA21" s="1475" t="str">
        <f>IF(AND(P21="R",O21&gt;300),(ROUND(O21/60,2)-5)*K21*J21*0.1*Q21/100*IF(R21="SI",1.2,1),"--")</f>
        <v>--</v>
      </c>
      <c r="AB21" s="1476" t="str">
        <f>IF(P21="RF",ROUND(O21/60,2)*K21*J21*0.1*IF(R21="SI",1.2,1),"--")</f>
        <v>--</v>
      </c>
      <c r="AC21" s="1477" t="str">
        <f>IF(P21="RR",ROUND(O21/60,2)*K21*J21*0.1*Q21/100*IF(R21="SI",1.2,1),"--")</f>
        <v>--</v>
      </c>
      <c r="AD21" s="1487"/>
      <c r="AE21" s="1479" t="str">
        <f>IF(F21="","",SUM(T21:AC21)*IF(AD21="SI",1,2))</f>
        <v/>
      </c>
      <c r="AF21" s="1488"/>
    </row>
    <row r="22" spans="2:32" s="1375" customFormat="1" ht="17.1" customHeight="1">
      <c r="B22" s="1389"/>
      <c r="C22" s="1480"/>
      <c r="D22" s="1480"/>
      <c r="E22" s="1480"/>
      <c r="F22" s="1481"/>
      <c r="G22" s="1482"/>
      <c r="H22" s="1483"/>
      <c r="I22" s="1482"/>
      <c r="J22" s="1459">
        <f t="shared" si="0"/>
        <v>20</v>
      </c>
      <c r="K22" s="1460" t="e">
        <f t="shared" si="17"/>
        <v>#VALUE!</v>
      </c>
      <c r="L22" s="1484"/>
      <c r="M22" s="1485"/>
      <c r="N22" s="1463" t="str">
        <f>IF(F22="","",(M22-L22)*24)</f>
        <v/>
      </c>
      <c r="O22" s="1464" t="str">
        <f>IF(F22="","",ROUND((M22-L22)*24*60,0))</f>
        <v/>
      </c>
      <c r="P22" s="1486"/>
      <c r="Q22" s="1466" t="str">
        <f>IF(F22="","","--")</f>
        <v/>
      </c>
      <c r="R22" s="1467" t="str">
        <f>IF(F22="","","NO")</f>
        <v/>
      </c>
      <c r="S22" s="1467" t="str">
        <f>IF(F22="","",IF(OR(P22="P",P22="RP"),"--","NO"))</f>
        <v/>
      </c>
      <c r="T22" s="1468" t="str">
        <f>IF(P22="P",K22*J22*ROUND(O22/60,2)*0.01,"--")</f>
        <v>--</v>
      </c>
      <c r="U22" s="1469" t="str">
        <f>IF(P22="RP",K22*J22*ROUND(O22/60,2)*0.01*Q22/100,"--")</f>
        <v>--</v>
      </c>
      <c r="V22" s="1470" t="str">
        <f>IF(AND(P22="F",S22="NO"),K22*J22*IF(R22="SI",1.2,1),"--")</f>
        <v>--</v>
      </c>
      <c r="W22" s="1471" t="str">
        <f>IF(AND(P22="F",O22&gt;=10),K22*J22*IF(R22="SI",1.2,1)*IF(O22&lt;=300,ROUND(O22/60,2),5),"--")</f>
        <v>--</v>
      </c>
      <c r="X22" s="1472" t="str">
        <f>IF(AND(P22="F",O22&gt;300),(ROUND(O22/60,2)-5)*K22*J22*0.1*IF(R22="SI",1.2,1),"--")</f>
        <v>--</v>
      </c>
      <c r="Y22" s="1473" t="str">
        <f>IF(AND(P22="R",S22="NO"),K22*J22*Q22/100*IF(R22="SI",1.2,1),"--")</f>
        <v>--</v>
      </c>
      <c r="Z22" s="1474" t="str">
        <f>IF(AND(P22="R",O22&gt;=10),K22*J22*Q22/100*IF(R22="SI",1.2,1)*IF(O22&lt;=300,ROUND(O22/60,2),5),"--")</f>
        <v>--</v>
      </c>
      <c r="AA22" s="1475" t="str">
        <f>IF(AND(P22="R",O22&gt;300),(ROUND(O22/60,2)-5)*K22*J22*0.1*Q22/100*IF(R22="SI",1.2,1),"--")</f>
        <v>--</v>
      </c>
      <c r="AB22" s="1476" t="str">
        <f>IF(P22="RF",ROUND(O22/60,2)*K22*J22*0.1*IF(R22="SI",1.2,1),"--")</f>
        <v>--</v>
      </c>
      <c r="AC22" s="1477" t="str">
        <f>IF(P22="RR",ROUND(O22/60,2)*K22*J22*0.1*Q22/100*IF(R22="SI",1.2,1),"--")</f>
        <v>--</v>
      </c>
      <c r="AD22" s="1487"/>
      <c r="AE22" s="1479" t="str">
        <f>IF(F22="","",SUM(T22:AC22)*IF(AD22="SI",1,2))</f>
        <v/>
      </c>
      <c r="AF22" s="1488"/>
    </row>
    <row r="23" spans="2:32" s="1375" customFormat="1" ht="17.1" customHeight="1">
      <c r="B23" s="1389"/>
      <c r="C23" s="1489"/>
      <c r="D23" s="1489"/>
      <c r="E23" s="1489"/>
      <c r="F23" s="1481"/>
      <c r="G23" s="1482"/>
      <c r="H23" s="1483"/>
      <c r="I23" s="1482"/>
      <c r="J23" s="1459">
        <f t="shared" si="0"/>
        <v>20</v>
      </c>
      <c r="K23" s="1460" t="e">
        <f t="shared" si="17"/>
        <v>#VALUE!</v>
      </c>
      <c r="L23" s="1484"/>
      <c r="M23" s="1485"/>
      <c r="N23" s="1463" t="str">
        <f>IF(F23="","",(M23-L23)*24)</f>
        <v/>
      </c>
      <c r="O23" s="1464" t="str">
        <f>IF(F23="","",ROUND((M23-L23)*24*60,0))</f>
        <v/>
      </c>
      <c r="P23" s="1486"/>
      <c r="Q23" s="1466" t="str">
        <f>IF(F23="","","--")</f>
        <v/>
      </c>
      <c r="R23" s="1467" t="str">
        <f>IF(F23="","","NO")</f>
        <v/>
      </c>
      <c r="S23" s="1467" t="str">
        <f>IF(F23="","",IF(OR(P23="P",P23="RP"),"--","NO"))</f>
        <v/>
      </c>
      <c r="T23" s="1468" t="str">
        <f>IF(P23="P",K23*J23*ROUND(O23/60,2)*0.01,"--")</f>
        <v>--</v>
      </c>
      <c r="U23" s="1469" t="str">
        <f>IF(P23="RP",K23*J23*ROUND(O23/60,2)*0.01*Q23/100,"--")</f>
        <v>--</v>
      </c>
      <c r="V23" s="1470" t="str">
        <f>IF(AND(P23="F",S23="NO"),K23*J23*IF(R23="SI",1.2,1),"--")</f>
        <v>--</v>
      </c>
      <c r="W23" s="1471" t="str">
        <f>IF(AND(P23="F",O23&gt;=10),K23*J23*IF(R23="SI",1.2,1)*IF(O23&lt;=300,ROUND(O23/60,2),5),"--")</f>
        <v>--</v>
      </c>
      <c r="X23" s="1472" t="str">
        <f>IF(AND(P23="F",O23&gt;300),(ROUND(O23/60,2)-5)*K23*J23*0.1*IF(R23="SI",1.2,1),"--")</f>
        <v>--</v>
      </c>
      <c r="Y23" s="1473" t="str">
        <f>IF(AND(P23="R",S23="NO"),K23*J23*Q23/100*IF(R23="SI",1.2,1),"--")</f>
        <v>--</v>
      </c>
      <c r="Z23" s="1474" t="str">
        <f>IF(AND(P23="R",O23&gt;=10),K23*J23*Q23/100*IF(R23="SI",1.2,1)*IF(O23&lt;=300,ROUND(O23/60,2),5),"--")</f>
        <v>--</v>
      </c>
      <c r="AA23" s="1475" t="str">
        <f>IF(AND(P23="R",O23&gt;300),(ROUND(O23/60,2)-5)*K23*J23*0.1*Q23/100*IF(R23="SI",1.2,1),"--")</f>
        <v>--</v>
      </c>
      <c r="AB23" s="1476" t="str">
        <f>IF(P23="RF",ROUND(O23/60,2)*K23*J23*0.1*IF(R23="SI",1.2,1),"--")</f>
        <v>--</v>
      </c>
      <c r="AC23" s="1477" t="str">
        <f>IF(P23="RR",ROUND(O23/60,2)*K23*J23*0.1*Q23/100*IF(R23="SI",1.2,1),"--")</f>
        <v>--</v>
      </c>
      <c r="AD23" s="1487"/>
      <c r="AE23" s="1479" t="str">
        <f>IF(F23="","",SUM(T23:AC23)*IF(AD23="SI",1,2))</f>
        <v/>
      </c>
      <c r="AF23" s="1488"/>
    </row>
    <row r="24" spans="2:32" s="1375" customFormat="1" ht="17.1" customHeight="1">
      <c r="B24" s="1389"/>
      <c r="C24" s="1490"/>
      <c r="D24" s="1490"/>
      <c r="E24" s="1490"/>
      <c r="F24" s="1490"/>
      <c r="G24" s="1491"/>
      <c r="H24" s="1492"/>
      <c r="I24" s="1491"/>
      <c r="J24" s="1459">
        <f t="shared" si="0"/>
        <v>20</v>
      </c>
      <c r="K24" s="1460" t="e">
        <f t="shared" si="17"/>
        <v>#VALUE!</v>
      </c>
      <c r="L24" s="1461"/>
      <c r="M24" s="1462"/>
      <c r="N24" s="1463" t="str">
        <f t="shared" si="1"/>
        <v/>
      </c>
      <c r="O24" s="1464" t="str">
        <f t="shared" si="2"/>
        <v/>
      </c>
      <c r="P24" s="1465"/>
      <c r="Q24" s="1466" t="str">
        <f t="shared" si="3"/>
        <v/>
      </c>
      <c r="R24" s="1467" t="str">
        <f t="shared" si="4"/>
        <v/>
      </c>
      <c r="S24" s="1467" t="str">
        <f t="shared" si="5"/>
        <v/>
      </c>
      <c r="T24" s="1468" t="str">
        <f t="shared" si="6"/>
        <v>--</v>
      </c>
      <c r="U24" s="1469" t="str">
        <f t="shared" si="7"/>
        <v>--</v>
      </c>
      <c r="V24" s="1470" t="str">
        <f t="shared" si="8"/>
        <v>--</v>
      </c>
      <c r="W24" s="1471" t="str">
        <f t="shared" si="9"/>
        <v>--</v>
      </c>
      <c r="X24" s="1472" t="str">
        <f t="shared" si="10"/>
        <v>--</v>
      </c>
      <c r="Y24" s="1473" t="str">
        <f t="shared" si="11"/>
        <v>--</v>
      </c>
      <c r="Z24" s="1474" t="str">
        <f t="shared" si="12"/>
        <v>--</v>
      </c>
      <c r="AA24" s="1475" t="str">
        <f t="shared" si="13"/>
        <v>--</v>
      </c>
      <c r="AB24" s="1476" t="str">
        <f t="shared" si="14"/>
        <v>--</v>
      </c>
      <c r="AC24" s="1477" t="str">
        <f t="shared" si="15"/>
        <v>--</v>
      </c>
      <c r="AD24" s="1487" t="str">
        <f aca="true" t="shared" si="18" ref="AD24:AD39">IF(F24="","","SI")</f>
        <v/>
      </c>
      <c r="AE24" s="1479" t="str">
        <f t="shared" si="16"/>
        <v/>
      </c>
      <c r="AF24" s="1488"/>
    </row>
    <row r="25" spans="2:32" s="1375" customFormat="1" ht="17.1" customHeight="1">
      <c r="B25" s="1389"/>
      <c r="C25" s="1493"/>
      <c r="D25" s="1493"/>
      <c r="E25" s="1493"/>
      <c r="F25" s="1490"/>
      <c r="G25" s="1491"/>
      <c r="H25" s="1492"/>
      <c r="I25" s="1491"/>
      <c r="J25" s="1459">
        <f t="shared" si="0"/>
        <v>20</v>
      </c>
      <c r="K25" s="1460" t="e">
        <f t="shared" si="17"/>
        <v>#VALUE!</v>
      </c>
      <c r="L25" s="1461"/>
      <c r="M25" s="1462"/>
      <c r="N25" s="1463" t="str">
        <f t="shared" si="1"/>
        <v/>
      </c>
      <c r="O25" s="1464" t="str">
        <f t="shared" si="2"/>
        <v/>
      </c>
      <c r="P25" s="1465"/>
      <c r="Q25" s="1466" t="str">
        <f t="shared" si="3"/>
        <v/>
      </c>
      <c r="R25" s="1467" t="str">
        <f t="shared" si="4"/>
        <v/>
      </c>
      <c r="S25" s="1467" t="str">
        <f t="shared" si="5"/>
        <v/>
      </c>
      <c r="T25" s="1468" t="str">
        <f t="shared" si="6"/>
        <v>--</v>
      </c>
      <c r="U25" s="1469" t="str">
        <f t="shared" si="7"/>
        <v>--</v>
      </c>
      <c r="V25" s="1470" t="str">
        <f t="shared" si="8"/>
        <v>--</v>
      </c>
      <c r="W25" s="1471" t="str">
        <f t="shared" si="9"/>
        <v>--</v>
      </c>
      <c r="X25" s="1472" t="str">
        <f t="shared" si="10"/>
        <v>--</v>
      </c>
      <c r="Y25" s="1473" t="str">
        <f t="shared" si="11"/>
        <v>--</v>
      </c>
      <c r="Z25" s="1474" t="str">
        <f t="shared" si="12"/>
        <v>--</v>
      </c>
      <c r="AA25" s="1475" t="str">
        <f t="shared" si="13"/>
        <v>--</v>
      </c>
      <c r="AB25" s="1476" t="str">
        <f t="shared" si="14"/>
        <v>--</v>
      </c>
      <c r="AC25" s="1477" t="str">
        <f t="shared" si="15"/>
        <v>--</v>
      </c>
      <c r="AD25" s="1487" t="str">
        <f t="shared" si="18"/>
        <v/>
      </c>
      <c r="AE25" s="1479" t="str">
        <f t="shared" si="16"/>
        <v/>
      </c>
      <c r="AF25" s="1488"/>
    </row>
    <row r="26" spans="2:32" s="1375" customFormat="1" ht="17.1" customHeight="1">
      <c r="B26" s="1389"/>
      <c r="C26" s="1490"/>
      <c r="D26" s="1490"/>
      <c r="E26" s="1490"/>
      <c r="F26" s="1494"/>
      <c r="G26" s="1495"/>
      <c r="H26" s="1496"/>
      <c r="I26" s="1495"/>
      <c r="J26" s="1459">
        <f t="shared" si="0"/>
        <v>20</v>
      </c>
      <c r="K26" s="1460" t="e">
        <f t="shared" si="17"/>
        <v>#VALUE!</v>
      </c>
      <c r="L26" s="1497"/>
      <c r="M26" s="1498"/>
      <c r="N26" s="1463" t="str">
        <f t="shared" si="1"/>
        <v/>
      </c>
      <c r="O26" s="1464" t="str">
        <f t="shared" si="2"/>
        <v/>
      </c>
      <c r="P26" s="1465"/>
      <c r="Q26" s="1466" t="str">
        <f t="shared" si="3"/>
        <v/>
      </c>
      <c r="R26" s="1467" t="str">
        <f t="shared" si="4"/>
        <v/>
      </c>
      <c r="S26" s="1467" t="str">
        <f t="shared" si="5"/>
        <v/>
      </c>
      <c r="T26" s="1468" t="str">
        <f t="shared" si="6"/>
        <v>--</v>
      </c>
      <c r="U26" s="1469" t="str">
        <f t="shared" si="7"/>
        <v>--</v>
      </c>
      <c r="V26" s="1470" t="str">
        <f t="shared" si="8"/>
        <v>--</v>
      </c>
      <c r="W26" s="1471" t="str">
        <f t="shared" si="9"/>
        <v>--</v>
      </c>
      <c r="X26" s="1472" t="str">
        <f t="shared" si="10"/>
        <v>--</v>
      </c>
      <c r="Y26" s="1473" t="str">
        <f t="shared" si="11"/>
        <v>--</v>
      </c>
      <c r="Z26" s="1474" t="str">
        <f t="shared" si="12"/>
        <v>--</v>
      </c>
      <c r="AA26" s="1475" t="str">
        <f t="shared" si="13"/>
        <v>--</v>
      </c>
      <c r="AB26" s="1476" t="str">
        <f t="shared" si="14"/>
        <v>--</v>
      </c>
      <c r="AC26" s="1477" t="str">
        <f t="shared" si="15"/>
        <v>--</v>
      </c>
      <c r="AD26" s="1487" t="str">
        <f t="shared" si="18"/>
        <v/>
      </c>
      <c r="AE26" s="1479" t="str">
        <f t="shared" si="16"/>
        <v/>
      </c>
      <c r="AF26" s="1488"/>
    </row>
    <row r="27" spans="2:32" s="1375" customFormat="1" ht="17.1" customHeight="1">
      <c r="B27" s="1389"/>
      <c r="C27" s="1493"/>
      <c r="D27" s="1493"/>
      <c r="E27" s="1493"/>
      <c r="F27" s="1494"/>
      <c r="G27" s="1495"/>
      <c r="H27" s="1496"/>
      <c r="I27" s="1495"/>
      <c r="J27" s="1459">
        <f t="shared" si="0"/>
        <v>20</v>
      </c>
      <c r="K27" s="1460" t="e">
        <f t="shared" si="17"/>
        <v>#VALUE!</v>
      </c>
      <c r="L27" s="1497"/>
      <c r="M27" s="1498"/>
      <c r="N27" s="1463" t="str">
        <f t="shared" si="1"/>
        <v/>
      </c>
      <c r="O27" s="1464" t="str">
        <f t="shared" si="2"/>
        <v/>
      </c>
      <c r="P27" s="1465"/>
      <c r="Q27" s="1466" t="str">
        <f t="shared" si="3"/>
        <v/>
      </c>
      <c r="R27" s="1467" t="str">
        <f t="shared" si="4"/>
        <v/>
      </c>
      <c r="S27" s="1467" t="str">
        <f t="shared" si="5"/>
        <v/>
      </c>
      <c r="T27" s="1468" t="str">
        <f t="shared" si="6"/>
        <v>--</v>
      </c>
      <c r="U27" s="1469" t="str">
        <f t="shared" si="7"/>
        <v>--</v>
      </c>
      <c r="V27" s="1470" t="str">
        <f t="shared" si="8"/>
        <v>--</v>
      </c>
      <c r="W27" s="1471" t="str">
        <f t="shared" si="9"/>
        <v>--</v>
      </c>
      <c r="X27" s="1472" t="str">
        <f t="shared" si="10"/>
        <v>--</v>
      </c>
      <c r="Y27" s="1473" t="str">
        <f t="shared" si="11"/>
        <v>--</v>
      </c>
      <c r="Z27" s="1474" t="str">
        <f t="shared" si="12"/>
        <v>--</v>
      </c>
      <c r="AA27" s="1475" t="str">
        <f t="shared" si="13"/>
        <v>--</v>
      </c>
      <c r="AB27" s="1476" t="str">
        <f t="shared" si="14"/>
        <v>--</v>
      </c>
      <c r="AC27" s="1477" t="str">
        <f t="shared" si="15"/>
        <v>--</v>
      </c>
      <c r="AD27" s="1487" t="str">
        <f t="shared" si="18"/>
        <v/>
      </c>
      <c r="AE27" s="1479" t="str">
        <f t="shared" si="16"/>
        <v/>
      </c>
      <c r="AF27" s="1488"/>
    </row>
    <row r="28" spans="2:32" s="1375" customFormat="1" ht="17.1" customHeight="1">
      <c r="B28" s="1389"/>
      <c r="C28" s="1490"/>
      <c r="D28" s="1490"/>
      <c r="E28" s="1490"/>
      <c r="F28" s="1494"/>
      <c r="G28" s="1495"/>
      <c r="H28" s="1496"/>
      <c r="I28" s="1495"/>
      <c r="J28" s="1459">
        <f t="shared" si="0"/>
        <v>20</v>
      </c>
      <c r="K28" s="1460" t="e">
        <f t="shared" si="17"/>
        <v>#VALUE!</v>
      </c>
      <c r="L28" s="1497"/>
      <c r="M28" s="1498"/>
      <c r="N28" s="1463" t="str">
        <f t="shared" si="1"/>
        <v/>
      </c>
      <c r="O28" s="1464" t="str">
        <f t="shared" si="2"/>
        <v/>
      </c>
      <c r="P28" s="1465"/>
      <c r="Q28" s="1466" t="str">
        <f t="shared" si="3"/>
        <v/>
      </c>
      <c r="R28" s="1467" t="str">
        <f t="shared" si="4"/>
        <v/>
      </c>
      <c r="S28" s="1467" t="str">
        <f t="shared" si="5"/>
        <v/>
      </c>
      <c r="T28" s="1468" t="str">
        <f t="shared" si="6"/>
        <v>--</v>
      </c>
      <c r="U28" s="1469" t="str">
        <f t="shared" si="7"/>
        <v>--</v>
      </c>
      <c r="V28" s="1470" t="str">
        <f t="shared" si="8"/>
        <v>--</v>
      </c>
      <c r="W28" s="1471" t="str">
        <f t="shared" si="9"/>
        <v>--</v>
      </c>
      <c r="X28" s="1472" t="str">
        <f t="shared" si="10"/>
        <v>--</v>
      </c>
      <c r="Y28" s="1473" t="str">
        <f t="shared" si="11"/>
        <v>--</v>
      </c>
      <c r="Z28" s="1474" t="str">
        <f t="shared" si="12"/>
        <v>--</v>
      </c>
      <c r="AA28" s="1475" t="str">
        <f t="shared" si="13"/>
        <v>--</v>
      </c>
      <c r="AB28" s="1476" t="str">
        <f t="shared" si="14"/>
        <v>--</v>
      </c>
      <c r="AC28" s="1477" t="str">
        <f t="shared" si="15"/>
        <v>--</v>
      </c>
      <c r="AD28" s="1487" t="str">
        <f t="shared" si="18"/>
        <v/>
      </c>
      <c r="AE28" s="1479" t="str">
        <f t="shared" si="16"/>
        <v/>
      </c>
      <c r="AF28" s="1488"/>
    </row>
    <row r="29" spans="2:32" s="1375" customFormat="1" ht="17.1" customHeight="1">
      <c r="B29" s="1389"/>
      <c r="C29" s="1493"/>
      <c r="D29" s="1493"/>
      <c r="E29" s="1493"/>
      <c r="F29" s="1494"/>
      <c r="G29" s="1495"/>
      <c r="H29" s="1496"/>
      <c r="I29" s="1495"/>
      <c r="J29" s="1459">
        <f t="shared" si="0"/>
        <v>20</v>
      </c>
      <c r="K29" s="1460" t="e">
        <f t="shared" si="17"/>
        <v>#VALUE!</v>
      </c>
      <c r="L29" s="1497"/>
      <c r="M29" s="1498"/>
      <c r="N29" s="1463" t="str">
        <f t="shared" si="1"/>
        <v/>
      </c>
      <c r="O29" s="1464" t="str">
        <f t="shared" si="2"/>
        <v/>
      </c>
      <c r="P29" s="1465"/>
      <c r="Q29" s="1466" t="str">
        <f t="shared" si="3"/>
        <v/>
      </c>
      <c r="R29" s="1467" t="str">
        <f t="shared" si="4"/>
        <v/>
      </c>
      <c r="S29" s="1467" t="str">
        <f t="shared" si="5"/>
        <v/>
      </c>
      <c r="T29" s="1468" t="str">
        <f t="shared" si="6"/>
        <v>--</v>
      </c>
      <c r="U29" s="1469" t="str">
        <f t="shared" si="7"/>
        <v>--</v>
      </c>
      <c r="V29" s="1470" t="str">
        <f t="shared" si="8"/>
        <v>--</v>
      </c>
      <c r="W29" s="1471" t="str">
        <f t="shared" si="9"/>
        <v>--</v>
      </c>
      <c r="X29" s="1472" t="str">
        <f t="shared" si="10"/>
        <v>--</v>
      </c>
      <c r="Y29" s="1473" t="str">
        <f t="shared" si="11"/>
        <v>--</v>
      </c>
      <c r="Z29" s="1474" t="str">
        <f t="shared" si="12"/>
        <v>--</v>
      </c>
      <c r="AA29" s="1475" t="str">
        <f t="shared" si="13"/>
        <v>--</v>
      </c>
      <c r="AB29" s="1476" t="str">
        <f t="shared" si="14"/>
        <v>--</v>
      </c>
      <c r="AC29" s="1477" t="str">
        <f t="shared" si="15"/>
        <v>--</v>
      </c>
      <c r="AD29" s="1487" t="str">
        <f t="shared" si="18"/>
        <v/>
      </c>
      <c r="AE29" s="1479" t="str">
        <f t="shared" si="16"/>
        <v/>
      </c>
      <c r="AF29" s="1488"/>
    </row>
    <row r="30" spans="2:32" s="1375" customFormat="1" ht="17.1" customHeight="1">
      <c r="B30" s="1389"/>
      <c r="C30" s="1490"/>
      <c r="D30" s="1490"/>
      <c r="E30" s="1490"/>
      <c r="F30" s="1494"/>
      <c r="G30" s="1495"/>
      <c r="H30" s="1496"/>
      <c r="I30" s="1495"/>
      <c r="J30" s="1459">
        <f t="shared" si="0"/>
        <v>20</v>
      </c>
      <c r="K30" s="1460" t="e">
        <f t="shared" si="17"/>
        <v>#VALUE!</v>
      </c>
      <c r="L30" s="1497"/>
      <c r="M30" s="1498"/>
      <c r="N30" s="1463" t="str">
        <f t="shared" si="1"/>
        <v/>
      </c>
      <c r="O30" s="1464" t="str">
        <f t="shared" si="2"/>
        <v/>
      </c>
      <c r="P30" s="1465"/>
      <c r="Q30" s="1466" t="str">
        <f t="shared" si="3"/>
        <v/>
      </c>
      <c r="R30" s="1467" t="str">
        <f t="shared" si="4"/>
        <v/>
      </c>
      <c r="S30" s="1467" t="str">
        <f t="shared" si="5"/>
        <v/>
      </c>
      <c r="T30" s="1468" t="str">
        <f t="shared" si="6"/>
        <v>--</v>
      </c>
      <c r="U30" s="1469" t="str">
        <f t="shared" si="7"/>
        <v>--</v>
      </c>
      <c r="V30" s="1470" t="str">
        <f t="shared" si="8"/>
        <v>--</v>
      </c>
      <c r="W30" s="1471" t="str">
        <f t="shared" si="9"/>
        <v>--</v>
      </c>
      <c r="X30" s="1472" t="str">
        <f t="shared" si="10"/>
        <v>--</v>
      </c>
      <c r="Y30" s="1473" t="str">
        <f t="shared" si="11"/>
        <v>--</v>
      </c>
      <c r="Z30" s="1474" t="str">
        <f t="shared" si="12"/>
        <v>--</v>
      </c>
      <c r="AA30" s="1475" t="str">
        <f t="shared" si="13"/>
        <v>--</v>
      </c>
      <c r="AB30" s="1476" t="str">
        <f t="shared" si="14"/>
        <v>--</v>
      </c>
      <c r="AC30" s="1477" t="str">
        <f t="shared" si="15"/>
        <v>--</v>
      </c>
      <c r="AD30" s="1487" t="str">
        <f t="shared" si="18"/>
        <v/>
      </c>
      <c r="AE30" s="1479" t="str">
        <f t="shared" si="16"/>
        <v/>
      </c>
      <c r="AF30" s="1488"/>
    </row>
    <row r="31" spans="2:32" s="1375" customFormat="1" ht="17.1" customHeight="1">
      <c r="B31" s="1389"/>
      <c r="C31" s="1493"/>
      <c r="D31" s="1493"/>
      <c r="E31" s="1493"/>
      <c r="F31" s="1494"/>
      <c r="G31" s="1495"/>
      <c r="H31" s="1496"/>
      <c r="I31" s="1495"/>
      <c r="J31" s="1459">
        <f t="shared" si="0"/>
        <v>20</v>
      </c>
      <c r="K31" s="1460" t="e">
        <f t="shared" si="17"/>
        <v>#VALUE!</v>
      </c>
      <c r="L31" s="1497"/>
      <c r="M31" s="1499"/>
      <c r="N31" s="1463" t="str">
        <f t="shared" si="1"/>
        <v/>
      </c>
      <c r="O31" s="1464" t="str">
        <f t="shared" si="2"/>
        <v/>
      </c>
      <c r="P31" s="1465"/>
      <c r="Q31" s="1466" t="str">
        <f t="shared" si="3"/>
        <v/>
      </c>
      <c r="R31" s="1467" t="str">
        <f t="shared" si="4"/>
        <v/>
      </c>
      <c r="S31" s="1467" t="str">
        <f t="shared" si="5"/>
        <v/>
      </c>
      <c r="T31" s="1468" t="str">
        <f t="shared" si="6"/>
        <v>--</v>
      </c>
      <c r="U31" s="1469" t="str">
        <f t="shared" si="7"/>
        <v>--</v>
      </c>
      <c r="V31" s="1470" t="str">
        <f t="shared" si="8"/>
        <v>--</v>
      </c>
      <c r="W31" s="1471" t="str">
        <f t="shared" si="9"/>
        <v>--</v>
      </c>
      <c r="X31" s="1472" t="str">
        <f t="shared" si="10"/>
        <v>--</v>
      </c>
      <c r="Y31" s="1473" t="str">
        <f t="shared" si="11"/>
        <v>--</v>
      </c>
      <c r="Z31" s="1474" t="str">
        <f t="shared" si="12"/>
        <v>--</v>
      </c>
      <c r="AA31" s="1475" t="str">
        <f t="shared" si="13"/>
        <v>--</v>
      </c>
      <c r="AB31" s="1476" t="str">
        <f t="shared" si="14"/>
        <v>--</v>
      </c>
      <c r="AC31" s="1477" t="str">
        <f t="shared" si="15"/>
        <v>--</v>
      </c>
      <c r="AD31" s="1487" t="str">
        <f t="shared" si="18"/>
        <v/>
      </c>
      <c r="AE31" s="1479" t="str">
        <f t="shared" si="16"/>
        <v/>
      </c>
      <c r="AF31" s="1488"/>
    </row>
    <row r="32" spans="2:32" s="1375" customFormat="1" ht="17.1" customHeight="1">
      <c r="B32" s="1389"/>
      <c r="C32" s="1490"/>
      <c r="D32" s="1490"/>
      <c r="E32" s="1490"/>
      <c r="F32" s="1494"/>
      <c r="G32" s="1495"/>
      <c r="H32" s="1496"/>
      <c r="I32" s="1495"/>
      <c r="J32" s="1459">
        <f t="shared" si="0"/>
        <v>20</v>
      </c>
      <c r="K32" s="1460" t="e">
        <f t="shared" si="17"/>
        <v>#VALUE!</v>
      </c>
      <c r="L32" s="1497"/>
      <c r="M32" s="1499"/>
      <c r="N32" s="1463" t="str">
        <f t="shared" si="1"/>
        <v/>
      </c>
      <c r="O32" s="1464" t="str">
        <f t="shared" si="2"/>
        <v/>
      </c>
      <c r="P32" s="1465"/>
      <c r="Q32" s="1466" t="str">
        <f t="shared" si="3"/>
        <v/>
      </c>
      <c r="R32" s="1467" t="str">
        <f t="shared" si="4"/>
        <v/>
      </c>
      <c r="S32" s="1467" t="str">
        <f t="shared" si="5"/>
        <v/>
      </c>
      <c r="T32" s="1468" t="str">
        <f t="shared" si="6"/>
        <v>--</v>
      </c>
      <c r="U32" s="1469" t="str">
        <f t="shared" si="7"/>
        <v>--</v>
      </c>
      <c r="V32" s="1470" t="str">
        <f t="shared" si="8"/>
        <v>--</v>
      </c>
      <c r="W32" s="1471" t="str">
        <f t="shared" si="9"/>
        <v>--</v>
      </c>
      <c r="X32" s="1472" t="str">
        <f t="shared" si="10"/>
        <v>--</v>
      </c>
      <c r="Y32" s="1473" t="str">
        <f t="shared" si="11"/>
        <v>--</v>
      </c>
      <c r="Z32" s="1474" t="str">
        <f t="shared" si="12"/>
        <v>--</v>
      </c>
      <c r="AA32" s="1475" t="str">
        <f t="shared" si="13"/>
        <v>--</v>
      </c>
      <c r="AB32" s="1476" t="str">
        <f t="shared" si="14"/>
        <v>--</v>
      </c>
      <c r="AC32" s="1477" t="str">
        <f t="shared" si="15"/>
        <v>--</v>
      </c>
      <c r="AD32" s="1487" t="str">
        <f t="shared" si="18"/>
        <v/>
      </c>
      <c r="AE32" s="1479" t="str">
        <f t="shared" si="16"/>
        <v/>
      </c>
      <c r="AF32" s="1488"/>
    </row>
    <row r="33" spans="2:32" s="1375" customFormat="1" ht="17.1" customHeight="1">
      <c r="B33" s="1389"/>
      <c r="C33" s="1493"/>
      <c r="D33" s="1493"/>
      <c r="E33" s="1493"/>
      <c r="F33" s="1494"/>
      <c r="G33" s="1495"/>
      <c r="H33" s="1496"/>
      <c r="I33" s="1495"/>
      <c r="J33" s="1459">
        <f t="shared" si="0"/>
        <v>20</v>
      </c>
      <c r="K33" s="1460" t="e">
        <f t="shared" si="17"/>
        <v>#VALUE!</v>
      </c>
      <c r="L33" s="1497"/>
      <c r="M33" s="1499"/>
      <c r="N33" s="1463" t="str">
        <f t="shared" si="1"/>
        <v/>
      </c>
      <c r="O33" s="1464" t="str">
        <f t="shared" si="2"/>
        <v/>
      </c>
      <c r="P33" s="1465"/>
      <c r="Q33" s="1466" t="str">
        <f t="shared" si="3"/>
        <v/>
      </c>
      <c r="R33" s="1467" t="str">
        <f t="shared" si="4"/>
        <v/>
      </c>
      <c r="S33" s="1467" t="str">
        <f t="shared" si="5"/>
        <v/>
      </c>
      <c r="T33" s="1468" t="str">
        <f t="shared" si="6"/>
        <v>--</v>
      </c>
      <c r="U33" s="1469" t="str">
        <f t="shared" si="7"/>
        <v>--</v>
      </c>
      <c r="V33" s="1470" t="str">
        <f t="shared" si="8"/>
        <v>--</v>
      </c>
      <c r="W33" s="1471" t="str">
        <f t="shared" si="9"/>
        <v>--</v>
      </c>
      <c r="X33" s="1472" t="str">
        <f t="shared" si="10"/>
        <v>--</v>
      </c>
      <c r="Y33" s="1473" t="str">
        <f t="shared" si="11"/>
        <v>--</v>
      </c>
      <c r="Z33" s="1474" t="str">
        <f t="shared" si="12"/>
        <v>--</v>
      </c>
      <c r="AA33" s="1475" t="str">
        <f t="shared" si="13"/>
        <v>--</v>
      </c>
      <c r="AB33" s="1476" t="str">
        <f t="shared" si="14"/>
        <v>--</v>
      </c>
      <c r="AC33" s="1477" t="str">
        <f t="shared" si="15"/>
        <v>--</v>
      </c>
      <c r="AD33" s="1487" t="str">
        <f t="shared" si="18"/>
        <v/>
      </c>
      <c r="AE33" s="1479" t="str">
        <f t="shared" si="16"/>
        <v/>
      </c>
      <c r="AF33" s="1488"/>
    </row>
    <row r="34" spans="2:32" s="1375" customFormat="1" ht="17.1" customHeight="1">
      <c r="B34" s="1389"/>
      <c r="C34" s="1490"/>
      <c r="D34" s="1490"/>
      <c r="E34" s="1490"/>
      <c r="F34" s="1494"/>
      <c r="G34" s="1495"/>
      <c r="H34" s="1496"/>
      <c r="I34" s="1495"/>
      <c r="J34" s="1459">
        <f t="shared" si="0"/>
        <v>20</v>
      </c>
      <c r="K34" s="1460" t="e">
        <f t="shared" si="17"/>
        <v>#VALUE!</v>
      </c>
      <c r="L34" s="1497"/>
      <c r="M34" s="1499"/>
      <c r="N34" s="1463" t="str">
        <f t="shared" si="1"/>
        <v/>
      </c>
      <c r="O34" s="1464" t="str">
        <f t="shared" si="2"/>
        <v/>
      </c>
      <c r="P34" s="1465"/>
      <c r="Q34" s="1466" t="str">
        <f t="shared" si="3"/>
        <v/>
      </c>
      <c r="R34" s="1467" t="str">
        <f t="shared" si="4"/>
        <v/>
      </c>
      <c r="S34" s="1467" t="str">
        <f t="shared" si="5"/>
        <v/>
      </c>
      <c r="T34" s="1468" t="str">
        <f t="shared" si="6"/>
        <v>--</v>
      </c>
      <c r="U34" s="1469" t="str">
        <f t="shared" si="7"/>
        <v>--</v>
      </c>
      <c r="V34" s="1470" t="str">
        <f t="shared" si="8"/>
        <v>--</v>
      </c>
      <c r="W34" s="1471" t="str">
        <f t="shared" si="9"/>
        <v>--</v>
      </c>
      <c r="X34" s="1472" t="str">
        <f t="shared" si="10"/>
        <v>--</v>
      </c>
      <c r="Y34" s="1473" t="str">
        <f t="shared" si="11"/>
        <v>--</v>
      </c>
      <c r="Z34" s="1474" t="str">
        <f t="shared" si="12"/>
        <v>--</v>
      </c>
      <c r="AA34" s="1475" t="str">
        <f t="shared" si="13"/>
        <v>--</v>
      </c>
      <c r="AB34" s="1476" t="str">
        <f t="shared" si="14"/>
        <v>--</v>
      </c>
      <c r="AC34" s="1477" t="str">
        <f t="shared" si="15"/>
        <v>--</v>
      </c>
      <c r="AD34" s="1487" t="str">
        <f t="shared" si="18"/>
        <v/>
      </c>
      <c r="AE34" s="1479" t="str">
        <f t="shared" si="16"/>
        <v/>
      </c>
      <c r="AF34" s="1488"/>
    </row>
    <row r="35" spans="2:32" s="1375" customFormat="1" ht="17.1" customHeight="1">
      <c r="B35" s="1389"/>
      <c r="C35" s="1493"/>
      <c r="D35" s="1493"/>
      <c r="E35" s="1493"/>
      <c r="F35" s="1494"/>
      <c r="G35" s="1495"/>
      <c r="H35" s="1496"/>
      <c r="I35" s="1495"/>
      <c r="J35" s="1459">
        <f t="shared" si="0"/>
        <v>20</v>
      </c>
      <c r="K35" s="1460" t="e">
        <f t="shared" si="17"/>
        <v>#VALUE!</v>
      </c>
      <c r="L35" s="1497"/>
      <c r="M35" s="1499"/>
      <c r="N35" s="1463" t="str">
        <f t="shared" si="1"/>
        <v/>
      </c>
      <c r="O35" s="1464" t="str">
        <f t="shared" si="2"/>
        <v/>
      </c>
      <c r="P35" s="1465"/>
      <c r="Q35" s="1466" t="str">
        <f t="shared" si="3"/>
        <v/>
      </c>
      <c r="R35" s="1467" t="str">
        <f t="shared" si="4"/>
        <v/>
      </c>
      <c r="S35" s="1467" t="str">
        <f t="shared" si="5"/>
        <v/>
      </c>
      <c r="T35" s="1468" t="str">
        <f t="shared" si="6"/>
        <v>--</v>
      </c>
      <c r="U35" s="1469" t="str">
        <f t="shared" si="7"/>
        <v>--</v>
      </c>
      <c r="V35" s="1470" t="str">
        <f t="shared" si="8"/>
        <v>--</v>
      </c>
      <c r="W35" s="1471" t="str">
        <f t="shared" si="9"/>
        <v>--</v>
      </c>
      <c r="X35" s="1472" t="str">
        <f t="shared" si="10"/>
        <v>--</v>
      </c>
      <c r="Y35" s="1473" t="str">
        <f t="shared" si="11"/>
        <v>--</v>
      </c>
      <c r="Z35" s="1474" t="str">
        <f t="shared" si="12"/>
        <v>--</v>
      </c>
      <c r="AA35" s="1475" t="str">
        <f t="shared" si="13"/>
        <v>--</v>
      </c>
      <c r="AB35" s="1476" t="str">
        <f t="shared" si="14"/>
        <v>--</v>
      </c>
      <c r="AC35" s="1477" t="str">
        <f t="shared" si="15"/>
        <v>--</v>
      </c>
      <c r="AD35" s="1487" t="str">
        <f t="shared" si="18"/>
        <v/>
      </c>
      <c r="AE35" s="1479" t="str">
        <f t="shared" si="16"/>
        <v/>
      </c>
      <c r="AF35" s="1488"/>
    </row>
    <row r="36" spans="2:32" s="1375" customFormat="1" ht="17.1" customHeight="1">
      <c r="B36" s="1389"/>
      <c r="C36" s="1490"/>
      <c r="D36" s="1490"/>
      <c r="E36" s="1490"/>
      <c r="F36" s="1494"/>
      <c r="G36" s="1495"/>
      <c r="H36" s="1496"/>
      <c r="I36" s="1495"/>
      <c r="J36" s="1459">
        <f t="shared" si="0"/>
        <v>20</v>
      </c>
      <c r="K36" s="1460" t="e">
        <f t="shared" si="17"/>
        <v>#VALUE!</v>
      </c>
      <c r="L36" s="1497"/>
      <c r="M36" s="1499"/>
      <c r="N36" s="1463" t="str">
        <f t="shared" si="1"/>
        <v/>
      </c>
      <c r="O36" s="1464" t="str">
        <f t="shared" si="2"/>
        <v/>
      </c>
      <c r="P36" s="1465"/>
      <c r="Q36" s="1466" t="str">
        <f t="shared" si="3"/>
        <v/>
      </c>
      <c r="R36" s="1467" t="str">
        <f t="shared" si="4"/>
        <v/>
      </c>
      <c r="S36" s="1467" t="str">
        <f t="shared" si="5"/>
        <v/>
      </c>
      <c r="T36" s="1468" t="str">
        <f t="shared" si="6"/>
        <v>--</v>
      </c>
      <c r="U36" s="1469" t="str">
        <f t="shared" si="7"/>
        <v>--</v>
      </c>
      <c r="V36" s="1470" t="str">
        <f t="shared" si="8"/>
        <v>--</v>
      </c>
      <c r="W36" s="1471" t="str">
        <f t="shared" si="9"/>
        <v>--</v>
      </c>
      <c r="X36" s="1472" t="str">
        <f t="shared" si="10"/>
        <v>--</v>
      </c>
      <c r="Y36" s="1473" t="str">
        <f t="shared" si="11"/>
        <v>--</v>
      </c>
      <c r="Z36" s="1474" t="str">
        <f t="shared" si="12"/>
        <v>--</v>
      </c>
      <c r="AA36" s="1475" t="str">
        <f t="shared" si="13"/>
        <v>--</v>
      </c>
      <c r="AB36" s="1476" t="str">
        <f t="shared" si="14"/>
        <v>--</v>
      </c>
      <c r="AC36" s="1477" t="str">
        <f t="shared" si="15"/>
        <v>--</v>
      </c>
      <c r="AD36" s="1487" t="str">
        <f t="shared" si="18"/>
        <v/>
      </c>
      <c r="AE36" s="1479" t="str">
        <f t="shared" si="16"/>
        <v/>
      </c>
      <c r="AF36" s="1488"/>
    </row>
    <row r="37" spans="2:32" s="1375" customFormat="1" ht="17.1" customHeight="1">
      <c r="B37" s="1389"/>
      <c r="C37" s="1493"/>
      <c r="D37" s="1493"/>
      <c r="E37" s="1493"/>
      <c r="F37" s="1494"/>
      <c r="G37" s="1495"/>
      <c r="H37" s="1496"/>
      <c r="I37" s="1495"/>
      <c r="J37" s="1459">
        <f t="shared" si="0"/>
        <v>20</v>
      </c>
      <c r="K37" s="1460" t="e">
        <f t="shared" si="17"/>
        <v>#VALUE!</v>
      </c>
      <c r="L37" s="1497"/>
      <c r="M37" s="1499"/>
      <c r="N37" s="1463" t="str">
        <f t="shared" si="1"/>
        <v/>
      </c>
      <c r="O37" s="1464" t="str">
        <f t="shared" si="2"/>
        <v/>
      </c>
      <c r="P37" s="1465"/>
      <c r="Q37" s="1466" t="str">
        <f t="shared" si="3"/>
        <v/>
      </c>
      <c r="R37" s="1467" t="str">
        <f t="shared" si="4"/>
        <v/>
      </c>
      <c r="S37" s="1467" t="str">
        <f t="shared" si="5"/>
        <v/>
      </c>
      <c r="T37" s="1468" t="str">
        <f t="shared" si="6"/>
        <v>--</v>
      </c>
      <c r="U37" s="1469" t="str">
        <f t="shared" si="7"/>
        <v>--</v>
      </c>
      <c r="V37" s="1470" t="str">
        <f t="shared" si="8"/>
        <v>--</v>
      </c>
      <c r="W37" s="1471" t="str">
        <f t="shared" si="9"/>
        <v>--</v>
      </c>
      <c r="X37" s="1472" t="str">
        <f t="shared" si="10"/>
        <v>--</v>
      </c>
      <c r="Y37" s="1473" t="str">
        <f t="shared" si="11"/>
        <v>--</v>
      </c>
      <c r="Z37" s="1474" t="str">
        <f t="shared" si="12"/>
        <v>--</v>
      </c>
      <c r="AA37" s="1475" t="str">
        <f t="shared" si="13"/>
        <v>--</v>
      </c>
      <c r="AB37" s="1476" t="str">
        <f t="shared" si="14"/>
        <v>--</v>
      </c>
      <c r="AC37" s="1477" t="str">
        <f t="shared" si="15"/>
        <v>--</v>
      </c>
      <c r="AD37" s="1487" t="str">
        <f t="shared" si="18"/>
        <v/>
      </c>
      <c r="AE37" s="1479" t="str">
        <f t="shared" si="16"/>
        <v/>
      </c>
      <c r="AF37" s="1488"/>
    </row>
    <row r="38" spans="2:32" s="1375" customFormat="1" ht="17.1" customHeight="1">
      <c r="B38" s="1389"/>
      <c r="C38" s="1490"/>
      <c r="D38" s="1490"/>
      <c r="E38" s="1490"/>
      <c r="F38" s="1494"/>
      <c r="G38" s="1495"/>
      <c r="H38" s="1496"/>
      <c r="I38" s="1495"/>
      <c r="J38" s="1459">
        <f t="shared" si="0"/>
        <v>20</v>
      </c>
      <c r="K38" s="1460" t="e">
        <f t="shared" si="17"/>
        <v>#VALUE!</v>
      </c>
      <c r="L38" s="1497"/>
      <c r="M38" s="1499"/>
      <c r="N38" s="1463" t="str">
        <f t="shared" si="1"/>
        <v/>
      </c>
      <c r="O38" s="1464" t="str">
        <f t="shared" si="2"/>
        <v/>
      </c>
      <c r="P38" s="1465"/>
      <c r="Q38" s="1466" t="str">
        <f t="shared" si="3"/>
        <v/>
      </c>
      <c r="R38" s="1467" t="str">
        <f t="shared" si="4"/>
        <v/>
      </c>
      <c r="S38" s="1467" t="str">
        <f t="shared" si="5"/>
        <v/>
      </c>
      <c r="T38" s="1468" t="str">
        <f t="shared" si="6"/>
        <v>--</v>
      </c>
      <c r="U38" s="1469" t="str">
        <f t="shared" si="7"/>
        <v>--</v>
      </c>
      <c r="V38" s="1470" t="str">
        <f t="shared" si="8"/>
        <v>--</v>
      </c>
      <c r="W38" s="1471" t="str">
        <f t="shared" si="9"/>
        <v>--</v>
      </c>
      <c r="X38" s="1472" t="str">
        <f t="shared" si="10"/>
        <v>--</v>
      </c>
      <c r="Y38" s="1473" t="str">
        <f t="shared" si="11"/>
        <v>--</v>
      </c>
      <c r="Z38" s="1474" t="str">
        <f t="shared" si="12"/>
        <v>--</v>
      </c>
      <c r="AA38" s="1475" t="str">
        <f t="shared" si="13"/>
        <v>--</v>
      </c>
      <c r="AB38" s="1476" t="str">
        <f t="shared" si="14"/>
        <v>--</v>
      </c>
      <c r="AC38" s="1477" t="str">
        <f t="shared" si="15"/>
        <v>--</v>
      </c>
      <c r="AD38" s="1487" t="str">
        <f t="shared" si="18"/>
        <v/>
      </c>
      <c r="AE38" s="1479" t="str">
        <f t="shared" si="16"/>
        <v/>
      </c>
      <c r="AF38" s="1488"/>
    </row>
    <row r="39" spans="2:32" s="1375" customFormat="1" ht="17.1" customHeight="1">
      <c r="B39" s="1389"/>
      <c r="C39" s="1493"/>
      <c r="D39" s="1493"/>
      <c r="E39" s="1493"/>
      <c r="F39" s="1494"/>
      <c r="G39" s="1495"/>
      <c r="H39" s="1496"/>
      <c r="I39" s="1495"/>
      <c r="J39" s="1459">
        <f t="shared" si="0"/>
        <v>20</v>
      </c>
      <c r="K39" s="1460" t="e">
        <f t="shared" si="17"/>
        <v>#VALUE!</v>
      </c>
      <c r="L39" s="1497"/>
      <c r="M39" s="1499"/>
      <c r="N39" s="1463" t="str">
        <f t="shared" si="1"/>
        <v/>
      </c>
      <c r="O39" s="1464" t="str">
        <f t="shared" si="2"/>
        <v/>
      </c>
      <c r="P39" s="1465"/>
      <c r="Q39" s="1466" t="str">
        <f t="shared" si="3"/>
        <v/>
      </c>
      <c r="R39" s="1467" t="str">
        <f t="shared" si="4"/>
        <v/>
      </c>
      <c r="S39" s="1467" t="str">
        <f t="shared" si="5"/>
        <v/>
      </c>
      <c r="T39" s="1468" t="str">
        <f t="shared" si="6"/>
        <v>--</v>
      </c>
      <c r="U39" s="1469" t="str">
        <f t="shared" si="7"/>
        <v>--</v>
      </c>
      <c r="V39" s="1470" t="str">
        <f t="shared" si="8"/>
        <v>--</v>
      </c>
      <c r="W39" s="1471" t="str">
        <f t="shared" si="9"/>
        <v>--</v>
      </c>
      <c r="X39" s="1472" t="str">
        <f t="shared" si="10"/>
        <v>--</v>
      </c>
      <c r="Y39" s="1473" t="str">
        <f t="shared" si="11"/>
        <v>--</v>
      </c>
      <c r="Z39" s="1474" t="str">
        <f t="shared" si="12"/>
        <v>--</v>
      </c>
      <c r="AA39" s="1475" t="str">
        <f t="shared" si="13"/>
        <v>--</v>
      </c>
      <c r="AB39" s="1476" t="str">
        <f t="shared" si="14"/>
        <v>--</v>
      </c>
      <c r="AC39" s="1477" t="str">
        <f t="shared" si="15"/>
        <v>--</v>
      </c>
      <c r="AD39" s="1487" t="str">
        <f t="shared" si="18"/>
        <v/>
      </c>
      <c r="AE39" s="1479" t="str">
        <f t="shared" si="16"/>
        <v/>
      </c>
      <c r="AF39" s="1488"/>
    </row>
    <row r="40" spans="2:32" s="1375" customFormat="1" ht="17.1" customHeight="1" thickBot="1">
      <c r="B40" s="1389"/>
      <c r="C40" s="1490"/>
      <c r="D40" s="1500"/>
      <c r="E40" s="1490"/>
      <c r="F40" s="1501"/>
      <c r="G40" s="1502"/>
      <c r="H40" s="1503"/>
      <c r="I40" s="1504"/>
      <c r="J40" s="1505"/>
      <c r="K40" s="1506"/>
      <c r="L40" s="1507"/>
      <c r="M40" s="1507"/>
      <c r="N40" s="1508"/>
      <c r="O40" s="1508"/>
      <c r="P40" s="1509"/>
      <c r="Q40" s="1510"/>
      <c r="R40" s="1509"/>
      <c r="S40" s="1509"/>
      <c r="T40" s="1511"/>
      <c r="U40" s="1512"/>
      <c r="V40" s="1513"/>
      <c r="W40" s="1514"/>
      <c r="X40" s="1515"/>
      <c r="Y40" s="1516"/>
      <c r="Z40" s="1517"/>
      <c r="AA40" s="1518"/>
      <c r="AB40" s="1519"/>
      <c r="AC40" s="1520"/>
      <c r="AD40" s="1521"/>
      <c r="AE40" s="1522"/>
      <c r="AF40" s="1488"/>
    </row>
    <row r="41" spans="2:32" s="1375" customFormat="1" ht="17.1" customHeight="1" thickBot="1" thickTop="1">
      <c r="B41" s="1389"/>
      <c r="C41" s="1523" t="s">
        <v>368</v>
      </c>
      <c r="D41" s="1524" t="s">
        <v>421</v>
      </c>
      <c r="E41" s="1525"/>
      <c r="F41" s="1526"/>
      <c r="G41" s="1527"/>
      <c r="H41" s="1528"/>
      <c r="I41" s="1529"/>
      <c r="J41" s="1528"/>
      <c r="K41" s="1530"/>
      <c r="L41" s="1530"/>
      <c r="M41" s="1530"/>
      <c r="N41" s="1530"/>
      <c r="O41" s="1530"/>
      <c r="P41" s="1530"/>
      <c r="Q41" s="1531"/>
      <c r="R41" s="1530"/>
      <c r="S41" s="1530"/>
      <c r="T41" s="1532">
        <f aca="true" t="shared" si="19" ref="T41:AC41">SUM(T18:T40)</f>
        <v>0</v>
      </c>
      <c r="U41" s="1533">
        <f t="shared" si="19"/>
        <v>0</v>
      </c>
      <c r="V41" s="1534">
        <f t="shared" si="19"/>
        <v>0</v>
      </c>
      <c r="W41" s="1534">
        <f t="shared" si="19"/>
        <v>249949.90486399998</v>
      </c>
      <c r="X41" s="1534">
        <f t="shared" si="19"/>
        <v>0</v>
      </c>
      <c r="Y41" s="1535">
        <f t="shared" si="19"/>
        <v>0</v>
      </c>
      <c r="Z41" s="1535">
        <f t="shared" si="19"/>
        <v>0</v>
      </c>
      <c r="AA41" s="1535">
        <f t="shared" si="19"/>
        <v>0</v>
      </c>
      <c r="AB41" s="1536">
        <f t="shared" si="19"/>
        <v>0</v>
      </c>
      <c r="AC41" s="1537">
        <f t="shared" si="19"/>
        <v>0</v>
      </c>
      <c r="AD41" s="1538"/>
      <c r="AE41" s="1539">
        <f>ROUND(SUM(AE18:AE40),2)</f>
        <v>249949.9</v>
      </c>
      <c r="AF41" s="1488"/>
    </row>
    <row r="42" spans="2:32" s="1375" customFormat="1" ht="17.1" customHeight="1" thickBot="1" thickTop="1">
      <c r="B42" s="1540"/>
      <c r="C42" s="1541"/>
      <c r="D42" s="1541"/>
      <c r="E42" s="1541"/>
      <c r="F42" s="1541"/>
      <c r="G42" s="1541"/>
      <c r="H42" s="1541"/>
      <c r="I42" s="1541"/>
      <c r="J42" s="1541"/>
      <c r="K42" s="1541"/>
      <c r="L42" s="1541"/>
      <c r="M42" s="1541"/>
      <c r="N42" s="1541"/>
      <c r="O42" s="1541"/>
      <c r="P42" s="1541"/>
      <c r="Q42" s="1541"/>
      <c r="R42" s="1541"/>
      <c r="S42" s="1541"/>
      <c r="T42" s="1541"/>
      <c r="U42" s="1541"/>
      <c r="V42" s="1541"/>
      <c r="W42" s="1541"/>
      <c r="X42" s="1541"/>
      <c r="Y42" s="1541"/>
      <c r="Z42" s="1541"/>
      <c r="AA42" s="1541"/>
      <c r="AB42" s="1541"/>
      <c r="AC42" s="1541"/>
      <c r="AD42" s="1541"/>
      <c r="AE42" s="1541"/>
      <c r="AF42" s="1542"/>
    </row>
    <row r="43" spans="2:32" ht="17.1" customHeight="1" thickTop="1">
      <c r="B43" s="1543"/>
      <c r="C43" s="1543"/>
      <c r="D43" s="1543"/>
      <c r="AF43" s="1543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3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20865" r:id="rId4" name="Button 1">
              <controlPr defaultSize="0" print="0" autoFill="0" autoPict="0" macro="[1]!Actualizar_Referencias">
                <anchor moveWithCells="1" sizeWithCells="1">
                  <from>
                    <xdr:col>0</xdr:col>
                    <xdr:colOff>57150</xdr:colOff>
                    <xdr:row>40</xdr:row>
                    <xdr:rowOff>19050</xdr:rowOff>
                  </from>
                  <to>
                    <xdr:col>2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pageSetUpPr fitToPage="1"/>
  </sheetPr>
  <dimension ref="A1:AF45"/>
  <sheetViews>
    <sheetView zoomScale="70" zoomScaleNormal="70" workbookViewId="0" topLeftCell="A1">
      <selection activeCell="E4" sqref="E4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4" width="13.7109375" style="0" customWidth="1"/>
    <col min="5" max="5" width="13.851562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10.00390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57421875" style="0" hidden="1" customWidth="1"/>
    <col min="22" max="23" width="11.421875" style="0" hidden="1" customWidth="1"/>
    <col min="24" max="27" width="6.00390625" style="0" hidden="1" customWidth="1"/>
    <col min="28" max="28" width="12.00390625" style="0" hidden="1" customWidth="1"/>
    <col min="29" max="29" width="13.14062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39"/>
    </row>
    <row r="2" spans="1:32" s="18" customFormat="1" ht="26.25">
      <c r="A2" s="91"/>
      <c r="B2" s="19" t="str">
        <f>+'TOT-0116'!B2</f>
        <v>ANEXO II al Memorándum D.T.E.E. N° 231 / 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2.75">
      <c r="A3" s="90"/>
    </row>
    <row r="4" spans="1:4" s="25" customFormat="1" ht="11.25">
      <c r="A4" s="23" t="s">
        <v>2</v>
      </c>
      <c r="B4" s="123"/>
      <c r="C4" s="123"/>
      <c r="D4" s="123"/>
    </row>
    <row r="5" spans="1:4" s="25" customFormat="1" ht="11.25">
      <c r="A5" s="23" t="s">
        <v>3</v>
      </c>
      <c r="B5" s="123"/>
      <c r="C5" s="123"/>
      <c r="D5" s="123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67" t="s">
        <v>69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12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7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463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7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'TOT-0116'!B14</f>
        <v>Desde el 01 al 31 de enero de 2016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92"/>
      <c r="Q14" s="192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37"/>
    </row>
    <row r="15" spans="2:32" s="5" customFormat="1" ht="17.1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193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7.1" customHeight="1" thickBot="1" thickTop="1">
      <c r="B16" s="50"/>
      <c r="C16" s="4"/>
      <c r="D16" s="4"/>
      <c r="E16" s="4"/>
      <c r="F16" s="82" t="s">
        <v>90</v>
      </c>
      <c r="G16" s="744">
        <v>506.119</v>
      </c>
      <c r="H16" s="19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7.1" customHeight="1" thickBot="1" thickTop="1">
      <c r="B17" s="50"/>
      <c r="C17" s="4"/>
      <c r="D17" s="4"/>
      <c r="E17" s="4"/>
      <c r="F17" s="82" t="s">
        <v>91</v>
      </c>
      <c r="G17" s="744" t="s">
        <v>357</v>
      </c>
      <c r="H17" s="194"/>
      <c r="I17" s="4"/>
      <c r="J17" s="4"/>
      <c r="K17" s="4"/>
      <c r="L17" s="195"/>
      <c r="M17" s="196"/>
      <c r="N17" s="4"/>
      <c r="O17" s="4"/>
      <c r="P17" s="4"/>
      <c r="Q17" s="4"/>
      <c r="R17" s="4"/>
      <c r="S17" s="4"/>
      <c r="T17" s="4"/>
      <c r="U17" s="4"/>
      <c r="V17" s="4"/>
      <c r="W17" s="4"/>
      <c r="X17" s="115"/>
      <c r="Y17" s="115"/>
      <c r="Z17" s="115"/>
      <c r="AA17" s="115"/>
      <c r="AB17" s="115"/>
      <c r="AC17" s="115"/>
      <c r="AD17" s="115"/>
      <c r="AF17" s="17"/>
    </row>
    <row r="18" spans="2:32" s="5" customFormat="1" ht="17.1" customHeight="1" thickBot="1" thickTop="1">
      <c r="B18" s="50"/>
      <c r="C18" s="836">
        <v>3</v>
      </c>
      <c r="D18" s="836">
        <v>4</v>
      </c>
      <c r="E18" s="836">
        <v>5</v>
      </c>
      <c r="F18" s="836">
        <v>6</v>
      </c>
      <c r="G18" s="836">
        <v>7</v>
      </c>
      <c r="H18" s="836">
        <v>8</v>
      </c>
      <c r="I18" s="836">
        <v>9</v>
      </c>
      <c r="J18" s="836">
        <v>10</v>
      </c>
      <c r="K18" s="836">
        <v>11</v>
      </c>
      <c r="L18" s="836">
        <v>12</v>
      </c>
      <c r="M18" s="836">
        <v>13</v>
      </c>
      <c r="N18" s="836">
        <v>14</v>
      </c>
      <c r="O18" s="836">
        <v>15</v>
      </c>
      <c r="P18" s="836">
        <v>16</v>
      </c>
      <c r="Q18" s="836">
        <v>17</v>
      </c>
      <c r="R18" s="836">
        <v>18</v>
      </c>
      <c r="S18" s="836">
        <v>19</v>
      </c>
      <c r="T18" s="836">
        <v>20</v>
      </c>
      <c r="U18" s="836">
        <v>21</v>
      </c>
      <c r="V18" s="836">
        <v>22</v>
      </c>
      <c r="W18" s="836">
        <v>23</v>
      </c>
      <c r="X18" s="836">
        <v>24</v>
      </c>
      <c r="Y18" s="836">
        <v>25</v>
      </c>
      <c r="Z18" s="836">
        <v>26</v>
      </c>
      <c r="AA18" s="836">
        <v>27</v>
      </c>
      <c r="AB18" s="836">
        <v>28</v>
      </c>
      <c r="AC18" s="836">
        <v>29</v>
      </c>
      <c r="AD18" s="836">
        <v>30</v>
      </c>
      <c r="AE18" s="836">
        <v>31</v>
      </c>
      <c r="AF18" s="17"/>
    </row>
    <row r="19" spans="2:32" s="5" customFormat="1" ht="33.95" customHeight="1" thickBot="1" thickTop="1">
      <c r="B19" s="50"/>
      <c r="C19" s="84" t="s">
        <v>13</v>
      </c>
      <c r="D19" s="84" t="s">
        <v>242</v>
      </c>
      <c r="E19" s="84" t="s">
        <v>243</v>
      </c>
      <c r="F19" s="85" t="s">
        <v>0</v>
      </c>
      <c r="G19" s="678" t="s">
        <v>14</v>
      </c>
      <c r="H19" s="86" t="s">
        <v>15</v>
      </c>
      <c r="I19" s="199" t="s">
        <v>71</v>
      </c>
      <c r="J19" s="679" t="s">
        <v>37</v>
      </c>
      <c r="K19" s="680" t="s">
        <v>16</v>
      </c>
      <c r="L19" s="85" t="s">
        <v>17</v>
      </c>
      <c r="M19" s="172" t="s">
        <v>18</v>
      </c>
      <c r="N19" s="88" t="s">
        <v>36</v>
      </c>
      <c r="O19" s="86" t="s">
        <v>31</v>
      </c>
      <c r="P19" s="88" t="s">
        <v>19</v>
      </c>
      <c r="Q19" s="86" t="s">
        <v>58</v>
      </c>
      <c r="R19" s="172" t="s">
        <v>59</v>
      </c>
      <c r="S19" s="85" t="s">
        <v>32</v>
      </c>
      <c r="T19" s="135" t="s">
        <v>20</v>
      </c>
      <c r="U19" s="681" t="s">
        <v>21</v>
      </c>
      <c r="V19" s="201" t="s">
        <v>60</v>
      </c>
      <c r="W19" s="202"/>
      <c r="X19" s="203"/>
      <c r="Y19" s="682" t="s">
        <v>147</v>
      </c>
      <c r="Z19" s="683"/>
      <c r="AA19" s="684"/>
      <c r="AB19" s="204" t="s">
        <v>22</v>
      </c>
      <c r="AC19" s="205" t="s">
        <v>73</v>
      </c>
      <c r="AD19" s="131" t="s">
        <v>74</v>
      </c>
      <c r="AE19" s="131" t="s">
        <v>24</v>
      </c>
      <c r="AF19" s="206"/>
    </row>
    <row r="20" spans="2:32" s="5" customFormat="1" ht="17.1" customHeight="1" thickTop="1">
      <c r="B20" s="50"/>
      <c r="C20" s="174"/>
      <c r="D20" s="174"/>
      <c r="E20" s="174"/>
      <c r="F20" s="727"/>
      <c r="G20" s="727"/>
      <c r="H20" s="745"/>
      <c r="I20" s="726"/>
      <c r="J20" s="728"/>
      <c r="K20" s="729"/>
      <c r="L20" s="740"/>
      <c r="M20" s="740"/>
      <c r="N20" s="726"/>
      <c r="O20" s="726"/>
      <c r="P20" s="726"/>
      <c r="Q20" s="726"/>
      <c r="R20" s="726"/>
      <c r="S20" s="726"/>
      <c r="T20" s="730"/>
      <c r="U20" s="731"/>
      <c r="V20" s="732"/>
      <c r="W20" s="733"/>
      <c r="X20" s="734"/>
      <c r="Y20" s="735"/>
      <c r="Z20" s="736"/>
      <c r="AA20" s="737"/>
      <c r="AB20" s="738"/>
      <c r="AC20" s="739"/>
      <c r="AD20" s="726"/>
      <c r="AE20" s="685"/>
      <c r="AF20" s="17"/>
    </row>
    <row r="21" spans="2:32" s="5" customFormat="1" ht="17.1" customHeight="1">
      <c r="B21" s="50"/>
      <c r="C21" s="270"/>
      <c r="D21" s="270"/>
      <c r="E21" s="270"/>
      <c r="F21" s="176"/>
      <c r="G21" s="7"/>
      <c r="H21" s="746"/>
      <c r="I21" s="176"/>
      <c r="J21" s="686"/>
      <c r="K21" s="687"/>
      <c r="L21" s="207"/>
      <c r="M21" s="115"/>
      <c r="N21" s="176"/>
      <c r="O21" s="176"/>
      <c r="P21" s="177"/>
      <c r="Q21" s="176"/>
      <c r="R21" s="176"/>
      <c r="S21" s="176"/>
      <c r="T21" s="688"/>
      <c r="U21" s="689"/>
      <c r="V21" s="690"/>
      <c r="W21" s="691"/>
      <c r="X21" s="692"/>
      <c r="Y21" s="693"/>
      <c r="Z21" s="694"/>
      <c r="AA21" s="695"/>
      <c r="AB21" s="211"/>
      <c r="AC21" s="212"/>
      <c r="AD21" s="176"/>
      <c r="AE21" s="213"/>
      <c r="AF21" s="17"/>
    </row>
    <row r="22" spans="2:32" s="5" customFormat="1" ht="17.1" customHeight="1">
      <c r="B22" s="50"/>
      <c r="C22" s="149">
        <v>33</v>
      </c>
      <c r="D22" s="149">
        <v>297792</v>
      </c>
      <c r="E22" s="149">
        <v>5546</v>
      </c>
      <c r="F22" s="149" t="s">
        <v>413</v>
      </c>
      <c r="G22" s="179">
        <v>500</v>
      </c>
      <c r="H22" s="747">
        <v>315.78</v>
      </c>
      <c r="I22" s="179" t="s">
        <v>314</v>
      </c>
      <c r="J22" s="696">
        <f aca="true" t="shared" si="0" ref="J22:J41">IF(I22="A",200,IF(I22="B",60,20))</f>
        <v>60</v>
      </c>
      <c r="K22" s="697">
        <f aca="true" t="shared" si="1" ref="K22:K41">IF(G22=500,IF(H22&lt;100,100*$G$16/100,H22*$G$16/100),IF(H22&lt;100,100*$G$17/100,H22*$G$17/100))</f>
        <v>1598.2225782</v>
      </c>
      <c r="L22" s="698">
        <v>42389.80069444444</v>
      </c>
      <c r="M22" s="699">
        <v>42389.81458333333</v>
      </c>
      <c r="N22" s="182">
        <f aca="true" t="shared" si="2" ref="N22:N41">IF(F22="","",(M22-L22)*24)</f>
        <v>0.33333333337213844</v>
      </c>
      <c r="O22" s="183">
        <f aca="true" t="shared" si="3" ref="O22:O41">IF(F22="","",ROUND((M22-L22)*24*60,0))</f>
        <v>20</v>
      </c>
      <c r="P22" s="216" t="s">
        <v>308</v>
      </c>
      <c r="Q22" s="795" t="str">
        <f aca="true" t="shared" si="4" ref="Q22:Q41">IF(F22="","","--")</f>
        <v>--</v>
      </c>
      <c r="R22" s="217" t="str">
        <f aca="true" t="shared" si="5" ref="R22:R41">IF(F22="","","NO")</f>
        <v>NO</v>
      </c>
      <c r="S22" s="217" t="str">
        <f aca="true" t="shared" si="6" ref="S22:S41">IF(F22="","",IF(OR(P22="P",P22="RP"),"--","NO"))</f>
        <v>NO</v>
      </c>
      <c r="T22" s="799" t="str">
        <f aca="true" t="shared" si="7" ref="T22:T41">IF(P22="P",K22*J22*ROUND(O22/60,2)*0.01,"--")</f>
        <v>--</v>
      </c>
      <c r="U22" s="800" t="str">
        <f aca="true" t="shared" si="8" ref="U22:U41">IF(P22="RP",K22*J22*ROUND(O22/60,2)*0.01*Q22/100,"--")</f>
        <v>--</v>
      </c>
      <c r="V22" s="208">
        <f aca="true" t="shared" si="9" ref="V22:V41">IF(AND(P22="F",S22="NO"),K22*J22*IF(R22="SI",1.2,1),"--")</f>
        <v>95893.35469200001</v>
      </c>
      <c r="W22" s="209">
        <f aca="true" t="shared" si="10" ref="W22:W41">IF(AND(P22="F",O22&gt;=10),K22*J22*IF(R22="SI",1.2,1)*IF(O22&lt;=300,ROUND(O22/60,2),5),"--")</f>
        <v>31644.807048360006</v>
      </c>
      <c r="X22" s="210" t="str">
        <f aca="true" t="shared" si="11" ref="X22:X41">IF(AND(P22="F",O22&gt;300),(ROUND(O22/60,2)-5)*K22*J22*0.1*IF(R22="SI",1.2,1),"--")</f>
        <v>--</v>
      </c>
      <c r="Y22" s="801" t="str">
        <f aca="true" t="shared" si="12" ref="Y22:Y41">IF(AND(P22="R",S22="NO"),K22*J22*Q22/100*IF(R22="SI",1.2,1),"--")</f>
        <v>--</v>
      </c>
      <c r="Z22" s="802" t="str">
        <f aca="true" t="shared" si="13" ref="Z22:Z41">IF(AND(P22="R",O22&gt;=10),K22*J22*Q22/100*IF(R22="SI",1.2,1)*IF(O22&lt;=300,ROUND(O22/60,2),5),"--")</f>
        <v>--</v>
      </c>
      <c r="AA22" s="803" t="str">
        <f aca="true" t="shared" si="14" ref="AA22:AA41">IF(AND(P22="R",O22&gt;300),(ROUND(O22/60,2)-5)*K22*J22*0.1*Q22/100*IF(R22="SI",1.2,1),"--")</f>
        <v>--</v>
      </c>
      <c r="AB22" s="804" t="str">
        <f aca="true" t="shared" si="15" ref="AB22:AB41">IF(P22="RF",ROUND(O22/60,2)*K22*J22*0.1*IF(R22="SI",1.2,1),"--")</f>
        <v>--</v>
      </c>
      <c r="AC22" s="805" t="str">
        <f aca="true" t="shared" si="16" ref="AC22:AC41">IF(P22="RR",ROUND(O22/60,2)*K22*J22*0.1*Q22/100*IF(R22="SI",1.2,1),"--")</f>
        <v>--</v>
      </c>
      <c r="AD22" s="796" t="s">
        <v>213</v>
      </c>
      <c r="AE22" s="16">
        <f aca="true" t="shared" si="17" ref="AE22:AE41">IF(F22="","",SUM(T22:AC22)*IF(AD22="SI",1,2))</f>
        <v>127538.16174036001</v>
      </c>
      <c r="AF22" s="705"/>
    </row>
    <row r="23" spans="2:32" s="5" customFormat="1" ht="17.1" customHeight="1">
      <c r="B23" s="50"/>
      <c r="C23" s="270">
        <v>34</v>
      </c>
      <c r="D23" s="270">
        <v>297796</v>
      </c>
      <c r="E23" s="270">
        <v>3562</v>
      </c>
      <c r="F23" s="149" t="s">
        <v>318</v>
      </c>
      <c r="G23" s="179">
        <v>500</v>
      </c>
      <c r="H23" s="747">
        <v>254.8000030517578</v>
      </c>
      <c r="I23" s="179" t="s">
        <v>303</v>
      </c>
      <c r="J23" s="696">
        <f t="shared" si="0"/>
        <v>20</v>
      </c>
      <c r="K23" s="697">
        <f t="shared" si="1"/>
        <v>1289.591227445526</v>
      </c>
      <c r="L23" s="698">
        <v>42390.163194444445</v>
      </c>
      <c r="M23" s="699">
        <v>42390.22361111111</v>
      </c>
      <c r="N23" s="182">
        <f t="shared" si="2"/>
        <v>1.4500000000116415</v>
      </c>
      <c r="O23" s="183">
        <f t="shared" si="3"/>
        <v>87</v>
      </c>
      <c r="P23" s="216" t="s">
        <v>304</v>
      </c>
      <c r="Q23" s="795" t="str">
        <f t="shared" si="4"/>
        <v>--</v>
      </c>
      <c r="R23" s="217" t="str">
        <f t="shared" si="5"/>
        <v>NO</v>
      </c>
      <c r="S23" s="217" t="str">
        <f t="shared" si="6"/>
        <v>--</v>
      </c>
      <c r="T23" s="799">
        <f t="shared" si="7"/>
        <v>373.9814559592026</v>
      </c>
      <c r="U23" s="800" t="str">
        <f t="shared" si="8"/>
        <v>--</v>
      </c>
      <c r="V23" s="208" t="str">
        <f t="shared" si="9"/>
        <v>--</v>
      </c>
      <c r="W23" s="209" t="str">
        <f t="shared" si="10"/>
        <v>--</v>
      </c>
      <c r="X23" s="210" t="str">
        <f t="shared" si="11"/>
        <v>--</v>
      </c>
      <c r="Y23" s="801" t="str">
        <f t="shared" si="12"/>
        <v>--</v>
      </c>
      <c r="Z23" s="802" t="str">
        <f t="shared" si="13"/>
        <v>--</v>
      </c>
      <c r="AA23" s="803" t="str">
        <f t="shared" si="14"/>
        <v>--</v>
      </c>
      <c r="AB23" s="804" t="str">
        <f t="shared" si="15"/>
        <v>--</v>
      </c>
      <c r="AC23" s="805" t="str">
        <f t="shared" si="16"/>
        <v>--</v>
      </c>
      <c r="AD23" s="796" t="s">
        <v>213</v>
      </c>
      <c r="AE23" s="16">
        <f t="shared" si="17"/>
        <v>373.9814559592026</v>
      </c>
      <c r="AF23" s="705"/>
    </row>
    <row r="24" spans="2:32" s="5" customFormat="1" ht="17.1" customHeight="1">
      <c r="B24" s="50"/>
      <c r="C24" s="149">
        <v>35</v>
      </c>
      <c r="D24" s="149">
        <v>298204</v>
      </c>
      <c r="E24" s="149">
        <v>3562</v>
      </c>
      <c r="F24" s="706" t="s">
        <v>318</v>
      </c>
      <c r="G24" s="707">
        <v>500</v>
      </c>
      <c r="H24" s="748">
        <v>254.8000030517578</v>
      </c>
      <c r="I24" s="707" t="s">
        <v>303</v>
      </c>
      <c r="J24" s="696">
        <f t="shared" si="0"/>
        <v>20</v>
      </c>
      <c r="K24" s="697">
        <f t="shared" si="1"/>
        <v>1289.591227445526</v>
      </c>
      <c r="L24" s="708">
        <v>42397.39513888889</v>
      </c>
      <c r="M24" s="709">
        <v>42397.40138888889</v>
      </c>
      <c r="N24" s="182">
        <f t="shared" si="2"/>
        <v>0.1499999999650754</v>
      </c>
      <c r="O24" s="183">
        <f t="shared" si="3"/>
        <v>9</v>
      </c>
      <c r="P24" s="216" t="s">
        <v>308</v>
      </c>
      <c r="Q24" s="795" t="str">
        <f t="shared" si="4"/>
        <v>--</v>
      </c>
      <c r="R24" s="217" t="str">
        <f t="shared" si="5"/>
        <v>NO</v>
      </c>
      <c r="S24" s="217" t="s">
        <v>213</v>
      </c>
      <c r="T24" s="799" t="str">
        <f aca="true" t="shared" si="18" ref="T24">IF(P24="P",K24*J24*ROUND(O24/60,2)*0.01,"--")</f>
        <v>--</v>
      </c>
      <c r="U24" s="800" t="str">
        <f aca="true" t="shared" si="19" ref="U24">IF(P24="RP",K24*J24*ROUND(O24/60,2)*0.01*Q24/100,"--")</f>
        <v>--</v>
      </c>
      <c r="V24" s="208" t="str">
        <f aca="true" t="shared" si="20" ref="V24">IF(AND(P24="F",S24="NO"),K24*J24*IF(R24="SI",1.2,1),"--")</f>
        <v>--</v>
      </c>
      <c r="W24" s="209" t="str">
        <f aca="true" t="shared" si="21" ref="W24">IF(AND(P24="F",O24&gt;=10),K24*J24*IF(R24="SI",1.2,1)*IF(O24&lt;=300,ROUND(O24/60,2),5),"--")</f>
        <v>--</v>
      </c>
      <c r="X24" s="210" t="str">
        <f aca="true" t="shared" si="22" ref="X24">IF(AND(P24="F",O24&gt;300),(ROUND(O24/60,2)-5)*K24*J24*0.1*IF(R24="SI",1.2,1),"--")</f>
        <v>--</v>
      </c>
      <c r="Y24" s="801" t="str">
        <f aca="true" t="shared" si="23" ref="Y24">IF(AND(P24="R",S24="NO"),K24*J24*Q24/100*IF(R24="SI",1.2,1),"--")</f>
        <v>--</v>
      </c>
      <c r="Z24" s="802" t="str">
        <f aca="true" t="shared" si="24" ref="Z24">IF(AND(P24="R",O24&gt;=10),K24*J24*Q24/100*IF(R24="SI",1.2,1)*IF(O24&lt;=300,ROUND(O24/60,2),5),"--")</f>
        <v>--</v>
      </c>
      <c r="AA24" s="803" t="str">
        <f aca="true" t="shared" si="25" ref="AA24">IF(AND(P24="R",O24&gt;300),(ROUND(O24/60,2)-5)*K24*J24*0.1*Q24/100*IF(R24="SI",1.2,1),"--")</f>
        <v>--</v>
      </c>
      <c r="AB24" s="804" t="str">
        <f aca="true" t="shared" si="26" ref="AB24">IF(P24="RF",ROUND(O24/60,2)*K24*J24*0.1*IF(R24="SI",1.2,1),"--")</f>
        <v>--</v>
      </c>
      <c r="AC24" s="805" t="str">
        <f aca="true" t="shared" si="27" ref="AC24">IF(P24="RR",ROUND(O24/60,2)*K24*J24*0.1*Q24/100*IF(R24="SI",1.2,1),"--")</f>
        <v>--</v>
      </c>
      <c r="AD24" s="796" t="s">
        <v>213</v>
      </c>
      <c r="AE24" s="16">
        <f aca="true" t="shared" si="28" ref="AE24">IF(F24="","",SUM(T24:AC24)*IF(AD24="SI",1,2))</f>
        <v>0</v>
      </c>
      <c r="AF24" s="705"/>
    </row>
    <row r="25" spans="2:32" s="5" customFormat="1" ht="17.1" customHeight="1">
      <c r="B25" s="50"/>
      <c r="C25" s="270"/>
      <c r="D25" s="270"/>
      <c r="E25" s="270"/>
      <c r="F25" s="706"/>
      <c r="G25" s="707"/>
      <c r="H25" s="748"/>
      <c r="I25" s="707"/>
      <c r="J25" s="696">
        <f t="shared" si="0"/>
        <v>20</v>
      </c>
      <c r="K25" s="697" t="e">
        <f t="shared" si="1"/>
        <v>#VALUE!</v>
      </c>
      <c r="L25" s="708"/>
      <c r="M25" s="709"/>
      <c r="N25" s="182" t="str">
        <f t="shared" si="2"/>
        <v/>
      </c>
      <c r="O25" s="183" t="str">
        <f t="shared" si="3"/>
        <v/>
      </c>
      <c r="P25" s="216"/>
      <c r="Q25" s="795" t="str">
        <f t="shared" si="4"/>
        <v/>
      </c>
      <c r="R25" s="217" t="str">
        <f t="shared" si="5"/>
        <v/>
      </c>
      <c r="S25" s="217" t="str">
        <f t="shared" si="6"/>
        <v/>
      </c>
      <c r="T25" s="799" t="str">
        <f t="shared" si="7"/>
        <v>--</v>
      </c>
      <c r="U25" s="800" t="str">
        <f t="shared" si="8"/>
        <v>--</v>
      </c>
      <c r="V25" s="208" t="str">
        <f t="shared" si="9"/>
        <v>--</v>
      </c>
      <c r="W25" s="209" t="str">
        <f t="shared" si="10"/>
        <v>--</v>
      </c>
      <c r="X25" s="210" t="str">
        <f t="shared" si="11"/>
        <v>--</v>
      </c>
      <c r="Y25" s="801" t="str">
        <f t="shared" si="12"/>
        <v>--</v>
      </c>
      <c r="Z25" s="802" t="str">
        <f t="shared" si="13"/>
        <v>--</v>
      </c>
      <c r="AA25" s="803" t="str">
        <f t="shared" si="14"/>
        <v>--</v>
      </c>
      <c r="AB25" s="804" t="str">
        <f t="shared" si="15"/>
        <v>--</v>
      </c>
      <c r="AC25" s="805" t="str">
        <f t="shared" si="16"/>
        <v>--</v>
      </c>
      <c r="AD25" s="796" t="str">
        <f aca="true" t="shared" si="29" ref="AD25:AD41">IF(F25="","","SI")</f>
        <v/>
      </c>
      <c r="AE25" s="16" t="str">
        <f t="shared" si="17"/>
        <v/>
      </c>
      <c r="AF25" s="705"/>
    </row>
    <row r="26" spans="2:32" s="5" customFormat="1" ht="17.1" customHeight="1">
      <c r="B26" s="50"/>
      <c r="C26" s="149"/>
      <c r="D26" s="149"/>
      <c r="E26" s="149"/>
      <c r="F26" s="149"/>
      <c r="G26" s="179"/>
      <c r="H26" s="747"/>
      <c r="I26" s="179"/>
      <c r="J26" s="696">
        <f t="shared" si="0"/>
        <v>20</v>
      </c>
      <c r="K26" s="697" t="e">
        <f t="shared" si="1"/>
        <v>#VALUE!</v>
      </c>
      <c r="L26" s="698"/>
      <c r="M26" s="699"/>
      <c r="N26" s="182" t="str">
        <f t="shared" si="2"/>
        <v/>
      </c>
      <c r="O26" s="183" t="str">
        <f t="shared" si="3"/>
        <v/>
      </c>
      <c r="P26" s="216"/>
      <c r="Q26" s="795" t="str">
        <f t="shared" si="4"/>
        <v/>
      </c>
      <c r="R26" s="217" t="str">
        <f t="shared" si="5"/>
        <v/>
      </c>
      <c r="S26" s="217" t="str">
        <f t="shared" si="6"/>
        <v/>
      </c>
      <c r="T26" s="799" t="str">
        <f t="shared" si="7"/>
        <v>--</v>
      </c>
      <c r="U26" s="800" t="str">
        <f t="shared" si="8"/>
        <v>--</v>
      </c>
      <c r="V26" s="208" t="str">
        <f t="shared" si="9"/>
        <v>--</v>
      </c>
      <c r="W26" s="209" t="str">
        <f t="shared" si="10"/>
        <v>--</v>
      </c>
      <c r="X26" s="210" t="str">
        <f t="shared" si="11"/>
        <v>--</v>
      </c>
      <c r="Y26" s="801" t="str">
        <f t="shared" si="12"/>
        <v>--</v>
      </c>
      <c r="Z26" s="802" t="str">
        <f t="shared" si="13"/>
        <v>--</v>
      </c>
      <c r="AA26" s="803" t="str">
        <f t="shared" si="14"/>
        <v>--</v>
      </c>
      <c r="AB26" s="804" t="str">
        <f t="shared" si="15"/>
        <v>--</v>
      </c>
      <c r="AC26" s="805" t="str">
        <f t="shared" si="16"/>
        <v>--</v>
      </c>
      <c r="AD26" s="796" t="str">
        <f t="shared" si="29"/>
        <v/>
      </c>
      <c r="AE26" s="16" t="str">
        <f t="shared" si="17"/>
        <v/>
      </c>
      <c r="AF26" s="705"/>
    </row>
    <row r="27" spans="2:32" s="5" customFormat="1" ht="17.1" customHeight="1">
      <c r="B27" s="50"/>
      <c r="C27" s="270"/>
      <c r="D27" s="270"/>
      <c r="E27" s="270"/>
      <c r="F27" s="149"/>
      <c r="G27" s="179"/>
      <c r="H27" s="747"/>
      <c r="I27" s="179"/>
      <c r="J27" s="696">
        <f t="shared" si="0"/>
        <v>20</v>
      </c>
      <c r="K27" s="697" t="e">
        <f t="shared" si="1"/>
        <v>#VALUE!</v>
      </c>
      <c r="L27" s="698"/>
      <c r="M27" s="699"/>
      <c r="N27" s="182" t="str">
        <f t="shared" si="2"/>
        <v/>
      </c>
      <c r="O27" s="183" t="str">
        <f t="shared" si="3"/>
        <v/>
      </c>
      <c r="P27" s="216"/>
      <c r="Q27" s="795" t="str">
        <f t="shared" si="4"/>
        <v/>
      </c>
      <c r="R27" s="217" t="str">
        <f t="shared" si="5"/>
        <v/>
      </c>
      <c r="S27" s="217" t="str">
        <f t="shared" si="6"/>
        <v/>
      </c>
      <c r="T27" s="799" t="str">
        <f t="shared" si="7"/>
        <v>--</v>
      </c>
      <c r="U27" s="800" t="str">
        <f t="shared" si="8"/>
        <v>--</v>
      </c>
      <c r="V27" s="208" t="str">
        <f t="shared" si="9"/>
        <v>--</v>
      </c>
      <c r="W27" s="209" t="str">
        <f t="shared" si="10"/>
        <v>--</v>
      </c>
      <c r="X27" s="210" t="str">
        <f t="shared" si="11"/>
        <v>--</v>
      </c>
      <c r="Y27" s="801" t="str">
        <f t="shared" si="12"/>
        <v>--</v>
      </c>
      <c r="Z27" s="802" t="str">
        <f t="shared" si="13"/>
        <v>--</v>
      </c>
      <c r="AA27" s="803" t="str">
        <f t="shared" si="14"/>
        <v>--</v>
      </c>
      <c r="AB27" s="804" t="str">
        <f t="shared" si="15"/>
        <v>--</v>
      </c>
      <c r="AC27" s="805" t="str">
        <f t="shared" si="16"/>
        <v>--</v>
      </c>
      <c r="AD27" s="796" t="str">
        <f t="shared" si="29"/>
        <v/>
      </c>
      <c r="AE27" s="16" t="str">
        <f>IF(F27="","",SUM(T27:AC27)*IF(AD27="SI",1,2))</f>
        <v/>
      </c>
      <c r="AF27" s="705"/>
    </row>
    <row r="28" spans="2:32" s="5" customFormat="1" ht="17.1" customHeight="1">
      <c r="B28" s="50"/>
      <c r="C28" s="149"/>
      <c r="D28" s="149"/>
      <c r="E28" s="149"/>
      <c r="F28" s="141"/>
      <c r="G28" s="143"/>
      <c r="H28" s="749"/>
      <c r="I28" s="143"/>
      <c r="J28" s="696">
        <f t="shared" si="0"/>
        <v>20</v>
      </c>
      <c r="K28" s="697" t="e">
        <f t="shared" si="1"/>
        <v>#VALUE!</v>
      </c>
      <c r="L28" s="180"/>
      <c r="M28" s="215"/>
      <c r="N28" s="182" t="str">
        <f t="shared" si="2"/>
        <v/>
      </c>
      <c r="O28" s="183" t="str">
        <f t="shared" si="3"/>
        <v/>
      </c>
      <c r="P28" s="216"/>
      <c r="Q28" s="795" t="str">
        <f t="shared" si="4"/>
        <v/>
      </c>
      <c r="R28" s="217" t="str">
        <f t="shared" si="5"/>
        <v/>
      </c>
      <c r="S28" s="217" t="str">
        <f t="shared" si="6"/>
        <v/>
      </c>
      <c r="T28" s="799" t="str">
        <f t="shared" si="7"/>
        <v>--</v>
      </c>
      <c r="U28" s="800" t="str">
        <f t="shared" si="8"/>
        <v>--</v>
      </c>
      <c r="V28" s="208" t="str">
        <f t="shared" si="9"/>
        <v>--</v>
      </c>
      <c r="W28" s="209" t="str">
        <f t="shared" si="10"/>
        <v>--</v>
      </c>
      <c r="X28" s="210" t="str">
        <f t="shared" si="11"/>
        <v>--</v>
      </c>
      <c r="Y28" s="801" t="str">
        <f t="shared" si="12"/>
        <v>--</v>
      </c>
      <c r="Z28" s="802" t="str">
        <f t="shared" si="13"/>
        <v>--</v>
      </c>
      <c r="AA28" s="803" t="str">
        <f t="shared" si="14"/>
        <v>--</v>
      </c>
      <c r="AB28" s="804" t="str">
        <f t="shared" si="15"/>
        <v>--</v>
      </c>
      <c r="AC28" s="805" t="str">
        <f t="shared" si="16"/>
        <v>--</v>
      </c>
      <c r="AD28" s="796" t="str">
        <f t="shared" si="29"/>
        <v/>
      </c>
      <c r="AE28" s="16" t="str">
        <f t="shared" si="17"/>
        <v/>
      </c>
      <c r="AF28" s="705"/>
    </row>
    <row r="29" spans="2:32" s="5" customFormat="1" ht="17.1" customHeight="1">
      <c r="B29" s="50"/>
      <c r="C29" s="270"/>
      <c r="D29" s="270"/>
      <c r="E29" s="270"/>
      <c r="F29" s="141"/>
      <c r="G29" s="143"/>
      <c r="H29" s="749"/>
      <c r="I29" s="143"/>
      <c r="J29" s="696">
        <f t="shared" si="0"/>
        <v>20</v>
      </c>
      <c r="K29" s="697" t="e">
        <f t="shared" si="1"/>
        <v>#VALUE!</v>
      </c>
      <c r="L29" s="180"/>
      <c r="M29" s="215"/>
      <c r="N29" s="182" t="str">
        <f t="shared" si="2"/>
        <v/>
      </c>
      <c r="O29" s="183" t="str">
        <f t="shared" si="3"/>
        <v/>
      </c>
      <c r="P29" s="216"/>
      <c r="Q29" s="795" t="str">
        <f t="shared" si="4"/>
        <v/>
      </c>
      <c r="R29" s="217" t="str">
        <f t="shared" si="5"/>
        <v/>
      </c>
      <c r="S29" s="217" t="str">
        <f t="shared" si="6"/>
        <v/>
      </c>
      <c r="T29" s="799" t="str">
        <f t="shared" si="7"/>
        <v>--</v>
      </c>
      <c r="U29" s="800" t="str">
        <f t="shared" si="8"/>
        <v>--</v>
      </c>
      <c r="V29" s="208" t="str">
        <f t="shared" si="9"/>
        <v>--</v>
      </c>
      <c r="W29" s="209" t="str">
        <f t="shared" si="10"/>
        <v>--</v>
      </c>
      <c r="X29" s="210" t="str">
        <f t="shared" si="11"/>
        <v>--</v>
      </c>
      <c r="Y29" s="801" t="str">
        <f t="shared" si="12"/>
        <v>--</v>
      </c>
      <c r="Z29" s="802" t="str">
        <f t="shared" si="13"/>
        <v>--</v>
      </c>
      <c r="AA29" s="803" t="str">
        <f t="shared" si="14"/>
        <v>--</v>
      </c>
      <c r="AB29" s="804" t="str">
        <f t="shared" si="15"/>
        <v>--</v>
      </c>
      <c r="AC29" s="805" t="str">
        <f t="shared" si="16"/>
        <v>--</v>
      </c>
      <c r="AD29" s="796" t="str">
        <f t="shared" si="29"/>
        <v/>
      </c>
      <c r="AE29" s="16" t="str">
        <f t="shared" si="17"/>
        <v/>
      </c>
      <c r="AF29" s="705"/>
    </row>
    <row r="30" spans="2:32" s="5" customFormat="1" ht="17.1" customHeight="1">
      <c r="B30" s="50"/>
      <c r="C30" s="149"/>
      <c r="D30" s="149"/>
      <c r="E30" s="149"/>
      <c r="F30" s="141"/>
      <c r="G30" s="143"/>
      <c r="H30" s="749"/>
      <c r="I30" s="143"/>
      <c r="J30" s="696">
        <f t="shared" si="0"/>
        <v>20</v>
      </c>
      <c r="K30" s="697" t="e">
        <f t="shared" si="1"/>
        <v>#VALUE!</v>
      </c>
      <c r="L30" s="180"/>
      <c r="M30" s="215"/>
      <c r="N30" s="182" t="str">
        <f t="shared" si="2"/>
        <v/>
      </c>
      <c r="O30" s="183" t="str">
        <f t="shared" si="3"/>
        <v/>
      </c>
      <c r="P30" s="216"/>
      <c r="Q30" s="795" t="str">
        <f t="shared" si="4"/>
        <v/>
      </c>
      <c r="R30" s="217" t="str">
        <f t="shared" si="5"/>
        <v/>
      </c>
      <c r="S30" s="217" t="str">
        <f t="shared" si="6"/>
        <v/>
      </c>
      <c r="T30" s="799" t="str">
        <f t="shared" si="7"/>
        <v>--</v>
      </c>
      <c r="U30" s="800" t="str">
        <f t="shared" si="8"/>
        <v>--</v>
      </c>
      <c r="V30" s="208" t="str">
        <f t="shared" si="9"/>
        <v>--</v>
      </c>
      <c r="W30" s="209" t="str">
        <f t="shared" si="10"/>
        <v>--</v>
      </c>
      <c r="X30" s="210" t="str">
        <f t="shared" si="11"/>
        <v>--</v>
      </c>
      <c r="Y30" s="801" t="str">
        <f t="shared" si="12"/>
        <v>--</v>
      </c>
      <c r="Z30" s="802" t="str">
        <f t="shared" si="13"/>
        <v>--</v>
      </c>
      <c r="AA30" s="803" t="str">
        <f t="shared" si="14"/>
        <v>--</v>
      </c>
      <c r="AB30" s="804" t="str">
        <f t="shared" si="15"/>
        <v>--</v>
      </c>
      <c r="AC30" s="805" t="str">
        <f t="shared" si="16"/>
        <v>--</v>
      </c>
      <c r="AD30" s="796" t="str">
        <f t="shared" si="29"/>
        <v/>
      </c>
      <c r="AE30" s="16" t="str">
        <f t="shared" si="17"/>
        <v/>
      </c>
      <c r="AF30" s="705"/>
    </row>
    <row r="31" spans="2:32" s="5" customFormat="1" ht="17.1" customHeight="1">
      <c r="B31" s="50"/>
      <c r="C31" s="270"/>
      <c r="D31" s="270"/>
      <c r="E31" s="270"/>
      <c r="F31" s="141"/>
      <c r="G31" s="143"/>
      <c r="H31" s="749"/>
      <c r="I31" s="143"/>
      <c r="J31" s="696">
        <f t="shared" si="0"/>
        <v>20</v>
      </c>
      <c r="K31" s="697" t="e">
        <f t="shared" si="1"/>
        <v>#VALUE!</v>
      </c>
      <c r="L31" s="180"/>
      <c r="M31" s="215"/>
      <c r="N31" s="182" t="str">
        <f t="shared" si="2"/>
        <v/>
      </c>
      <c r="O31" s="183" t="str">
        <f t="shared" si="3"/>
        <v/>
      </c>
      <c r="P31" s="216"/>
      <c r="Q31" s="795" t="str">
        <f t="shared" si="4"/>
        <v/>
      </c>
      <c r="R31" s="217" t="str">
        <f t="shared" si="5"/>
        <v/>
      </c>
      <c r="S31" s="217" t="str">
        <f t="shared" si="6"/>
        <v/>
      </c>
      <c r="T31" s="799" t="str">
        <f t="shared" si="7"/>
        <v>--</v>
      </c>
      <c r="U31" s="800" t="str">
        <f t="shared" si="8"/>
        <v>--</v>
      </c>
      <c r="V31" s="208" t="str">
        <f t="shared" si="9"/>
        <v>--</v>
      </c>
      <c r="W31" s="209" t="str">
        <f t="shared" si="10"/>
        <v>--</v>
      </c>
      <c r="X31" s="210" t="str">
        <f t="shared" si="11"/>
        <v>--</v>
      </c>
      <c r="Y31" s="801" t="str">
        <f t="shared" si="12"/>
        <v>--</v>
      </c>
      <c r="Z31" s="802" t="str">
        <f t="shared" si="13"/>
        <v>--</v>
      </c>
      <c r="AA31" s="803" t="str">
        <f t="shared" si="14"/>
        <v>--</v>
      </c>
      <c r="AB31" s="804" t="str">
        <f t="shared" si="15"/>
        <v>--</v>
      </c>
      <c r="AC31" s="805" t="str">
        <f t="shared" si="16"/>
        <v>--</v>
      </c>
      <c r="AD31" s="796" t="str">
        <f t="shared" si="29"/>
        <v/>
      </c>
      <c r="AE31" s="16" t="str">
        <f t="shared" si="17"/>
        <v/>
      </c>
      <c r="AF31" s="705"/>
    </row>
    <row r="32" spans="2:32" s="5" customFormat="1" ht="17.1" customHeight="1">
      <c r="B32" s="50"/>
      <c r="C32" s="149"/>
      <c r="D32" s="149"/>
      <c r="E32" s="149"/>
      <c r="F32" s="141"/>
      <c r="G32" s="143"/>
      <c r="H32" s="749"/>
      <c r="I32" s="143"/>
      <c r="J32" s="696">
        <f t="shared" si="0"/>
        <v>20</v>
      </c>
      <c r="K32" s="697" t="e">
        <f t="shared" si="1"/>
        <v>#VALUE!</v>
      </c>
      <c r="L32" s="180"/>
      <c r="M32" s="215"/>
      <c r="N32" s="182" t="str">
        <f t="shared" si="2"/>
        <v/>
      </c>
      <c r="O32" s="183" t="str">
        <f t="shared" si="3"/>
        <v/>
      </c>
      <c r="P32" s="216"/>
      <c r="Q32" s="795" t="str">
        <f t="shared" si="4"/>
        <v/>
      </c>
      <c r="R32" s="217" t="str">
        <f t="shared" si="5"/>
        <v/>
      </c>
      <c r="S32" s="217" t="str">
        <f t="shared" si="6"/>
        <v/>
      </c>
      <c r="T32" s="799" t="str">
        <f t="shared" si="7"/>
        <v>--</v>
      </c>
      <c r="U32" s="800" t="str">
        <f t="shared" si="8"/>
        <v>--</v>
      </c>
      <c r="V32" s="208" t="str">
        <f t="shared" si="9"/>
        <v>--</v>
      </c>
      <c r="W32" s="209" t="str">
        <f t="shared" si="10"/>
        <v>--</v>
      </c>
      <c r="X32" s="210" t="str">
        <f t="shared" si="11"/>
        <v>--</v>
      </c>
      <c r="Y32" s="801" t="str">
        <f t="shared" si="12"/>
        <v>--</v>
      </c>
      <c r="Z32" s="802" t="str">
        <f t="shared" si="13"/>
        <v>--</v>
      </c>
      <c r="AA32" s="803" t="str">
        <f t="shared" si="14"/>
        <v>--</v>
      </c>
      <c r="AB32" s="804" t="str">
        <f t="shared" si="15"/>
        <v>--</v>
      </c>
      <c r="AC32" s="805" t="str">
        <f t="shared" si="16"/>
        <v>--</v>
      </c>
      <c r="AD32" s="796" t="str">
        <f t="shared" si="29"/>
        <v/>
      </c>
      <c r="AE32" s="16" t="str">
        <f t="shared" si="17"/>
        <v/>
      </c>
      <c r="AF32" s="705"/>
    </row>
    <row r="33" spans="2:32" s="5" customFormat="1" ht="17.1" customHeight="1">
      <c r="B33" s="50"/>
      <c r="C33" s="270"/>
      <c r="D33" s="270"/>
      <c r="E33" s="270"/>
      <c r="F33" s="141"/>
      <c r="G33" s="143"/>
      <c r="H33" s="749"/>
      <c r="I33" s="143"/>
      <c r="J33" s="696">
        <f t="shared" si="0"/>
        <v>20</v>
      </c>
      <c r="K33" s="697" t="e">
        <f t="shared" si="1"/>
        <v>#VALUE!</v>
      </c>
      <c r="L33" s="180"/>
      <c r="M33" s="181"/>
      <c r="N33" s="182" t="str">
        <f t="shared" si="2"/>
        <v/>
      </c>
      <c r="O33" s="183" t="str">
        <f t="shared" si="3"/>
        <v/>
      </c>
      <c r="P33" s="216"/>
      <c r="Q33" s="795" t="str">
        <f t="shared" si="4"/>
        <v/>
      </c>
      <c r="R33" s="217" t="str">
        <f t="shared" si="5"/>
        <v/>
      </c>
      <c r="S33" s="217" t="str">
        <f t="shared" si="6"/>
        <v/>
      </c>
      <c r="T33" s="799" t="str">
        <f t="shared" si="7"/>
        <v>--</v>
      </c>
      <c r="U33" s="800" t="str">
        <f t="shared" si="8"/>
        <v>--</v>
      </c>
      <c r="V33" s="208" t="str">
        <f t="shared" si="9"/>
        <v>--</v>
      </c>
      <c r="W33" s="209" t="str">
        <f t="shared" si="10"/>
        <v>--</v>
      </c>
      <c r="X33" s="210" t="str">
        <f t="shared" si="11"/>
        <v>--</v>
      </c>
      <c r="Y33" s="801" t="str">
        <f t="shared" si="12"/>
        <v>--</v>
      </c>
      <c r="Z33" s="802" t="str">
        <f t="shared" si="13"/>
        <v>--</v>
      </c>
      <c r="AA33" s="803" t="str">
        <f t="shared" si="14"/>
        <v>--</v>
      </c>
      <c r="AB33" s="804" t="str">
        <f t="shared" si="15"/>
        <v>--</v>
      </c>
      <c r="AC33" s="805" t="str">
        <f t="shared" si="16"/>
        <v>--</v>
      </c>
      <c r="AD33" s="796" t="str">
        <f t="shared" si="29"/>
        <v/>
      </c>
      <c r="AE33" s="16" t="str">
        <f t="shared" si="17"/>
        <v/>
      </c>
      <c r="AF33" s="705"/>
    </row>
    <row r="34" spans="2:32" s="5" customFormat="1" ht="17.1" customHeight="1">
      <c r="B34" s="50"/>
      <c r="C34" s="149"/>
      <c r="D34" s="149"/>
      <c r="E34" s="149"/>
      <c r="F34" s="141"/>
      <c r="G34" s="143"/>
      <c r="H34" s="749"/>
      <c r="I34" s="143"/>
      <c r="J34" s="696">
        <f t="shared" si="0"/>
        <v>20</v>
      </c>
      <c r="K34" s="697" t="e">
        <f t="shared" si="1"/>
        <v>#VALUE!</v>
      </c>
      <c r="L34" s="180"/>
      <c r="M34" s="181"/>
      <c r="N34" s="182" t="str">
        <f t="shared" si="2"/>
        <v/>
      </c>
      <c r="O34" s="183" t="str">
        <f t="shared" si="3"/>
        <v/>
      </c>
      <c r="P34" s="216"/>
      <c r="Q34" s="795" t="str">
        <f t="shared" si="4"/>
        <v/>
      </c>
      <c r="R34" s="217" t="str">
        <f t="shared" si="5"/>
        <v/>
      </c>
      <c r="S34" s="217" t="str">
        <f t="shared" si="6"/>
        <v/>
      </c>
      <c r="T34" s="799" t="str">
        <f t="shared" si="7"/>
        <v>--</v>
      </c>
      <c r="U34" s="800" t="str">
        <f t="shared" si="8"/>
        <v>--</v>
      </c>
      <c r="V34" s="208" t="str">
        <f t="shared" si="9"/>
        <v>--</v>
      </c>
      <c r="W34" s="209" t="str">
        <f t="shared" si="10"/>
        <v>--</v>
      </c>
      <c r="X34" s="210" t="str">
        <f t="shared" si="11"/>
        <v>--</v>
      </c>
      <c r="Y34" s="801" t="str">
        <f t="shared" si="12"/>
        <v>--</v>
      </c>
      <c r="Z34" s="802" t="str">
        <f t="shared" si="13"/>
        <v>--</v>
      </c>
      <c r="AA34" s="803" t="str">
        <f t="shared" si="14"/>
        <v>--</v>
      </c>
      <c r="AB34" s="804" t="str">
        <f t="shared" si="15"/>
        <v>--</v>
      </c>
      <c r="AC34" s="805" t="str">
        <f t="shared" si="16"/>
        <v>--</v>
      </c>
      <c r="AD34" s="796" t="str">
        <f t="shared" si="29"/>
        <v/>
      </c>
      <c r="AE34" s="16" t="str">
        <f t="shared" si="17"/>
        <v/>
      </c>
      <c r="AF34" s="705"/>
    </row>
    <row r="35" spans="2:32" s="5" customFormat="1" ht="17.1" customHeight="1">
      <c r="B35" s="50"/>
      <c r="C35" s="270"/>
      <c r="D35" s="270"/>
      <c r="E35" s="270"/>
      <c r="F35" s="141"/>
      <c r="G35" s="143"/>
      <c r="H35" s="749"/>
      <c r="I35" s="143"/>
      <c r="J35" s="696">
        <f t="shared" si="0"/>
        <v>20</v>
      </c>
      <c r="K35" s="697" t="e">
        <f t="shared" si="1"/>
        <v>#VALUE!</v>
      </c>
      <c r="L35" s="180"/>
      <c r="M35" s="181"/>
      <c r="N35" s="182" t="str">
        <f t="shared" si="2"/>
        <v/>
      </c>
      <c r="O35" s="183" t="str">
        <f t="shared" si="3"/>
        <v/>
      </c>
      <c r="P35" s="216"/>
      <c r="Q35" s="795" t="str">
        <f t="shared" si="4"/>
        <v/>
      </c>
      <c r="R35" s="217" t="str">
        <f t="shared" si="5"/>
        <v/>
      </c>
      <c r="S35" s="217" t="str">
        <f t="shared" si="6"/>
        <v/>
      </c>
      <c r="T35" s="799" t="str">
        <f t="shared" si="7"/>
        <v>--</v>
      </c>
      <c r="U35" s="800" t="str">
        <f t="shared" si="8"/>
        <v>--</v>
      </c>
      <c r="V35" s="208" t="str">
        <f t="shared" si="9"/>
        <v>--</v>
      </c>
      <c r="W35" s="209" t="str">
        <f t="shared" si="10"/>
        <v>--</v>
      </c>
      <c r="X35" s="210" t="str">
        <f t="shared" si="11"/>
        <v>--</v>
      </c>
      <c r="Y35" s="801" t="str">
        <f t="shared" si="12"/>
        <v>--</v>
      </c>
      <c r="Z35" s="802" t="str">
        <f t="shared" si="13"/>
        <v>--</v>
      </c>
      <c r="AA35" s="803" t="str">
        <f t="shared" si="14"/>
        <v>--</v>
      </c>
      <c r="AB35" s="804" t="str">
        <f t="shared" si="15"/>
        <v>--</v>
      </c>
      <c r="AC35" s="805" t="str">
        <f t="shared" si="16"/>
        <v>--</v>
      </c>
      <c r="AD35" s="796" t="str">
        <f t="shared" si="29"/>
        <v/>
      </c>
      <c r="AE35" s="16" t="str">
        <f t="shared" si="17"/>
        <v/>
      </c>
      <c r="AF35" s="705"/>
    </row>
    <row r="36" spans="2:32" s="5" customFormat="1" ht="17.1" customHeight="1">
      <c r="B36" s="50"/>
      <c r="C36" s="149"/>
      <c r="D36" s="149"/>
      <c r="E36" s="149"/>
      <c r="F36" s="141"/>
      <c r="G36" s="143"/>
      <c r="H36" s="749"/>
      <c r="I36" s="143"/>
      <c r="J36" s="696">
        <f t="shared" si="0"/>
        <v>20</v>
      </c>
      <c r="K36" s="697" t="e">
        <f t="shared" si="1"/>
        <v>#VALUE!</v>
      </c>
      <c r="L36" s="180"/>
      <c r="M36" s="181"/>
      <c r="N36" s="182" t="str">
        <f t="shared" si="2"/>
        <v/>
      </c>
      <c r="O36" s="183" t="str">
        <f t="shared" si="3"/>
        <v/>
      </c>
      <c r="P36" s="216"/>
      <c r="Q36" s="795" t="str">
        <f t="shared" si="4"/>
        <v/>
      </c>
      <c r="R36" s="217" t="str">
        <f t="shared" si="5"/>
        <v/>
      </c>
      <c r="S36" s="217" t="str">
        <f t="shared" si="6"/>
        <v/>
      </c>
      <c r="T36" s="799" t="str">
        <f t="shared" si="7"/>
        <v>--</v>
      </c>
      <c r="U36" s="800" t="str">
        <f t="shared" si="8"/>
        <v>--</v>
      </c>
      <c r="V36" s="208" t="str">
        <f t="shared" si="9"/>
        <v>--</v>
      </c>
      <c r="W36" s="209" t="str">
        <f t="shared" si="10"/>
        <v>--</v>
      </c>
      <c r="X36" s="210" t="str">
        <f t="shared" si="11"/>
        <v>--</v>
      </c>
      <c r="Y36" s="801" t="str">
        <f t="shared" si="12"/>
        <v>--</v>
      </c>
      <c r="Z36" s="802" t="str">
        <f t="shared" si="13"/>
        <v>--</v>
      </c>
      <c r="AA36" s="803" t="str">
        <f t="shared" si="14"/>
        <v>--</v>
      </c>
      <c r="AB36" s="804" t="str">
        <f t="shared" si="15"/>
        <v>--</v>
      </c>
      <c r="AC36" s="805" t="str">
        <f t="shared" si="16"/>
        <v>--</v>
      </c>
      <c r="AD36" s="796" t="str">
        <f t="shared" si="29"/>
        <v/>
      </c>
      <c r="AE36" s="16" t="str">
        <f t="shared" si="17"/>
        <v/>
      </c>
      <c r="AF36" s="705"/>
    </row>
    <row r="37" spans="2:32" s="5" customFormat="1" ht="17.1" customHeight="1">
      <c r="B37" s="50"/>
      <c r="C37" s="270"/>
      <c r="D37" s="270"/>
      <c r="E37" s="270"/>
      <c r="F37" s="141"/>
      <c r="G37" s="143"/>
      <c r="H37" s="749"/>
      <c r="I37" s="143"/>
      <c r="J37" s="696">
        <f t="shared" si="0"/>
        <v>20</v>
      </c>
      <c r="K37" s="697" t="e">
        <f t="shared" si="1"/>
        <v>#VALUE!</v>
      </c>
      <c r="L37" s="180"/>
      <c r="M37" s="181"/>
      <c r="N37" s="182" t="str">
        <f t="shared" si="2"/>
        <v/>
      </c>
      <c r="O37" s="183" t="str">
        <f t="shared" si="3"/>
        <v/>
      </c>
      <c r="P37" s="216"/>
      <c r="Q37" s="795" t="str">
        <f t="shared" si="4"/>
        <v/>
      </c>
      <c r="R37" s="217" t="str">
        <f t="shared" si="5"/>
        <v/>
      </c>
      <c r="S37" s="217" t="str">
        <f t="shared" si="6"/>
        <v/>
      </c>
      <c r="T37" s="799" t="str">
        <f t="shared" si="7"/>
        <v>--</v>
      </c>
      <c r="U37" s="800" t="str">
        <f t="shared" si="8"/>
        <v>--</v>
      </c>
      <c r="V37" s="208" t="str">
        <f t="shared" si="9"/>
        <v>--</v>
      </c>
      <c r="W37" s="209" t="str">
        <f t="shared" si="10"/>
        <v>--</v>
      </c>
      <c r="X37" s="210" t="str">
        <f t="shared" si="11"/>
        <v>--</v>
      </c>
      <c r="Y37" s="801" t="str">
        <f t="shared" si="12"/>
        <v>--</v>
      </c>
      <c r="Z37" s="802" t="str">
        <f t="shared" si="13"/>
        <v>--</v>
      </c>
      <c r="AA37" s="803" t="str">
        <f t="shared" si="14"/>
        <v>--</v>
      </c>
      <c r="AB37" s="804" t="str">
        <f t="shared" si="15"/>
        <v>--</v>
      </c>
      <c r="AC37" s="805" t="str">
        <f t="shared" si="16"/>
        <v>--</v>
      </c>
      <c r="AD37" s="796" t="str">
        <f t="shared" si="29"/>
        <v/>
      </c>
      <c r="AE37" s="16" t="str">
        <f t="shared" si="17"/>
        <v/>
      </c>
      <c r="AF37" s="705"/>
    </row>
    <row r="38" spans="2:32" s="5" customFormat="1" ht="17.1" customHeight="1">
      <c r="B38" s="50"/>
      <c r="C38" s="149"/>
      <c r="D38" s="149"/>
      <c r="E38" s="149"/>
      <c r="F38" s="141"/>
      <c r="G38" s="143"/>
      <c r="H38" s="749"/>
      <c r="I38" s="143"/>
      <c r="J38" s="696">
        <f t="shared" si="0"/>
        <v>20</v>
      </c>
      <c r="K38" s="697" t="e">
        <f t="shared" si="1"/>
        <v>#VALUE!</v>
      </c>
      <c r="L38" s="180"/>
      <c r="M38" s="181"/>
      <c r="N38" s="182" t="str">
        <f t="shared" si="2"/>
        <v/>
      </c>
      <c r="O38" s="183" t="str">
        <f t="shared" si="3"/>
        <v/>
      </c>
      <c r="P38" s="216"/>
      <c r="Q38" s="795" t="str">
        <f t="shared" si="4"/>
        <v/>
      </c>
      <c r="R38" s="217" t="str">
        <f t="shared" si="5"/>
        <v/>
      </c>
      <c r="S38" s="217" t="str">
        <f t="shared" si="6"/>
        <v/>
      </c>
      <c r="T38" s="799" t="str">
        <f t="shared" si="7"/>
        <v>--</v>
      </c>
      <c r="U38" s="800" t="str">
        <f t="shared" si="8"/>
        <v>--</v>
      </c>
      <c r="V38" s="208" t="str">
        <f t="shared" si="9"/>
        <v>--</v>
      </c>
      <c r="W38" s="209" t="str">
        <f t="shared" si="10"/>
        <v>--</v>
      </c>
      <c r="X38" s="210" t="str">
        <f t="shared" si="11"/>
        <v>--</v>
      </c>
      <c r="Y38" s="801" t="str">
        <f t="shared" si="12"/>
        <v>--</v>
      </c>
      <c r="Z38" s="802" t="str">
        <f t="shared" si="13"/>
        <v>--</v>
      </c>
      <c r="AA38" s="803" t="str">
        <f t="shared" si="14"/>
        <v>--</v>
      </c>
      <c r="AB38" s="804" t="str">
        <f t="shared" si="15"/>
        <v>--</v>
      </c>
      <c r="AC38" s="805" t="str">
        <f t="shared" si="16"/>
        <v>--</v>
      </c>
      <c r="AD38" s="796" t="str">
        <f t="shared" si="29"/>
        <v/>
      </c>
      <c r="AE38" s="16" t="str">
        <f t="shared" si="17"/>
        <v/>
      </c>
      <c r="AF38" s="705"/>
    </row>
    <row r="39" spans="2:32" s="5" customFormat="1" ht="17.1" customHeight="1">
      <c r="B39" s="50"/>
      <c r="C39" s="270"/>
      <c r="D39" s="270"/>
      <c r="E39" s="270"/>
      <c r="F39" s="141"/>
      <c r="G39" s="143"/>
      <c r="H39" s="749"/>
      <c r="I39" s="143"/>
      <c r="J39" s="696">
        <f t="shared" si="0"/>
        <v>20</v>
      </c>
      <c r="K39" s="697" t="e">
        <f t="shared" si="1"/>
        <v>#VALUE!</v>
      </c>
      <c r="L39" s="180"/>
      <c r="M39" s="181"/>
      <c r="N39" s="182" t="str">
        <f t="shared" si="2"/>
        <v/>
      </c>
      <c r="O39" s="183" t="str">
        <f t="shared" si="3"/>
        <v/>
      </c>
      <c r="P39" s="216"/>
      <c r="Q39" s="795" t="str">
        <f t="shared" si="4"/>
        <v/>
      </c>
      <c r="R39" s="217" t="str">
        <f t="shared" si="5"/>
        <v/>
      </c>
      <c r="S39" s="217" t="str">
        <f t="shared" si="6"/>
        <v/>
      </c>
      <c r="T39" s="799" t="str">
        <f t="shared" si="7"/>
        <v>--</v>
      </c>
      <c r="U39" s="800" t="str">
        <f t="shared" si="8"/>
        <v>--</v>
      </c>
      <c r="V39" s="208" t="str">
        <f t="shared" si="9"/>
        <v>--</v>
      </c>
      <c r="W39" s="209" t="str">
        <f t="shared" si="10"/>
        <v>--</v>
      </c>
      <c r="X39" s="210" t="str">
        <f t="shared" si="11"/>
        <v>--</v>
      </c>
      <c r="Y39" s="801" t="str">
        <f t="shared" si="12"/>
        <v>--</v>
      </c>
      <c r="Z39" s="802" t="str">
        <f t="shared" si="13"/>
        <v>--</v>
      </c>
      <c r="AA39" s="803" t="str">
        <f t="shared" si="14"/>
        <v>--</v>
      </c>
      <c r="AB39" s="804" t="str">
        <f t="shared" si="15"/>
        <v>--</v>
      </c>
      <c r="AC39" s="805" t="str">
        <f t="shared" si="16"/>
        <v>--</v>
      </c>
      <c r="AD39" s="796" t="str">
        <f t="shared" si="29"/>
        <v/>
      </c>
      <c r="AE39" s="16" t="str">
        <f t="shared" si="17"/>
        <v/>
      </c>
      <c r="AF39" s="705"/>
    </row>
    <row r="40" spans="2:32" s="5" customFormat="1" ht="17.1" customHeight="1">
      <c r="B40" s="50"/>
      <c r="C40" s="149"/>
      <c r="D40" s="149"/>
      <c r="E40" s="149"/>
      <c r="F40" s="141"/>
      <c r="G40" s="143"/>
      <c r="H40" s="749"/>
      <c r="I40" s="143"/>
      <c r="J40" s="696">
        <f t="shared" si="0"/>
        <v>20</v>
      </c>
      <c r="K40" s="697" t="e">
        <f t="shared" si="1"/>
        <v>#VALUE!</v>
      </c>
      <c r="L40" s="180"/>
      <c r="M40" s="181"/>
      <c r="N40" s="182" t="str">
        <f t="shared" si="2"/>
        <v/>
      </c>
      <c r="O40" s="183" t="str">
        <f t="shared" si="3"/>
        <v/>
      </c>
      <c r="P40" s="216"/>
      <c r="Q40" s="795" t="str">
        <f t="shared" si="4"/>
        <v/>
      </c>
      <c r="R40" s="217" t="str">
        <f t="shared" si="5"/>
        <v/>
      </c>
      <c r="S40" s="217" t="str">
        <f t="shared" si="6"/>
        <v/>
      </c>
      <c r="T40" s="799" t="str">
        <f t="shared" si="7"/>
        <v>--</v>
      </c>
      <c r="U40" s="800" t="str">
        <f t="shared" si="8"/>
        <v>--</v>
      </c>
      <c r="V40" s="208" t="str">
        <f t="shared" si="9"/>
        <v>--</v>
      </c>
      <c r="W40" s="209" t="str">
        <f t="shared" si="10"/>
        <v>--</v>
      </c>
      <c r="X40" s="210" t="str">
        <f t="shared" si="11"/>
        <v>--</v>
      </c>
      <c r="Y40" s="801" t="str">
        <f t="shared" si="12"/>
        <v>--</v>
      </c>
      <c r="Z40" s="802" t="str">
        <f t="shared" si="13"/>
        <v>--</v>
      </c>
      <c r="AA40" s="803" t="str">
        <f t="shared" si="14"/>
        <v>--</v>
      </c>
      <c r="AB40" s="804" t="str">
        <f t="shared" si="15"/>
        <v>--</v>
      </c>
      <c r="AC40" s="805" t="str">
        <f t="shared" si="16"/>
        <v>--</v>
      </c>
      <c r="AD40" s="796" t="str">
        <f t="shared" si="29"/>
        <v/>
      </c>
      <c r="AE40" s="16" t="str">
        <f t="shared" si="17"/>
        <v/>
      </c>
      <c r="AF40" s="705"/>
    </row>
    <row r="41" spans="2:32" s="5" customFormat="1" ht="17.1" customHeight="1">
      <c r="B41" s="50"/>
      <c r="C41" s="270"/>
      <c r="D41" s="270"/>
      <c r="E41" s="270"/>
      <c r="F41" s="141"/>
      <c r="G41" s="143"/>
      <c r="H41" s="749"/>
      <c r="I41" s="143"/>
      <c r="J41" s="696">
        <f t="shared" si="0"/>
        <v>20</v>
      </c>
      <c r="K41" s="697" t="e">
        <f t="shared" si="1"/>
        <v>#VALUE!</v>
      </c>
      <c r="L41" s="180"/>
      <c r="M41" s="181"/>
      <c r="N41" s="182" t="str">
        <f t="shared" si="2"/>
        <v/>
      </c>
      <c r="O41" s="183" t="str">
        <f t="shared" si="3"/>
        <v/>
      </c>
      <c r="P41" s="216"/>
      <c r="Q41" s="795" t="str">
        <f t="shared" si="4"/>
        <v/>
      </c>
      <c r="R41" s="217" t="str">
        <f t="shared" si="5"/>
        <v/>
      </c>
      <c r="S41" s="217" t="str">
        <f t="shared" si="6"/>
        <v/>
      </c>
      <c r="T41" s="799" t="str">
        <f t="shared" si="7"/>
        <v>--</v>
      </c>
      <c r="U41" s="800" t="str">
        <f t="shared" si="8"/>
        <v>--</v>
      </c>
      <c r="V41" s="208" t="str">
        <f t="shared" si="9"/>
        <v>--</v>
      </c>
      <c r="W41" s="209" t="str">
        <f t="shared" si="10"/>
        <v>--</v>
      </c>
      <c r="X41" s="210" t="str">
        <f t="shared" si="11"/>
        <v>--</v>
      </c>
      <c r="Y41" s="801" t="str">
        <f t="shared" si="12"/>
        <v>--</v>
      </c>
      <c r="Z41" s="802" t="str">
        <f t="shared" si="13"/>
        <v>--</v>
      </c>
      <c r="AA41" s="803" t="str">
        <f t="shared" si="14"/>
        <v>--</v>
      </c>
      <c r="AB41" s="804" t="str">
        <f t="shared" si="15"/>
        <v>--</v>
      </c>
      <c r="AC41" s="805" t="str">
        <f t="shared" si="16"/>
        <v>--</v>
      </c>
      <c r="AD41" s="796" t="str">
        <f t="shared" si="29"/>
        <v/>
      </c>
      <c r="AE41" s="16" t="str">
        <f t="shared" si="17"/>
        <v/>
      </c>
      <c r="AF41" s="705"/>
    </row>
    <row r="42" spans="2:32" s="5" customFormat="1" ht="17.1" customHeight="1" thickBot="1">
      <c r="B42" s="50"/>
      <c r="C42" s="149"/>
      <c r="D42" s="149"/>
      <c r="E42" s="149"/>
      <c r="F42" s="146"/>
      <c r="G42" s="224"/>
      <c r="H42" s="743"/>
      <c r="I42" s="225"/>
      <c r="J42" s="710"/>
      <c r="K42" s="711"/>
      <c r="L42" s="741"/>
      <c r="M42" s="741"/>
      <c r="N42" s="9"/>
      <c r="O42" s="9"/>
      <c r="P42" s="148"/>
      <c r="Q42" s="185"/>
      <c r="R42" s="148"/>
      <c r="S42" s="148"/>
      <c r="T42" s="712"/>
      <c r="U42" s="713"/>
      <c r="V42" s="226"/>
      <c r="W42" s="227"/>
      <c r="X42" s="228"/>
      <c r="Y42" s="714"/>
      <c r="Z42" s="715"/>
      <c r="AA42" s="716"/>
      <c r="AB42" s="229"/>
      <c r="AC42" s="230"/>
      <c r="AD42" s="717"/>
      <c r="AE42" s="231"/>
      <c r="AF42" s="705"/>
    </row>
    <row r="43" spans="2:32" s="5" customFormat="1" ht="17.1" customHeight="1" thickBot="1" thickTop="1">
      <c r="B43" s="50"/>
      <c r="C43" s="126" t="s">
        <v>25</v>
      </c>
      <c r="D43" s="2894" t="s">
        <v>371</v>
      </c>
      <c r="E43" s="126"/>
      <c r="F43" s="127"/>
      <c r="G43" s="232"/>
      <c r="H43" s="197"/>
      <c r="I43" s="233"/>
      <c r="J43" s="197"/>
      <c r="K43" s="186"/>
      <c r="L43" s="186"/>
      <c r="M43" s="186"/>
      <c r="N43" s="186"/>
      <c r="O43" s="186"/>
      <c r="P43" s="186"/>
      <c r="Q43" s="234"/>
      <c r="R43" s="186"/>
      <c r="S43" s="186"/>
      <c r="T43" s="718">
        <f aca="true" t="shared" si="30" ref="T43:AC43">SUM(T20:T42)</f>
        <v>373.9814559592026</v>
      </c>
      <c r="U43" s="719">
        <f t="shared" si="30"/>
        <v>0</v>
      </c>
      <c r="V43" s="720">
        <f t="shared" si="30"/>
        <v>95893.35469200001</v>
      </c>
      <c r="W43" s="720">
        <f t="shared" si="30"/>
        <v>31644.807048360006</v>
      </c>
      <c r="X43" s="720">
        <f t="shared" si="30"/>
        <v>0</v>
      </c>
      <c r="Y43" s="721">
        <f t="shared" si="30"/>
        <v>0</v>
      </c>
      <c r="Z43" s="721">
        <f t="shared" si="30"/>
        <v>0</v>
      </c>
      <c r="AA43" s="721">
        <f t="shared" si="30"/>
        <v>0</v>
      </c>
      <c r="AB43" s="235">
        <f t="shared" si="30"/>
        <v>0</v>
      </c>
      <c r="AC43" s="236">
        <f t="shared" si="30"/>
        <v>0</v>
      </c>
      <c r="AD43" s="237"/>
      <c r="AE43" s="238">
        <f>ROUND(SUM(AE20:AE42),2)</f>
        <v>127912.14</v>
      </c>
      <c r="AF43" s="705"/>
    </row>
    <row r="44" spans="2:32" s="5" customFormat="1" ht="17.1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6"/>
    </row>
    <row r="45" spans="2:32" ht="17.1" customHeight="1" thickTop="1">
      <c r="B45" s="1"/>
      <c r="C45" s="1"/>
      <c r="D45" s="1"/>
      <c r="AF45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90145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57150</xdr:colOff>
                    <xdr:row>41</xdr:row>
                    <xdr:rowOff>200025</xdr:rowOff>
                  </from>
                  <to>
                    <xdr:col>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pageSetUpPr fitToPage="1"/>
  </sheetPr>
  <dimension ref="A1:AE156"/>
  <sheetViews>
    <sheetView zoomScale="70" zoomScaleNormal="70" workbookViewId="0" topLeftCell="A1">
      <selection activeCell="E4" sqref="E4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40"/>
    </row>
    <row r="2" spans="1:30" s="18" customFormat="1" ht="26.25">
      <c r="A2" s="91"/>
      <c r="B2" s="239" t="str">
        <f>+'TOT-0116'!B2</f>
        <v>ANEXO II al Memorándum D.T.E.E. N° 231 / 2017</v>
      </c>
      <c r="C2" s="239"/>
      <c r="D2" s="239"/>
      <c r="E2" s="239"/>
      <c r="F2" s="239"/>
      <c r="G2" s="1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</row>
    <row r="3" spans="1:30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25" customFormat="1" ht="11.25">
      <c r="A4" s="240" t="s">
        <v>75</v>
      </c>
      <c r="B4" s="114"/>
      <c r="C4" s="114"/>
      <c r="D4" s="11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25" customFormat="1" ht="11.25">
      <c r="A5" s="240" t="s">
        <v>3</v>
      </c>
      <c r="B5" s="114"/>
      <c r="C5" s="114"/>
      <c r="D5" s="11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s="29" customFormat="1" ht="20.25">
      <c r="A8" s="105"/>
      <c r="B8" s="106"/>
      <c r="C8" s="96"/>
      <c r="D8" s="96"/>
      <c r="E8" s="105"/>
      <c r="F8" s="241" t="s">
        <v>69</v>
      </c>
      <c r="G8" s="105"/>
      <c r="H8" s="105"/>
      <c r="I8" s="242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96"/>
      <c r="U8" s="96"/>
      <c r="V8" s="96"/>
      <c r="W8" s="96"/>
      <c r="X8" s="96"/>
      <c r="Y8" s="96"/>
      <c r="Z8" s="96"/>
      <c r="AA8" s="96"/>
      <c r="AB8" s="96"/>
      <c r="AC8" s="96"/>
      <c r="AD8" s="107"/>
    </row>
    <row r="9" spans="1:30" s="5" customFormat="1" ht="12.75">
      <c r="A9" s="90"/>
      <c r="B9" s="95"/>
      <c r="C9" s="15"/>
      <c r="D9" s="15"/>
      <c r="E9" s="90"/>
      <c r="F9" s="15"/>
      <c r="G9" s="243"/>
      <c r="H9" s="90"/>
      <c r="I9" s="15"/>
      <c r="J9" s="90"/>
      <c r="K9" s="90"/>
      <c r="L9" s="90"/>
      <c r="M9" s="90"/>
      <c r="N9" s="90"/>
      <c r="O9" s="90"/>
      <c r="P9" s="90"/>
      <c r="Q9" s="90"/>
      <c r="R9" s="90"/>
      <c r="S9" s="90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773" customFormat="1" ht="30" customHeight="1">
      <c r="A10" s="767"/>
      <c r="B10" s="768"/>
      <c r="C10" s="771"/>
      <c r="D10" s="771"/>
      <c r="E10" s="767"/>
      <c r="F10" s="769" t="s">
        <v>224</v>
      </c>
      <c r="G10" s="767"/>
      <c r="H10" s="770"/>
      <c r="I10" s="771"/>
      <c r="J10" s="767"/>
      <c r="K10" s="767"/>
      <c r="L10" s="767"/>
      <c r="M10" s="767"/>
      <c r="N10" s="767"/>
      <c r="O10" s="767"/>
      <c r="P10" s="767"/>
      <c r="Q10" s="767"/>
      <c r="R10" s="767"/>
      <c r="S10" s="767"/>
      <c r="T10" s="771"/>
      <c r="U10" s="771"/>
      <c r="V10" s="771"/>
      <c r="W10" s="771"/>
      <c r="X10" s="771"/>
      <c r="Y10" s="771"/>
      <c r="Z10" s="771"/>
      <c r="AA10" s="771"/>
      <c r="AB10" s="771"/>
      <c r="AC10" s="771"/>
      <c r="AD10" s="772"/>
    </row>
    <row r="11" spans="1:30" s="778" customFormat="1" ht="9.75" customHeight="1">
      <c r="A11" s="774"/>
      <c r="B11" s="775"/>
      <c r="C11" s="776"/>
      <c r="D11" s="776"/>
      <c r="E11" s="774"/>
      <c r="G11" s="776"/>
      <c r="H11" s="776"/>
      <c r="I11" s="776"/>
      <c r="J11" s="774"/>
      <c r="K11" s="774"/>
      <c r="L11" s="774"/>
      <c r="M11" s="774"/>
      <c r="N11" s="774"/>
      <c r="O11" s="774"/>
      <c r="P11" s="774"/>
      <c r="Q11" s="774"/>
      <c r="R11" s="774"/>
      <c r="S11" s="774"/>
      <c r="T11" s="776"/>
      <c r="U11" s="776"/>
      <c r="V11" s="776"/>
      <c r="W11" s="776"/>
      <c r="X11" s="776"/>
      <c r="Y11" s="776"/>
      <c r="Z11" s="776"/>
      <c r="AA11" s="776"/>
      <c r="AB11" s="776"/>
      <c r="AC11" s="776"/>
      <c r="AD11" s="777"/>
    </row>
    <row r="12" spans="1:30" s="778" customFormat="1" ht="21" customHeight="1">
      <c r="A12" s="767"/>
      <c r="B12" s="768"/>
      <c r="C12" s="771"/>
      <c r="D12" s="771"/>
      <c r="E12" s="767"/>
      <c r="F12" s="779" t="s">
        <v>225</v>
      </c>
      <c r="G12" s="767"/>
      <c r="H12" s="767"/>
      <c r="I12" s="767"/>
      <c r="J12" s="780"/>
      <c r="K12" s="780"/>
      <c r="L12" s="780"/>
      <c r="M12" s="780"/>
      <c r="N12" s="780"/>
      <c r="O12" s="774"/>
      <c r="P12" s="774"/>
      <c r="Q12" s="774"/>
      <c r="R12" s="774"/>
      <c r="S12" s="774"/>
      <c r="T12" s="776"/>
      <c r="U12" s="776"/>
      <c r="V12" s="776"/>
      <c r="W12" s="776"/>
      <c r="X12" s="776"/>
      <c r="Y12" s="776"/>
      <c r="Z12" s="776"/>
      <c r="AA12" s="776"/>
      <c r="AB12" s="776"/>
      <c r="AC12" s="776"/>
      <c r="AD12" s="777"/>
    </row>
    <row r="13" spans="1:30" s="5" customFormat="1" ht="12.75">
      <c r="A13" s="90"/>
      <c r="B13" s="95"/>
      <c r="C13" s="15"/>
      <c r="D13" s="15"/>
      <c r="E13" s="90"/>
      <c r="F13" s="15"/>
      <c r="G13" s="15"/>
      <c r="H13" s="15"/>
      <c r="I13" s="98"/>
      <c r="J13" s="15"/>
      <c r="K13" s="15"/>
      <c r="L13" s="15"/>
      <c r="M13" s="15"/>
      <c r="N13" s="15"/>
      <c r="O13" s="90"/>
      <c r="P13" s="90"/>
      <c r="Q13" s="90"/>
      <c r="R13" s="90"/>
      <c r="S13" s="9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36" customFormat="1" ht="19.5">
      <c r="A14" s="109"/>
      <c r="B14" s="37" t="str">
        <f>'TOT-0116'!B14</f>
        <v>Desde el 01 al 31 de enero de 2016</v>
      </c>
      <c r="C14" s="40"/>
      <c r="D14" s="40"/>
      <c r="E14" s="244"/>
      <c r="F14" s="112"/>
      <c r="G14" s="112"/>
      <c r="H14" s="112"/>
      <c r="I14" s="112"/>
      <c r="J14" s="112"/>
      <c r="K14" s="112"/>
      <c r="L14" s="112"/>
      <c r="M14" s="112"/>
      <c r="N14" s="112"/>
      <c r="O14" s="244"/>
      <c r="P14" s="244"/>
      <c r="Q14" s="244"/>
      <c r="R14" s="244"/>
      <c r="S14" s="244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245"/>
    </row>
    <row r="15" spans="1:30" s="5" customFormat="1" ht="13.5" thickBot="1">
      <c r="A15" s="90"/>
      <c r="B15" s="95"/>
      <c r="C15" s="15"/>
      <c r="D15" s="15"/>
      <c r="E15" s="90"/>
      <c r="F15" s="15"/>
      <c r="G15" s="15"/>
      <c r="H15" s="15"/>
      <c r="I15" s="98"/>
      <c r="J15" s="15"/>
      <c r="K15" s="15"/>
      <c r="L15" s="15"/>
      <c r="M15" s="15"/>
      <c r="N15" s="15"/>
      <c r="O15" s="90"/>
      <c r="P15" s="90"/>
      <c r="Q15" s="90"/>
      <c r="R15" s="90"/>
      <c r="S15" s="9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/>
    </row>
    <row r="16" spans="1:30" s="5" customFormat="1" ht="17.1" customHeight="1" thickBot="1" thickTop="1">
      <c r="A16" s="90"/>
      <c r="B16" s="95"/>
      <c r="C16" s="15"/>
      <c r="D16" s="15"/>
      <c r="E16" s="90"/>
      <c r="F16" s="246" t="s">
        <v>76</v>
      </c>
      <c r="G16" s="247"/>
      <c r="H16" s="248">
        <v>1.391</v>
      </c>
      <c r="J16" s="90"/>
      <c r="K16" s="90"/>
      <c r="L16" s="90"/>
      <c r="M16" s="90"/>
      <c r="N16" s="90"/>
      <c r="O16" s="90"/>
      <c r="P16" s="90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7"/>
    </row>
    <row r="17" spans="1:30" s="5" customFormat="1" ht="17.1" customHeight="1" thickBot="1" thickTop="1">
      <c r="A17" s="90"/>
      <c r="B17" s="95"/>
      <c r="C17" s="15"/>
      <c r="D17" s="15"/>
      <c r="E17" s="90"/>
      <c r="F17" s="110" t="s">
        <v>26</v>
      </c>
      <c r="G17" s="111"/>
      <c r="H17" s="751">
        <v>200</v>
      </c>
      <c r="I17"/>
      <c r="J17" s="15"/>
      <c r="K17" s="195"/>
      <c r="L17" s="196"/>
      <c r="M17" s="4"/>
      <c r="N17" s="15"/>
      <c r="O17" s="15"/>
      <c r="P17" s="15"/>
      <c r="Q17" s="15"/>
      <c r="R17" s="15"/>
      <c r="S17" s="15"/>
      <c r="T17" s="15"/>
      <c r="U17" s="15"/>
      <c r="V17" s="15"/>
      <c r="W17" s="99"/>
      <c r="X17" s="99"/>
      <c r="Y17" s="99"/>
      <c r="Z17" s="99"/>
      <c r="AA17" s="99"/>
      <c r="AB17" s="99"/>
      <c r="AC17" s="90"/>
      <c r="AD17" s="17"/>
    </row>
    <row r="18" spans="1:30" s="5" customFormat="1" ht="17.1" customHeight="1" thickBot="1" thickTop="1">
      <c r="A18" s="90"/>
      <c r="B18" s="95"/>
      <c r="C18" s="837">
        <v>3</v>
      </c>
      <c r="D18" s="837">
        <v>4</v>
      </c>
      <c r="E18" s="837">
        <v>5</v>
      </c>
      <c r="F18" s="837">
        <v>6</v>
      </c>
      <c r="G18" s="837">
        <v>7</v>
      </c>
      <c r="H18" s="837">
        <v>8</v>
      </c>
      <c r="I18" s="837">
        <v>9</v>
      </c>
      <c r="J18" s="837">
        <v>10</v>
      </c>
      <c r="K18" s="837">
        <v>11</v>
      </c>
      <c r="L18" s="837">
        <v>12</v>
      </c>
      <c r="M18" s="837">
        <v>13</v>
      </c>
      <c r="N18" s="837">
        <v>14</v>
      </c>
      <c r="O18" s="837">
        <v>15</v>
      </c>
      <c r="P18" s="837">
        <v>16</v>
      </c>
      <c r="Q18" s="837">
        <v>17</v>
      </c>
      <c r="R18" s="837">
        <v>18</v>
      </c>
      <c r="S18" s="837">
        <v>19</v>
      </c>
      <c r="T18" s="837">
        <v>20</v>
      </c>
      <c r="U18" s="837">
        <v>21</v>
      </c>
      <c r="V18" s="837">
        <v>22</v>
      </c>
      <c r="W18" s="837">
        <v>23</v>
      </c>
      <c r="X18" s="837">
        <v>24</v>
      </c>
      <c r="Y18" s="837">
        <v>25</v>
      </c>
      <c r="Z18" s="837">
        <v>26</v>
      </c>
      <c r="AA18" s="837">
        <v>27</v>
      </c>
      <c r="AB18" s="837">
        <v>28</v>
      </c>
      <c r="AC18" s="837">
        <v>29</v>
      </c>
      <c r="AD18" s="17"/>
    </row>
    <row r="19" spans="1:30" s="5" customFormat="1" ht="33.95" customHeight="1" thickBot="1" thickTop="1">
      <c r="A19" s="90"/>
      <c r="B19" s="95"/>
      <c r="C19" s="122" t="s">
        <v>13</v>
      </c>
      <c r="D19" s="84" t="s">
        <v>242</v>
      </c>
      <c r="E19" s="84" t="s">
        <v>243</v>
      </c>
      <c r="F19" s="119" t="s">
        <v>27</v>
      </c>
      <c r="G19" s="118" t="s">
        <v>28</v>
      </c>
      <c r="H19" s="120" t="s">
        <v>29</v>
      </c>
      <c r="I19" s="121" t="s">
        <v>14</v>
      </c>
      <c r="J19" s="128" t="s">
        <v>16</v>
      </c>
      <c r="K19" s="118" t="s">
        <v>17</v>
      </c>
      <c r="L19" s="118" t="s">
        <v>18</v>
      </c>
      <c r="M19" s="119" t="s">
        <v>30</v>
      </c>
      <c r="N19" s="119" t="s">
        <v>31</v>
      </c>
      <c r="O19" s="88" t="s">
        <v>19</v>
      </c>
      <c r="P19" s="88" t="s">
        <v>58</v>
      </c>
      <c r="Q19" s="848" t="s">
        <v>32</v>
      </c>
      <c r="R19" s="118" t="s">
        <v>33</v>
      </c>
      <c r="S19" s="249" t="s">
        <v>37</v>
      </c>
      <c r="T19" s="250" t="s">
        <v>20</v>
      </c>
      <c r="U19" s="251" t="s">
        <v>21</v>
      </c>
      <c r="V19" s="201" t="s">
        <v>77</v>
      </c>
      <c r="W19" s="203"/>
      <c r="X19" s="252" t="s">
        <v>78</v>
      </c>
      <c r="Y19" s="253"/>
      <c r="Z19" s="254" t="s">
        <v>22</v>
      </c>
      <c r="AA19" s="255" t="s">
        <v>73</v>
      </c>
      <c r="AB19" s="131" t="s">
        <v>74</v>
      </c>
      <c r="AC19" s="121" t="s">
        <v>24</v>
      </c>
      <c r="AD19" s="17"/>
    </row>
    <row r="20" spans="1:30" s="5" customFormat="1" ht="17.1" customHeight="1" thickTop="1">
      <c r="A20" s="90"/>
      <c r="B20" s="95"/>
      <c r="C20" s="256"/>
      <c r="D20" s="256"/>
      <c r="E20" s="256"/>
      <c r="F20" s="256"/>
      <c r="G20" s="256"/>
      <c r="H20" s="256"/>
      <c r="I20" s="257"/>
      <c r="J20" s="258"/>
      <c r="K20" s="256"/>
      <c r="L20" s="256"/>
      <c r="M20" s="256"/>
      <c r="N20" s="256"/>
      <c r="O20" s="256"/>
      <c r="P20" s="174"/>
      <c r="Q20" s="259"/>
      <c r="R20" s="256"/>
      <c r="S20" s="260"/>
      <c r="T20" s="261"/>
      <c r="U20" s="262"/>
      <c r="V20" s="263"/>
      <c r="W20" s="264"/>
      <c r="X20" s="265"/>
      <c r="Y20" s="266"/>
      <c r="Z20" s="267"/>
      <c r="AA20" s="268"/>
      <c r="AB20" s="259"/>
      <c r="AC20" s="269"/>
      <c r="AD20" s="17"/>
    </row>
    <row r="21" spans="1:30" s="5" customFormat="1" ht="17.1" customHeight="1">
      <c r="A21" s="90"/>
      <c r="B21" s="95"/>
      <c r="C21" s="270"/>
      <c r="D21" s="270"/>
      <c r="E21" s="270"/>
      <c r="F21" s="270"/>
      <c r="G21" s="270"/>
      <c r="H21" s="270"/>
      <c r="I21" s="271"/>
      <c r="J21" s="272"/>
      <c r="K21" s="270"/>
      <c r="L21" s="270"/>
      <c r="M21" s="270"/>
      <c r="N21" s="270"/>
      <c r="O21" s="270"/>
      <c r="P21" s="177"/>
      <c r="Q21" s="273"/>
      <c r="R21" s="270"/>
      <c r="S21" s="274"/>
      <c r="T21" s="275"/>
      <c r="U21" s="276"/>
      <c r="V21" s="277"/>
      <c r="W21" s="278"/>
      <c r="X21" s="279"/>
      <c r="Y21" s="280"/>
      <c r="Z21" s="281"/>
      <c r="AA21" s="282"/>
      <c r="AB21" s="273"/>
      <c r="AC21" s="283"/>
      <c r="AD21" s="17"/>
    </row>
    <row r="22" spans="1:30" s="5" customFormat="1" ht="17.1" customHeight="1">
      <c r="A22" s="90"/>
      <c r="B22" s="95"/>
      <c r="C22" s="149">
        <v>36</v>
      </c>
      <c r="D22" s="149">
        <v>297355</v>
      </c>
      <c r="E22" s="149">
        <v>5610</v>
      </c>
      <c r="F22" s="145" t="s">
        <v>319</v>
      </c>
      <c r="G22" s="284" t="s">
        <v>360</v>
      </c>
      <c r="H22" s="285">
        <v>150</v>
      </c>
      <c r="I22" s="286" t="s">
        <v>422</v>
      </c>
      <c r="J22" s="287">
        <f aca="true" t="shared" si="0" ref="J22:J41">H22*$H$16</f>
        <v>208.65</v>
      </c>
      <c r="K22" s="150">
        <v>42380.74513888889</v>
      </c>
      <c r="L22" s="150">
        <v>42380.79305555556</v>
      </c>
      <c r="M22" s="288">
        <f aca="true" t="shared" si="1" ref="M22:M41">IF(F22="","",(L22-K22)*24)</f>
        <v>1.1500000000814907</v>
      </c>
      <c r="N22" s="14">
        <f aca="true" t="shared" si="2" ref="N22:N41">IF(F22="","",ROUND((L22-K22)*24*60,0))</f>
        <v>69</v>
      </c>
      <c r="O22" s="151" t="s">
        <v>308</v>
      </c>
      <c r="P22" s="499" t="str">
        <f aca="true" t="shared" si="3" ref="P22:P41">IF(F22="","","--")</f>
        <v>--</v>
      </c>
      <c r="Q22" s="8" t="str">
        <f aca="true" t="shared" si="4" ref="Q22:Q41">IF(F22="","",IF(OR(O22="P",O22="RP"),"--","NO"))</f>
        <v>NO</v>
      </c>
      <c r="R22" s="217" t="str">
        <f aca="true" t="shared" si="5" ref="R22:R41">IF(F22="","","NO")</f>
        <v>NO</v>
      </c>
      <c r="S22" s="289">
        <f aca="true" t="shared" si="6" ref="S22:S41">$H$17*IF(OR(O22="P",O22="RP"),0.1,1)*IF(R22="SI",1,0.1)</f>
        <v>20</v>
      </c>
      <c r="T22" s="290" t="str">
        <f aca="true" t="shared" si="7" ref="T22:T41">IF(O22="P",J22*S22*ROUND(N22/60,2),"--")</f>
        <v>--</v>
      </c>
      <c r="U22" s="291" t="str">
        <f aca="true" t="shared" si="8" ref="U22:U41">IF(O22="RP",J22*S22*P22/100*ROUND(N22/60,2),"--")</f>
        <v>--</v>
      </c>
      <c r="V22" s="292">
        <f aca="true" t="shared" si="9" ref="V22:V41">IF(AND(O22="F",Q22="NO"),J22*S22,"--")</f>
        <v>4173</v>
      </c>
      <c r="W22" s="293">
        <f aca="true" t="shared" si="10" ref="W22:W41">IF(O22="F",J22*S22*ROUND(N22/60,2),"--")</f>
        <v>4798.95</v>
      </c>
      <c r="X22" s="294" t="str">
        <f aca="true" t="shared" si="11" ref="X22:X41">IF(AND(O22="R",Q22="NO"),J22*S22*P22/100,"--")</f>
        <v>--</v>
      </c>
      <c r="Y22" s="295" t="str">
        <f aca="true" t="shared" si="12" ref="Y22:Y41">IF(O22="R",J22*S22*P22/100*ROUND(N22/60,2),"--")</f>
        <v>--</v>
      </c>
      <c r="Z22" s="296" t="str">
        <f aca="true" t="shared" si="13" ref="Z22:Z41">IF(O22="RF",J22*S22*ROUND(N22/60,2),"--")</f>
        <v>--</v>
      </c>
      <c r="AA22" s="297" t="str">
        <f aca="true" t="shared" si="14" ref="AA22:AA41">IF(O22="RR",J22*S22*P22/100*ROUND(N22/60,2),"--")</f>
        <v>--</v>
      </c>
      <c r="AB22" s="298" t="s">
        <v>213</v>
      </c>
      <c r="AC22" s="16">
        <f>IF(F22="","",(SUM(T22:AA22)*IF(AB22="SI",1,2)*IF(AND(P22&lt;&gt;"--",O22="RF"),P22/100,1)))</f>
        <v>8971.95</v>
      </c>
      <c r="AD22" s="17"/>
    </row>
    <row r="23" spans="1:30" s="5" customFormat="1" ht="17.1" customHeight="1">
      <c r="A23" s="90"/>
      <c r="B23" s="95"/>
      <c r="C23" s="270">
        <v>37</v>
      </c>
      <c r="D23" s="270">
        <v>297356</v>
      </c>
      <c r="E23" s="270">
        <v>76</v>
      </c>
      <c r="F23" s="145" t="s">
        <v>319</v>
      </c>
      <c r="G23" s="284" t="s">
        <v>320</v>
      </c>
      <c r="H23" s="285">
        <v>150</v>
      </c>
      <c r="I23" s="286" t="s">
        <v>422</v>
      </c>
      <c r="J23" s="287">
        <f t="shared" si="0"/>
        <v>208.65</v>
      </c>
      <c r="K23" s="150">
        <v>42380.74513888889</v>
      </c>
      <c r="L23" s="150">
        <v>42380.79375</v>
      </c>
      <c r="M23" s="288">
        <f t="shared" si="1"/>
        <v>1.1666666666278616</v>
      </c>
      <c r="N23" s="14">
        <f t="shared" si="2"/>
        <v>70</v>
      </c>
      <c r="O23" s="151" t="s">
        <v>308</v>
      </c>
      <c r="P23" s="499" t="str">
        <f t="shared" si="3"/>
        <v>--</v>
      </c>
      <c r="Q23" s="8" t="str">
        <f t="shared" si="4"/>
        <v>NO</v>
      </c>
      <c r="R23" s="217" t="str">
        <f t="shared" si="5"/>
        <v>NO</v>
      </c>
      <c r="S23" s="289">
        <f t="shared" si="6"/>
        <v>20</v>
      </c>
      <c r="T23" s="290" t="str">
        <f t="shared" si="7"/>
        <v>--</v>
      </c>
      <c r="U23" s="291" t="str">
        <f t="shared" si="8"/>
        <v>--</v>
      </c>
      <c r="V23" s="292">
        <f t="shared" si="9"/>
        <v>4173</v>
      </c>
      <c r="W23" s="293">
        <f t="shared" si="10"/>
        <v>4882.41</v>
      </c>
      <c r="X23" s="294" t="str">
        <f t="shared" si="11"/>
        <v>--</v>
      </c>
      <c r="Y23" s="295" t="str">
        <f t="shared" si="12"/>
        <v>--</v>
      </c>
      <c r="Z23" s="296" t="str">
        <f t="shared" si="13"/>
        <v>--</v>
      </c>
      <c r="AA23" s="297" t="str">
        <f t="shared" si="14"/>
        <v>--</v>
      </c>
      <c r="AB23" s="298" t="s">
        <v>213</v>
      </c>
      <c r="AC23" s="16">
        <f aca="true" t="shared" si="15" ref="AC23:AC41">IF(F23="","",(SUM(T23:AA23)*IF(AB23="SI",1,2)*IF(AND(P23&lt;&gt;"--",O23="RF"),P23/100,1)))</f>
        <v>9055.41</v>
      </c>
      <c r="AD23" s="17"/>
    </row>
    <row r="24" spans="1:30" s="5" customFormat="1" ht="17.1" customHeight="1">
      <c r="A24" s="90"/>
      <c r="B24" s="95"/>
      <c r="C24" s="149">
        <v>38</v>
      </c>
      <c r="D24" s="149">
        <v>297810</v>
      </c>
      <c r="E24" s="149">
        <v>5610</v>
      </c>
      <c r="F24" s="145" t="s">
        <v>319</v>
      </c>
      <c r="G24" s="284" t="s">
        <v>360</v>
      </c>
      <c r="H24" s="285">
        <v>150</v>
      </c>
      <c r="I24" s="2904" t="s">
        <v>422</v>
      </c>
      <c r="J24" s="287">
        <f t="shared" si="0"/>
        <v>208.65</v>
      </c>
      <c r="K24" s="150">
        <v>42393.3</v>
      </c>
      <c r="L24" s="150">
        <v>42393.345138888886</v>
      </c>
      <c r="M24" s="288">
        <f t="shared" si="1"/>
        <v>1.0833333331975155</v>
      </c>
      <c r="N24" s="14">
        <f t="shared" si="2"/>
        <v>65</v>
      </c>
      <c r="O24" s="151" t="s">
        <v>304</v>
      </c>
      <c r="P24" s="499" t="str">
        <f t="shared" si="3"/>
        <v>--</v>
      </c>
      <c r="Q24" s="8" t="str">
        <f t="shared" si="4"/>
        <v>--</v>
      </c>
      <c r="R24" s="217" t="str">
        <f t="shared" si="5"/>
        <v>NO</v>
      </c>
      <c r="S24" s="289">
        <f t="shared" si="6"/>
        <v>2</v>
      </c>
      <c r="T24" s="290">
        <f t="shared" si="7"/>
        <v>450.684</v>
      </c>
      <c r="U24" s="291" t="str">
        <f t="shared" si="8"/>
        <v>--</v>
      </c>
      <c r="V24" s="292" t="str">
        <f t="shared" si="9"/>
        <v>--</v>
      </c>
      <c r="W24" s="293" t="str">
        <f t="shared" si="10"/>
        <v>--</v>
      </c>
      <c r="X24" s="294" t="str">
        <f t="shared" si="11"/>
        <v>--</v>
      </c>
      <c r="Y24" s="295" t="str">
        <f t="shared" si="12"/>
        <v>--</v>
      </c>
      <c r="Z24" s="296" t="str">
        <f t="shared" si="13"/>
        <v>--</v>
      </c>
      <c r="AA24" s="297" t="str">
        <f t="shared" si="14"/>
        <v>--</v>
      </c>
      <c r="AB24" s="298" t="s">
        <v>213</v>
      </c>
      <c r="AC24" s="16">
        <f t="shared" si="15"/>
        <v>450.684</v>
      </c>
      <c r="AD24" s="17"/>
    </row>
    <row r="25" spans="1:30" s="5" customFormat="1" ht="17.1" customHeight="1">
      <c r="A25" s="90"/>
      <c r="B25" s="95"/>
      <c r="C25" s="270"/>
      <c r="D25" s="270"/>
      <c r="E25" s="270"/>
      <c r="F25" s="145"/>
      <c r="G25" s="284"/>
      <c r="H25" s="285"/>
      <c r="I25" s="286"/>
      <c r="J25" s="287">
        <f t="shared" si="0"/>
        <v>0</v>
      </c>
      <c r="K25" s="150"/>
      <c r="L25" s="150"/>
      <c r="M25" s="288" t="str">
        <f t="shared" si="1"/>
        <v/>
      </c>
      <c r="N25" s="14" t="str">
        <f t="shared" si="2"/>
        <v/>
      </c>
      <c r="O25" s="151"/>
      <c r="P25" s="499" t="str">
        <f t="shared" si="3"/>
        <v/>
      </c>
      <c r="Q25" s="8" t="str">
        <f t="shared" si="4"/>
        <v/>
      </c>
      <c r="R25" s="217" t="str">
        <f t="shared" si="5"/>
        <v/>
      </c>
      <c r="S25" s="289">
        <f t="shared" si="6"/>
        <v>20</v>
      </c>
      <c r="T25" s="290" t="str">
        <f t="shared" si="7"/>
        <v>--</v>
      </c>
      <c r="U25" s="291" t="str">
        <f t="shared" si="8"/>
        <v>--</v>
      </c>
      <c r="V25" s="292" t="str">
        <f t="shared" si="9"/>
        <v>--</v>
      </c>
      <c r="W25" s="293" t="str">
        <f t="shared" si="10"/>
        <v>--</v>
      </c>
      <c r="X25" s="294" t="str">
        <f t="shared" si="11"/>
        <v>--</v>
      </c>
      <c r="Y25" s="295" t="str">
        <f t="shared" si="12"/>
        <v>--</v>
      </c>
      <c r="Z25" s="296" t="str">
        <f t="shared" si="13"/>
        <v>--</v>
      </c>
      <c r="AA25" s="297" t="str">
        <f t="shared" si="14"/>
        <v>--</v>
      </c>
      <c r="AB25" s="298" t="str">
        <f aca="true" t="shared" si="16" ref="AB25:AB41">IF(F25="","","SI")</f>
        <v/>
      </c>
      <c r="AC25" s="16" t="str">
        <f t="shared" si="15"/>
        <v/>
      </c>
      <c r="AD25" s="17"/>
    </row>
    <row r="26" spans="1:30" s="5" customFormat="1" ht="17.1" customHeight="1">
      <c r="A26" s="90"/>
      <c r="B26" s="95"/>
      <c r="C26" s="149"/>
      <c r="D26" s="149"/>
      <c r="E26" s="149"/>
      <c r="F26" s="145"/>
      <c r="G26" s="284"/>
      <c r="H26" s="285"/>
      <c r="I26" s="286"/>
      <c r="J26" s="287">
        <f t="shared" si="0"/>
        <v>0</v>
      </c>
      <c r="K26" s="150"/>
      <c r="L26" s="150"/>
      <c r="M26" s="288" t="str">
        <f t="shared" si="1"/>
        <v/>
      </c>
      <c r="N26" s="14" t="str">
        <f t="shared" si="2"/>
        <v/>
      </c>
      <c r="O26" s="151"/>
      <c r="P26" s="499" t="str">
        <f t="shared" si="3"/>
        <v/>
      </c>
      <c r="Q26" s="8" t="str">
        <f t="shared" si="4"/>
        <v/>
      </c>
      <c r="R26" s="217" t="str">
        <f t="shared" si="5"/>
        <v/>
      </c>
      <c r="S26" s="289">
        <f t="shared" si="6"/>
        <v>20</v>
      </c>
      <c r="T26" s="290" t="str">
        <f t="shared" si="7"/>
        <v>--</v>
      </c>
      <c r="U26" s="291" t="str">
        <f t="shared" si="8"/>
        <v>--</v>
      </c>
      <c r="V26" s="292" t="str">
        <f t="shared" si="9"/>
        <v>--</v>
      </c>
      <c r="W26" s="293" t="str">
        <f t="shared" si="10"/>
        <v>--</v>
      </c>
      <c r="X26" s="294" t="str">
        <f t="shared" si="11"/>
        <v>--</v>
      </c>
      <c r="Y26" s="295" t="str">
        <f t="shared" si="12"/>
        <v>--</v>
      </c>
      <c r="Z26" s="296" t="str">
        <f t="shared" si="13"/>
        <v>--</v>
      </c>
      <c r="AA26" s="297" t="str">
        <f t="shared" si="14"/>
        <v>--</v>
      </c>
      <c r="AB26" s="298" t="str">
        <f t="shared" si="16"/>
        <v/>
      </c>
      <c r="AC26" s="16" t="str">
        <f t="shared" si="15"/>
        <v/>
      </c>
      <c r="AD26" s="17"/>
    </row>
    <row r="27" spans="1:30" s="5" customFormat="1" ht="17.1" customHeight="1">
      <c r="A27" s="90"/>
      <c r="B27" s="95"/>
      <c r="C27" s="270"/>
      <c r="D27" s="270"/>
      <c r="E27" s="270"/>
      <c r="F27" s="145"/>
      <c r="G27" s="284"/>
      <c r="H27" s="285"/>
      <c r="I27" s="286"/>
      <c r="J27" s="287">
        <f t="shared" si="0"/>
        <v>0</v>
      </c>
      <c r="K27" s="150"/>
      <c r="L27" s="150"/>
      <c r="M27" s="288" t="str">
        <f t="shared" si="1"/>
        <v/>
      </c>
      <c r="N27" s="14" t="str">
        <f t="shared" si="2"/>
        <v/>
      </c>
      <c r="O27" s="151"/>
      <c r="P27" s="499" t="str">
        <f t="shared" si="3"/>
        <v/>
      </c>
      <c r="Q27" s="8" t="str">
        <f t="shared" si="4"/>
        <v/>
      </c>
      <c r="R27" s="217" t="str">
        <f t="shared" si="5"/>
        <v/>
      </c>
      <c r="S27" s="289">
        <f t="shared" si="6"/>
        <v>20</v>
      </c>
      <c r="T27" s="290" t="str">
        <f t="shared" si="7"/>
        <v>--</v>
      </c>
      <c r="U27" s="291" t="str">
        <f t="shared" si="8"/>
        <v>--</v>
      </c>
      <c r="V27" s="292" t="str">
        <f t="shared" si="9"/>
        <v>--</v>
      </c>
      <c r="W27" s="293" t="str">
        <f t="shared" si="10"/>
        <v>--</v>
      </c>
      <c r="X27" s="294" t="str">
        <f t="shared" si="11"/>
        <v>--</v>
      </c>
      <c r="Y27" s="295" t="str">
        <f t="shared" si="12"/>
        <v>--</v>
      </c>
      <c r="Z27" s="296" t="str">
        <f t="shared" si="13"/>
        <v>--</v>
      </c>
      <c r="AA27" s="297" t="str">
        <f t="shared" si="14"/>
        <v>--</v>
      </c>
      <c r="AB27" s="298" t="str">
        <f t="shared" si="16"/>
        <v/>
      </c>
      <c r="AC27" s="16" t="str">
        <f t="shared" si="15"/>
        <v/>
      </c>
      <c r="AD27" s="17"/>
    </row>
    <row r="28" spans="1:31" s="5" customFormat="1" ht="17.1" customHeight="1">
      <c r="A28" s="90"/>
      <c r="B28" s="95"/>
      <c r="C28" s="149"/>
      <c r="D28" s="149"/>
      <c r="E28" s="149"/>
      <c r="F28" s="145"/>
      <c r="G28" s="284"/>
      <c r="H28" s="285"/>
      <c r="I28" s="286"/>
      <c r="J28" s="287">
        <f t="shared" si="0"/>
        <v>0</v>
      </c>
      <c r="K28" s="150"/>
      <c r="L28" s="150"/>
      <c r="M28" s="288" t="str">
        <f t="shared" si="1"/>
        <v/>
      </c>
      <c r="N28" s="14" t="str">
        <f t="shared" si="2"/>
        <v/>
      </c>
      <c r="O28" s="151"/>
      <c r="P28" s="499" t="str">
        <f t="shared" si="3"/>
        <v/>
      </c>
      <c r="Q28" s="8" t="str">
        <f t="shared" si="4"/>
        <v/>
      </c>
      <c r="R28" s="217" t="str">
        <f t="shared" si="5"/>
        <v/>
      </c>
      <c r="S28" s="289">
        <f t="shared" si="6"/>
        <v>20</v>
      </c>
      <c r="T28" s="290" t="str">
        <f t="shared" si="7"/>
        <v>--</v>
      </c>
      <c r="U28" s="291" t="str">
        <f t="shared" si="8"/>
        <v>--</v>
      </c>
      <c r="V28" s="292" t="str">
        <f t="shared" si="9"/>
        <v>--</v>
      </c>
      <c r="W28" s="293" t="str">
        <f t="shared" si="10"/>
        <v>--</v>
      </c>
      <c r="X28" s="294" t="str">
        <f t="shared" si="11"/>
        <v>--</v>
      </c>
      <c r="Y28" s="295" t="str">
        <f t="shared" si="12"/>
        <v>--</v>
      </c>
      <c r="Z28" s="296" t="str">
        <f t="shared" si="13"/>
        <v>--</v>
      </c>
      <c r="AA28" s="297" t="str">
        <f t="shared" si="14"/>
        <v>--</v>
      </c>
      <c r="AB28" s="298" t="str">
        <f t="shared" si="16"/>
        <v/>
      </c>
      <c r="AC28" s="16" t="str">
        <f t="shared" si="15"/>
        <v/>
      </c>
      <c r="AD28" s="17"/>
      <c r="AE28" s="15"/>
    </row>
    <row r="29" spans="1:30" s="5" customFormat="1" ht="17.1" customHeight="1">
      <c r="A29" s="90"/>
      <c r="B29" s="95"/>
      <c r="C29" s="270"/>
      <c r="D29" s="270"/>
      <c r="E29" s="270"/>
      <c r="F29" s="145"/>
      <c r="G29" s="284"/>
      <c r="H29" s="285"/>
      <c r="I29" s="286"/>
      <c r="J29" s="287">
        <f t="shared" si="0"/>
        <v>0</v>
      </c>
      <c r="K29" s="150"/>
      <c r="L29" s="150"/>
      <c r="M29" s="288" t="str">
        <f t="shared" si="1"/>
        <v/>
      </c>
      <c r="N29" s="14" t="str">
        <f t="shared" si="2"/>
        <v/>
      </c>
      <c r="O29" s="151"/>
      <c r="P29" s="499" t="str">
        <f t="shared" si="3"/>
        <v/>
      </c>
      <c r="Q29" s="8" t="str">
        <f t="shared" si="4"/>
        <v/>
      </c>
      <c r="R29" s="217" t="str">
        <f t="shared" si="5"/>
        <v/>
      </c>
      <c r="S29" s="289">
        <f t="shared" si="6"/>
        <v>20</v>
      </c>
      <c r="T29" s="290" t="str">
        <f t="shared" si="7"/>
        <v>--</v>
      </c>
      <c r="U29" s="291" t="str">
        <f t="shared" si="8"/>
        <v>--</v>
      </c>
      <c r="V29" s="292" t="str">
        <f t="shared" si="9"/>
        <v>--</v>
      </c>
      <c r="W29" s="293" t="str">
        <f t="shared" si="10"/>
        <v>--</v>
      </c>
      <c r="X29" s="294" t="str">
        <f t="shared" si="11"/>
        <v>--</v>
      </c>
      <c r="Y29" s="295" t="str">
        <f t="shared" si="12"/>
        <v>--</v>
      </c>
      <c r="Z29" s="296" t="str">
        <f t="shared" si="13"/>
        <v>--</v>
      </c>
      <c r="AA29" s="297" t="str">
        <f t="shared" si="14"/>
        <v>--</v>
      </c>
      <c r="AB29" s="298" t="str">
        <f t="shared" si="16"/>
        <v/>
      </c>
      <c r="AC29" s="16" t="str">
        <f>IF(F29="","",(SUM(T29:AA29)*IF(AB29="SI",1,2)*IF(AND(P29&lt;&gt;"--",O29="RF"),P29/100,1)))</f>
        <v/>
      </c>
      <c r="AD29" s="17"/>
    </row>
    <row r="30" spans="1:30" s="5" customFormat="1" ht="17.1" customHeight="1">
      <c r="A30" s="90"/>
      <c r="B30" s="95"/>
      <c r="C30" s="149"/>
      <c r="D30" s="149"/>
      <c r="E30" s="149"/>
      <c r="F30" s="145"/>
      <c r="G30" s="284"/>
      <c r="H30" s="285"/>
      <c r="I30" s="286"/>
      <c r="J30" s="287">
        <f t="shared" si="0"/>
        <v>0</v>
      </c>
      <c r="K30" s="150"/>
      <c r="L30" s="150"/>
      <c r="M30" s="288" t="str">
        <f t="shared" si="1"/>
        <v/>
      </c>
      <c r="N30" s="14" t="str">
        <f t="shared" si="2"/>
        <v/>
      </c>
      <c r="O30" s="151"/>
      <c r="P30" s="499" t="str">
        <f t="shared" si="3"/>
        <v/>
      </c>
      <c r="Q30" s="8" t="str">
        <f t="shared" si="4"/>
        <v/>
      </c>
      <c r="R30" s="217" t="str">
        <f t="shared" si="5"/>
        <v/>
      </c>
      <c r="S30" s="289">
        <f t="shared" si="6"/>
        <v>20</v>
      </c>
      <c r="T30" s="290" t="str">
        <f t="shared" si="7"/>
        <v>--</v>
      </c>
      <c r="U30" s="291" t="str">
        <f t="shared" si="8"/>
        <v>--</v>
      </c>
      <c r="V30" s="292" t="str">
        <f t="shared" si="9"/>
        <v>--</v>
      </c>
      <c r="W30" s="293" t="str">
        <f t="shared" si="10"/>
        <v>--</v>
      </c>
      <c r="X30" s="294" t="str">
        <f t="shared" si="11"/>
        <v>--</v>
      </c>
      <c r="Y30" s="295" t="str">
        <f t="shared" si="12"/>
        <v>--</v>
      </c>
      <c r="Z30" s="296" t="str">
        <f t="shared" si="13"/>
        <v>--</v>
      </c>
      <c r="AA30" s="297" t="str">
        <f t="shared" si="14"/>
        <v>--</v>
      </c>
      <c r="AB30" s="298" t="str">
        <f t="shared" si="16"/>
        <v/>
      </c>
      <c r="AC30" s="16" t="str">
        <f t="shared" si="15"/>
        <v/>
      </c>
      <c r="AD30" s="17"/>
    </row>
    <row r="31" spans="1:30" s="5" customFormat="1" ht="17.1" customHeight="1">
      <c r="A31" s="90"/>
      <c r="B31" s="95"/>
      <c r="C31" s="270"/>
      <c r="D31" s="270"/>
      <c r="E31" s="270"/>
      <c r="F31" s="145"/>
      <c r="G31" s="284"/>
      <c r="H31" s="285"/>
      <c r="I31" s="286"/>
      <c r="J31" s="287">
        <f t="shared" si="0"/>
        <v>0</v>
      </c>
      <c r="K31" s="150"/>
      <c r="L31" s="150"/>
      <c r="M31" s="288" t="str">
        <f t="shared" si="1"/>
        <v/>
      </c>
      <c r="N31" s="14" t="str">
        <f t="shared" si="2"/>
        <v/>
      </c>
      <c r="O31" s="151"/>
      <c r="P31" s="499" t="str">
        <f t="shared" si="3"/>
        <v/>
      </c>
      <c r="Q31" s="8" t="str">
        <f t="shared" si="4"/>
        <v/>
      </c>
      <c r="R31" s="217" t="str">
        <f t="shared" si="5"/>
        <v/>
      </c>
      <c r="S31" s="289">
        <f t="shared" si="6"/>
        <v>20</v>
      </c>
      <c r="T31" s="290" t="str">
        <f t="shared" si="7"/>
        <v>--</v>
      </c>
      <c r="U31" s="291" t="str">
        <f t="shared" si="8"/>
        <v>--</v>
      </c>
      <c r="V31" s="292" t="str">
        <f t="shared" si="9"/>
        <v>--</v>
      </c>
      <c r="W31" s="293" t="str">
        <f t="shared" si="10"/>
        <v>--</v>
      </c>
      <c r="X31" s="294" t="str">
        <f t="shared" si="11"/>
        <v>--</v>
      </c>
      <c r="Y31" s="295" t="str">
        <f t="shared" si="12"/>
        <v>--</v>
      </c>
      <c r="Z31" s="296" t="str">
        <f t="shared" si="13"/>
        <v>--</v>
      </c>
      <c r="AA31" s="297" t="str">
        <f t="shared" si="14"/>
        <v>--</v>
      </c>
      <c r="AB31" s="298" t="str">
        <f t="shared" si="16"/>
        <v/>
      </c>
      <c r="AC31" s="16" t="str">
        <f t="shared" si="15"/>
        <v/>
      </c>
      <c r="AD31" s="17"/>
    </row>
    <row r="32" spans="1:30" s="5" customFormat="1" ht="17.1" customHeight="1">
      <c r="A32" s="90"/>
      <c r="B32" s="95"/>
      <c r="C32" s="149"/>
      <c r="D32" s="149"/>
      <c r="E32" s="149"/>
      <c r="F32" s="145"/>
      <c r="G32" s="300"/>
      <c r="H32" s="285"/>
      <c r="I32" s="286"/>
      <c r="J32" s="287">
        <f t="shared" si="0"/>
        <v>0</v>
      </c>
      <c r="K32" s="150"/>
      <c r="L32" s="150"/>
      <c r="M32" s="288" t="str">
        <f t="shared" si="1"/>
        <v/>
      </c>
      <c r="N32" s="14" t="str">
        <f t="shared" si="2"/>
        <v/>
      </c>
      <c r="O32" s="151"/>
      <c r="P32" s="499" t="str">
        <f t="shared" si="3"/>
        <v/>
      </c>
      <c r="Q32" s="8" t="str">
        <f t="shared" si="4"/>
        <v/>
      </c>
      <c r="R32" s="217" t="str">
        <f t="shared" si="5"/>
        <v/>
      </c>
      <c r="S32" s="289">
        <f t="shared" si="6"/>
        <v>20</v>
      </c>
      <c r="T32" s="290" t="str">
        <f t="shared" si="7"/>
        <v>--</v>
      </c>
      <c r="U32" s="291" t="str">
        <f t="shared" si="8"/>
        <v>--</v>
      </c>
      <c r="V32" s="292" t="str">
        <f t="shared" si="9"/>
        <v>--</v>
      </c>
      <c r="W32" s="293" t="str">
        <f t="shared" si="10"/>
        <v>--</v>
      </c>
      <c r="X32" s="294" t="str">
        <f t="shared" si="11"/>
        <v>--</v>
      </c>
      <c r="Y32" s="295" t="str">
        <f t="shared" si="12"/>
        <v>--</v>
      </c>
      <c r="Z32" s="296" t="str">
        <f t="shared" si="13"/>
        <v>--</v>
      </c>
      <c r="AA32" s="297" t="str">
        <f t="shared" si="14"/>
        <v>--</v>
      </c>
      <c r="AB32" s="298" t="str">
        <f t="shared" si="16"/>
        <v/>
      </c>
      <c r="AC32" s="16" t="str">
        <f t="shared" si="15"/>
        <v/>
      </c>
      <c r="AD32" s="17"/>
    </row>
    <row r="33" spans="1:30" s="5" customFormat="1" ht="17.1" customHeight="1">
      <c r="A33" s="90"/>
      <c r="B33" s="95"/>
      <c r="C33" s="270"/>
      <c r="D33" s="270"/>
      <c r="E33" s="270"/>
      <c r="F33" s="145"/>
      <c r="G33" s="300"/>
      <c r="H33" s="285"/>
      <c r="I33" s="286"/>
      <c r="J33" s="287">
        <f t="shared" si="0"/>
        <v>0</v>
      </c>
      <c r="K33" s="150"/>
      <c r="L33" s="150"/>
      <c r="M33" s="288" t="str">
        <f t="shared" si="1"/>
        <v/>
      </c>
      <c r="N33" s="14" t="str">
        <f t="shared" si="2"/>
        <v/>
      </c>
      <c r="O33" s="151"/>
      <c r="P33" s="499" t="str">
        <f t="shared" si="3"/>
        <v/>
      </c>
      <c r="Q33" s="8" t="str">
        <f t="shared" si="4"/>
        <v/>
      </c>
      <c r="R33" s="217" t="str">
        <f t="shared" si="5"/>
        <v/>
      </c>
      <c r="S33" s="289">
        <f t="shared" si="6"/>
        <v>20</v>
      </c>
      <c r="T33" s="290" t="str">
        <f t="shared" si="7"/>
        <v>--</v>
      </c>
      <c r="U33" s="291" t="str">
        <f t="shared" si="8"/>
        <v>--</v>
      </c>
      <c r="V33" s="292" t="str">
        <f t="shared" si="9"/>
        <v>--</v>
      </c>
      <c r="W33" s="293" t="str">
        <f t="shared" si="10"/>
        <v>--</v>
      </c>
      <c r="X33" s="294" t="str">
        <f t="shared" si="11"/>
        <v>--</v>
      </c>
      <c r="Y33" s="295" t="str">
        <f t="shared" si="12"/>
        <v>--</v>
      </c>
      <c r="Z33" s="296" t="str">
        <f t="shared" si="13"/>
        <v>--</v>
      </c>
      <c r="AA33" s="297" t="str">
        <f t="shared" si="14"/>
        <v>--</v>
      </c>
      <c r="AB33" s="298" t="str">
        <f t="shared" si="16"/>
        <v/>
      </c>
      <c r="AC33" s="16" t="str">
        <f t="shared" si="15"/>
        <v/>
      </c>
      <c r="AD33" s="17"/>
    </row>
    <row r="34" spans="1:30" s="5" customFormat="1" ht="17.1" customHeight="1">
      <c r="A34" s="90"/>
      <c r="B34" s="95"/>
      <c r="C34" s="149"/>
      <c r="D34" s="149"/>
      <c r="E34" s="149"/>
      <c r="F34" s="145"/>
      <c r="G34" s="300"/>
      <c r="H34" s="285"/>
      <c r="I34" s="286"/>
      <c r="J34" s="287">
        <f t="shared" si="0"/>
        <v>0</v>
      </c>
      <c r="K34" s="150"/>
      <c r="L34" s="150"/>
      <c r="M34" s="288" t="str">
        <f t="shared" si="1"/>
        <v/>
      </c>
      <c r="N34" s="14" t="str">
        <f t="shared" si="2"/>
        <v/>
      </c>
      <c r="O34" s="151"/>
      <c r="P34" s="499" t="str">
        <f t="shared" si="3"/>
        <v/>
      </c>
      <c r="Q34" s="8" t="str">
        <f t="shared" si="4"/>
        <v/>
      </c>
      <c r="R34" s="217" t="str">
        <f t="shared" si="5"/>
        <v/>
      </c>
      <c r="S34" s="289">
        <f t="shared" si="6"/>
        <v>20</v>
      </c>
      <c r="T34" s="290" t="str">
        <f t="shared" si="7"/>
        <v>--</v>
      </c>
      <c r="U34" s="291" t="str">
        <f t="shared" si="8"/>
        <v>--</v>
      </c>
      <c r="V34" s="292" t="str">
        <f t="shared" si="9"/>
        <v>--</v>
      </c>
      <c r="W34" s="293" t="str">
        <f t="shared" si="10"/>
        <v>--</v>
      </c>
      <c r="X34" s="294" t="str">
        <f t="shared" si="11"/>
        <v>--</v>
      </c>
      <c r="Y34" s="295" t="str">
        <f t="shared" si="12"/>
        <v>--</v>
      </c>
      <c r="Z34" s="296" t="str">
        <f t="shared" si="13"/>
        <v>--</v>
      </c>
      <c r="AA34" s="297" t="str">
        <f t="shared" si="14"/>
        <v>--</v>
      </c>
      <c r="AB34" s="298" t="str">
        <f t="shared" si="16"/>
        <v/>
      </c>
      <c r="AC34" s="16" t="str">
        <f t="shared" si="15"/>
        <v/>
      </c>
      <c r="AD34" s="17"/>
    </row>
    <row r="35" spans="1:30" s="5" customFormat="1" ht="17.1" customHeight="1">
      <c r="A35" s="90"/>
      <c r="B35" s="95"/>
      <c r="C35" s="270"/>
      <c r="D35" s="270"/>
      <c r="E35" s="270"/>
      <c r="F35" s="145"/>
      <c r="G35" s="300"/>
      <c r="H35" s="285"/>
      <c r="I35" s="286"/>
      <c r="J35" s="287">
        <f t="shared" si="0"/>
        <v>0</v>
      </c>
      <c r="K35" s="150"/>
      <c r="L35" s="150"/>
      <c r="M35" s="288" t="str">
        <f t="shared" si="1"/>
        <v/>
      </c>
      <c r="N35" s="14" t="str">
        <f t="shared" si="2"/>
        <v/>
      </c>
      <c r="O35" s="151"/>
      <c r="P35" s="499" t="str">
        <f t="shared" si="3"/>
        <v/>
      </c>
      <c r="Q35" s="8" t="str">
        <f t="shared" si="4"/>
        <v/>
      </c>
      <c r="R35" s="217" t="str">
        <f t="shared" si="5"/>
        <v/>
      </c>
      <c r="S35" s="289">
        <f t="shared" si="6"/>
        <v>20</v>
      </c>
      <c r="T35" s="290" t="str">
        <f t="shared" si="7"/>
        <v>--</v>
      </c>
      <c r="U35" s="291" t="str">
        <f t="shared" si="8"/>
        <v>--</v>
      </c>
      <c r="V35" s="292" t="str">
        <f t="shared" si="9"/>
        <v>--</v>
      </c>
      <c r="W35" s="293" t="str">
        <f t="shared" si="10"/>
        <v>--</v>
      </c>
      <c r="X35" s="294" t="str">
        <f t="shared" si="11"/>
        <v>--</v>
      </c>
      <c r="Y35" s="295" t="str">
        <f t="shared" si="12"/>
        <v>--</v>
      </c>
      <c r="Z35" s="296" t="str">
        <f t="shared" si="13"/>
        <v>--</v>
      </c>
      <c r="AA35" s="297" t="str">
        <f t="shared" si="14"/>
        <v>--</v>
      </c>
      <c r="AB35" s="298" t="str">
        <f t="shared" si="16"/>
        <v/>
      </c>
      <c r="AC35" s="16" t="str">
        <f t="shared" si="15"/>
        <v/>
      </c>
      <c r="AD35" s="17"/>
    </row>
    <row r="36" spans="1:30" s="5" customFormat="1" ht="17.1" customHeight="1">
      <c r="A36" s="90"/>
      <c r="B36" s="95"/>
      <c r="C36" s="149"/>
      <c r="D36" s="149"/>
      <c r="E36" s="149"/>
      <c r="F36" s="145"/>
      <c r="G36" s="300"/>
      <c r="H36" s="285"/>
      <c r="I36" s="286"/>
      <c r="J36" s="287">
        <f t="shared" si="0"/>
        <v>0</v>
      </c>
      <c r="K36" s="150"/>
      <c r="L36" s="150"/>
      <c r="M36" s="288" t="str">
        <f t="shared" si="1"/>
        <v/>
      </c>
      <c r="N36" s="14" t="str">
        <f t="shared" si="2"/>
        <v/>
      </c>
      <c r="O36" s="151"/>
      <c r="P36" s="499" t="str">
        <f t="shared" si="3"/>
        <v/>
      </c>
      <c r="Q36" s="8" t="str">
        <f t="shared" si="4"/>
        <v/>
      </c>
      <c r="R36" s="217" t="str">
        <f t="shared" si="5"/>
        <v/>
      </c>
      <c r="S36" s="289">
        <f t="shared" si="6"/>
        <v>20</v>
      </c>
      <c r="T36" s="290" t="str">
        <f t="shared" si="7"/>
        <v>--</v>
      </c>
      <c r="U36" s="291" t="str">
        <f t="shared" si="8"/>
        <v>--</v>
      </c>
      <c r="V36" s="292" t="str">
        <f t="shared" si="9"/>
        <v>--</v>
      </c>
      <c r="W36" s="293" t="str">
        <f t="shared" si="10"/>
        <v>--</v>
      </c>
      <c r="X36" s="294" t="str">
        <f t="shared" si="11"/>
        <v>--</v>
      </c>
      <c r="Y36" s="295" t="str">
        <f t="shared" si="12"/>
        <v>--</v>
      </c>
      <c r="Z36" s="296" t="str">
        <f t="shared" si="13"/>
        <v>--</v>
      </c>
      <c r="AA36" s="297" t="str">
        <f t="shared" si="14"/>
        <v>--</v>
      </c>
      <c r="AB36" s="298" t="str">
        <f t="shared" si="16"/>
        <v/>
      </c>
      <c r="AC36" s="16" t="str">
        <f t="shared" si="15"/>
        <v/>
      </c>
      <c r="AD36" s="17"/>
    </row>
    <row r="37" spans="1:30" s="5" customFormat="1" ht="17.1" customHeight="1">
      <c r="A37" s="90"/>
      <c r="B37" s="95"/>
      <c r="C37" s="270"/>
      <c r="D37" s="270"/>
      <c r="E37" s="270"/>
      <c r="F37" s="145"/>
      <c r="G37" s="300"/>
      <c r="H37" s="285"/>
      <c r="I37" s="286"/>
      <c r="J37" s="287">
        <f t="shared" si="0"/>
        <v>0</v>
      </c>
      <c r="K37" s="150"/>
      <c r="L37" s="150"/>
      <c r="M37" s="288" t="str">
        <f t="shared" si="1"/>
        <v/>
      </c>
      <c r="N37" s="14" t="str">
        <f t="shared" si="2"/>
        <v/>
      </c>
      <c r="O37" s="151"/>
      <c r="P37" s="499" t="str">
        <f t="shared" si="3"/>
        <v/>
      </c>
      <c r="Q37" s="8" t="str">
        <f t="shared" si="4"/>
        <v/>
      </c>
      <c r="R37" s="217" t="str">
        <f t="shared" si="5"/>
        <v/>
      </c>
      <c r="S37" s="289">
        <f t="shared" si="6"/>
        <v>20</v>
      </c>
      <c r="T37" s="290" t="str">
        <f t="shared" si="7"/>
        <v>--</v>
      </c>
      <c r="U37" s="291" t="str">
        <f t="shared" si="8"/>
        <v>--</v>
      </c>
      <c r="V37" s="292" t="str">
        <f t="shared" si="9"/>
        <v>--</v>
      </c>
      <c r="W37" s="293" t="str">
        <f t="shared" si="10"/>
        <v>--</v>
      </c>
      <c r="X37" s="294" t="str">
        <f t="shared" si="11"/>
        <v>--</v>
      </c>
      <c r="Y37" s="295" t="str">
        <f t="shared" si="12"/>
        <v>--</v>
      </c>
      <c r="Z37" s="296" t="str">
        <f t="shared" si="13"/>
        <v>--</v>
      </c>
      <c r="AA37" s="297" t="str">
        <f t="shared" si="14"/>
        <v>--</v>
      </c>
      <c r="AB37" s="298" t="str">
        <f t="shared" si="16"/>
        <v/>
      </c>
      <c r="AC37" s="16" t="str">
        <f t="shared" si="15"/>
        <v/>
      </c>
      <c r="AD37" s="17"/>
    </row>
    <row r="38" spans="1:30" s="5" customFormat="1" ht="17.1" customHeight="1">
      <c r="A38" s="90"/>
      <c r="B38" s="95"/>
      <c r="C38" s="149"/>
      <c r="D38" s="149"/>
      <c r="E38" s="149"/>
      <c r="F38" s="145"/>
      <c r="G38" s="300"/>
      <c r="H38" s="285"/>
      <c r="I38" s="286"/>
      <c r="J38" s="287">
        <f t="shared" si="0"/>
        <v>0</v>
      </c>
      <c r="K38" s="150"/>
      <c r="L38" s="150"/>
      <c r="M38" s="288" t="str">
        <f t="shared" si="1"/>
        <v/>
      </c>
      <c r="N38" s="14" t="str">
        <f t="shared" si="2"/>
        <v/>
      </c>
      <c r="O38" s="151"/>
      <c r="P38" s="499" t="str">
        <f t="shared" si="3"/>
        <v/>
      </c>
      <c r="Q38" s="8" t="str">
        <f t="shared" si="4"/>
        <v/>
      </c>
      <c r="R38" s="217" t="str">
        <f t="shared" si="5"/>
        <v/>
      </c>
      <c r="S38" s="289">
        <f t="shared" si="6"/>
        <v>20</v>
      </c>
      <c r="T38" s="290" t="str">
        <f t="shared" si="7"/>
        <v>--</v>
      </c>
      <c r="U38" s="291" t="str">
        <f t="shared" si="8"/>
        <v>--</v>
      </c>
      <c r="V38" s="292" t="str">
        <f t="shared" si="9"/>
        <v>--</v>
      </c>
      <c r="W38" s="293" t="str">
        <f t="shared" si="10"/>
        <v>--</v>
      </c>
      <c r="X38" s="294" t="str">
        <f t="shared" si="11"/>
        <v>--</v>
      </c>
      <c r="Y38" s="295" t="str">
        <f t="shared" si="12"/>
        <v>--</v>
      </c>
      <c r="Z38" s="296" t="str">
        <f t="shared" si="13"/>
        <v>--</v>
      </c>
      <c r="AA38" s="297" t="str">
        <f t="shared" si="14"/>
        <v>--</v>
      </c>
      <c r="AB38" s="298" t="str">
        <f t="shared" si="16"/>
        <v/>
      </c>
      <c r="AC38" s="16" t="str">
        <f t="shared" si="15"/>
        <v/>
      </c>
      <c r="AD38" s="17"/>
    </row>
    <row r="39" spans="1:30" s="5" customFormat="1" ht="17.1" customHeight="1">
      <c r="A39" s="90"/>
      <c r="B39" s="95"/>
      <c r="C39" s="270"/>
      <c r="D39" s="270"/>
      <c r="E39" s="270"/>
      <c r="F39" s="145"/>
      <c r="G39" s="300"/>
      <c r="H39" s="285"/>
      <c r="I39" s="286"/>
      <c r="J39" s="287">
        <f t="shared" si="0"/>
        <v>0</v>
      </c>
      <c r="K39" s="150"/>
      <c r="L39" s="150"/>
      <c r="M39" s="288" t="str">
        <f t="shared" si="1"/>
        <v/>
      </c>
      <c r="N39" s="14" t="str">
        <f t="shared" si="2"/>
        <v/>
      </c>
      <c r="O39" s="151"/>
      <c r="P39" s="499" t="str">
        <f t="shared" si="3"/>
        <v/>
      </c>
      <c r="Q39" s="8" t="str">
        <f t="shared" si="4"/>
        <v/>
      </c>
      <c r="R39" s="217" t="str">
        <f t="shared" si="5"/>
        <v/>
      </c>
      <c r="S39" s="289">
        <f t="shared" si="6"/>
        <v>20</v>
      </c>
      <c r="T39" s="290" t="str">
        <f t="shared" si="7"/>
        <v>--</v>
      </c>
      <c r="U39" s="291" t="str">
        <f t="shared" si="8"/>
        <v>--</v>
      </c>
      <c r="V39" s="292" t="str">
        <f t="shared" si="9"/>
        <v>--</v>
      </c>
      <c r="W39" s="293" t="str">
        <f t="shared" si="10"/>
        <v>--</v>
      </c>
      <c r="X39" s="294" t="str">
        <f t="shared" si="11"/>
        <v>--</v>
      </c>
      <c r="Y39" s="295" t="str">
        <f t="shared" si="12"/>
        <v>--</v>
      </c>
      <c r="Z39" s="296" t="str">
        <f t="shared" si="13"/>
        <v>--</v>
      </c>
      <c r="AA39" s="297" t="str">
        <f t="shared" si="14"/>
        <v>--</v>
      </c>
      <c r="AB39" s="298" t="str">
        <f t="shared" si="16"/>
        <v/>
      </c>
      <c r="AC39" s="16" t="str">
        <f t="shared" si="15"/>
        <v/>
      </c>
      <c r="AD39" s="17"/>
    </row>
    <row r="40" spans="1:30" s="5" customFormat="1" ht="17.1" customHeight="1">
      <c r="A40" s="90"/>
      <c r="B40" s="95"/>
      <c r="C40" s="149"/>
      <c r="D40" s="149"/>
      <c r="E40" s="149"/>
      <c r="F40" s="145"/>
      <c r="G40" s="300"/>
      <c r="H40" s="285"/>
      <c r="I40" s="286"/>
      <c r="J40" s="287">
        <f t="shared" si="0"/>
        <v>0</v>
      </c>
      <c r="K40" s="150"/>
      <c r="L40" s="150"/>
      <c r="M40" s="288" t="str">
        <f t="shared" si="1"/>
        <v/>
      </c>
      <c r="N40" s="14" t="str">
        <f t="shared" si="2"/>
        <v/>
      </c>
      <c r="O40" s="151"/>
      <c r="P40" s="499" t="str">
        <f t="shared" si="3"/>
        <v/>
      </c>
      <c r="Q40" s="8" t="str">
        <f t="shared" si="4"/>
        <v/>
      </c>
      <c r="R40" s="217" t="str">
        <f t="shared" si="5"/>
        <v/>
      </c>
      <c r="S40" s="289">
        <f t="shared" si="6"/>
        <v>20</v>
      </c>
      <c r="T40" s="290" t="str">
        <f t="shared" si="7"/>
        <v>--</v>
      </c>
      <c r="U40" s="291" t="str">
        <f t="shared" si="8"/>
        <v>--</v>
      </c>
      <c r="V40" s="292" t="str">
        <f t="shared" si="9"/>
        <v>--</v>
      </c>
      <c r="W40" s="293" t="str">
        <f t="shared" si="10"/>
        <v>--</v>
      </c>
      <c r="X40" s="294" t="str">
        <f t="shared" si="11"/>
        <v>--</v>
      </c>
      <c r="Y40" s="295" t="str">
        <f t="shared" si="12"/>
        <v>--</v>
      </c>
      <c r="Z40" s="296" t="str">
        <f t="shared" si="13"/>
        <v>--</v>
      </c>
      <c r="AA40" s="297" t="str">
        <f t="shared" si="14"/>
        <v>--</v>
      </c>
      <c r="AB40" s="298" t="str">
        <f t="shared" si="16"/>
        <v/>
      </c>
      <c r="AC40" s="16" t="str">
        <f t="shared" si="15"/>
        <v/>
      </c>
      <c r="AD40" s="17"/>
    </row>
    <row r="41" spans="1:30" s="5" customFormat="1" ht="17.1" customHeight="1">
      <c r="A41" s="90"/>
      <c r="B41" s="95"/>
      <c r="C41" s="270"/>
      <c r="D41" s="270"/>
      <c r="E41" s="270"/>
      <c r="F41" s="145"/>
      <c r="G41" s="300"/>
      <c r="H41" s="285"/>
      <c r="I41" s="286"/>
      <c r="J41" s="287">
        <f t="shared" si="0"/>
        <v>0</v>
      </c>
      <c r="K41" s="150"/>
      <c r="L41" s="150"/>
      <c r="M41" s="288" t="str">
        <f t="shared" si="1"/>
        <v/>
      </c>
      <c r="N41" s="14" t="str">
        <f t="shared" si="2"/>
        <v/>
      </c>
      <c r="O41" s="151"/>
      <c r="P41" s="499" t="str">
        <f t="shared" si="3"/>
        <v/>
      </c>
      <c r="Q41" s="8" t="str">
        <f t="shared" si="4"/>
        <v/>
      </c>
      <c r="R41" s="217" t="str">
        <f t="shared" si="5"/>
        <v/>
      </c>
      <c r="S41" s="289">
        <f t="shared" si="6"/>
        <v>20</v>
      </c>
      <c r="T41" s="290" t="str">
        <f t="shared" si="7"/>
        <v>--</v>
      </c>
      <c r="U41" s="291" t="str">
        <f t="shared" si="8"/>
        <v>--</v>
      </c>
      <c r="V41" s="292" t="str">
        <f t="shared" si="9"/>
        <v>--</v>
      </c>
      <c r="W41" s="293" t="str">
        <f t="shared" si="10"/>
        <v>--</v>
      </c>
      <c r="X41" s="294" t="str">
        <f t="shared" si="11"/>
        <v>--</v>
      </c>
      <c r="Y41" s="295" t="str">
        <f t="shared" si="12"/>
        <v>--</v>
      </c>
      <c r="Z41" s="296" t="str">
        <f t="shared" si="13"/>
        <v>--</v>
      </c>
      <c r="AA41" s="297" t="str">
        <f t="shared" si="14"/>
        <v>--</v>
      </c>
      <c r="AB41" s="298" t="str">
        <f t="shared" si="16"/>
        <v/>
      </c>
      <c r="AC41" s="16" t="str">
        <f t="shared" si="15"/>
        <v/>
      </c>
      <c r="AD41" s="17"/>
    </row>
    <row r="42" spans="1:30" s="5" customFormat="1" ht="17.1" customHeight="1" thickBot="1">
      <c r="A42" s="90"/>
      <c r="B42" s="95"/>
      <c r="C42" s="149"/>
      <c r="D42" s="149"/>
      <c r="E42" s="149"/>
      <c r="F42" s="301"/>
      <c r="G42" s="302"/>
      <c r="H42" s="301"/>
      <c r="I42" s="303"/>
      <c r="J42" s="130"/>
      <c r="K42" s="152"/>
      <c r="L42" s="304"/>
      <c r="M42" s="305"/>
      <c r="N42" s="306"/>
      <c r="O42" s="155"/>
      <c r="P42" s="185"/>
      <c r="Q42" s="153"/>
      <c r="R42" s="155"/>
      <c r="S42" s="307"/>
      <c r="T42" s="308"/>
      <c r="U42" s="309"/>
      <c r="V42" s="310"/>
      <c r="W42" s="311"/>
      <c r="X42" s="312"/>
      <c r="Y42" s="313"/>
      <c r="Z42" s="314"/>
      <c r="AA42" s="315"/>
      <c r="AB42" s="316"/>
      <c r="AC42" s="317"/>
      <c r="AD42" s="17"/>
    </row>
    <row r="43" spans="1:30" s="5" customFormat="1" ht="17.1" customHeight="1" thickBot="1" thickTop="1">
      <c r="A43" s="90"/>
      <c r="B43" s="95"/>
      <c r="C43" s="126" t="s">
        <v>25</v>
      </c>
      <c r="D43" s="2894" t="s">
        <v>371</v>
      </c>
      <c r="E43" s="126"/>
      <c r="F43" s="127"/>
      <c r="G43" s="15"/>
      <c r="H43" s="15"/>
      <c r="I43" s="15"/>
      <c r="J43" s="15"/>
      <c r="K43" s="15"/>
      <c r="L43" s="99"/>
      <c r="M43" s="15"/>
      <c r="N43" s="15"/>
      <c r="O43" s="15"/>
      <c r="P43" s="15"/>
      <c r="Q43" s="15"/>
      <c r="R43" s="15"/>
      <c r="S43" s="15"/>
      <c r="T43" s="318">
        <f aca="true" t="shared" si="17" ref="T43:AA43">SUM(T20:T42)</f>
        <v>450.684</v>
      </c>
      <c r="U43" s="319">
        <f t="shared" si="17"/>
        <v>0</v>
      </c>
      <c r="V43" s="320">
        <f t="shared" si="17"/>
        <v>8346</v>
      </c>
      <c r="W43" s="321">
        <f t="shared" si="17"/>
        <v>9681.36</v>
      </c>
      <c r="X43" s="322">
        <f t="shared" si="17"/>
        <v>0</v>
      </c>
      <c r="Y43" s="323">
        <f t="shared" si="17"/>
        <v>0</v>
      </c>
      <c r="Z43" s="324">
        <f t="shared" si="17"/>
        <v>0</v>
      </c>
      <c r="AA43" s="325">
        <f t="shared" si="17"/>
        <v>0</v>
      </c>
      <c r="AB43" s="90"/>
      <c r="AC43" s="326">
        <f>ROUND(SUM(AC20:AC42),2)</f>
        <v>18478.04</v>
      </c>
      <c r="AD43" s="17"/>
    </row>
    <row r="44" spans="1:30" s="5" customFormat="1" ht="17.1" customHeight="1" thickBot="1" thickTop="1">
      <c r="A44" s="90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3"/>
    </row>
    <row r="45" spans="1:31" ht="17.1" customHeight="1" thickTop="1">
      <c r="A45" s="2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</row>
    <row r="46" spans="1:31" ht="17.1" customHeight="1">
      <c r="A46" s="2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</row>
    <row r="47" spans="1:31" ht="17.1" customHeight="1">
      <c r="A47" s="2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</row>
    <row r="48" spans="1:31" ht="17.1" customHeight="1">
      <c r="A48" s="2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</row>
    <row r="49" spans="6:31" ht="17.1" customHeight="1"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</row>
    <row r="50" spans="6:31" ht="17.1" customHeight="1"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</row>
    <row r="51" spans="6:31" ht="17.1" customHeight="1"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</row>
    <row r="52" spans="6:31" ht="17.1" customHeight="1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</row>
    <row r="53" spans="6:31" ht="17.1" customHeight="1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</row>
    <row r="54" spans="6:31" ht="17.1" customHeight="1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</row>
    <row r="55" spans="6:31" ht="17.1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</row>
    <row r="56" spans="6:31" ht="17.1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</row>
    <row r="57" spans="6:31" ht="17.1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</row>
    <row r="58" spans="6:31" ht="17.1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</row>
    <row r="59" spans="6:31" ht="17.1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</row>
    <row r="60" spans="6:31" ht="17.1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</row>
    <row r="61" spans="6:31" ht="17.1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</row>
    <row r="62" spans="6:31" ht="17.1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</row>
    <row r="63" spans="6:31" ht="17.1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</row>
    <row r="64" spans="6:31" ht="17.1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</row>
    <row r="65" spans="6:31" ht="17.1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</row>
    <row r="66" spans="6:31" ht="17.1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</row>
    <row r="67" spans="6:31" ht="17.1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</row>
    <row r="68" spans="6:31" ht="17.1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</row>
    <row r="69" spans="6:31" ht="17.1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</row>
    <row r="70" spans="6:31" ht="17.1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</row>
    <row r="71" spans="6:31" ht="17.1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</row>
    <row r="72" spans="6:31" ht="17.1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</row>
    <row r="73" spans="6:31" ht="17.1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</row>
    <row r="74" spans="6:31" ht="17.1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</row>
    <row r="75" spans="6:31" ht="17.1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</row>
    <row r="76" spans="6:31" ht="17.1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</row>
    <row r="77" spans="6:31" ht="17.1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</row>
    <row r="78" spans="6:31" ht="17.1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</row>
    <row r="79" spans="6:31" ht="17.1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</row>
    <row r="80" spans="6:31" ht="17.1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</row>
    <row r="81" spans="6:31" ht="17.1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</row>
    <row r="82" spans="6:31" ht="17.1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</row>
    <row r="83" spans="6:31" ht="17.1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</row>
    <row r="84" spans="6:31" ht="17.1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</row>
    <row r="85" spans="6:31" ht="17.1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</row>
    <row r="86" spans="6:31" ht="17.1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</row>
    <row r="87" spans="6:31" ht="17.1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</row>
    <row r="88" spans="6:31" ht="17.1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</row>
    <row r="89" spans="6:31" ht="17.1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</row>
    <row r="90" spans="6:31" ht="17.1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</row>
    <row r="91" spans="6:31" ht="17.1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</row>
    <row r="92" spans="6:31" ht="17.1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</row>
    <row r="93" spans="6:31" ht="17.1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</row>
    <row r="94" spans="6:31" ht="17.1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</row>
    <row r="95" spans="6:31" ht="17.1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</row>
    <row r="96" spans="6:31" ht="17.1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</row>
    <row r="97" spans="6:31" ht="17.1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</row>
    <row r="98" spans="6:31" ht="17.1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</row>
    <row r="99" spans="6:31" ht="17.1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</row>
    <row r="100" spans="6:31" ht="17.1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</row>
    <row r="101" spans="6:31" ht="17.1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</row>
    <row r="102" spans="6:31" ht="17.1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</row>
    <row r="103" spans="6:31" ht="17.1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</row>
    <row r="104" spans="6:31" ht="17.1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</row>
    <row r="105" spans="6:31" ht="17.1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</row>
    <row r="106" spans="6:31" ht="17.1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</row>
    <row r="107" spans="6:31" ht="17.1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</row>
    <row r="108" spans="6:31" ht="17.1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</row>
    <row r="109" spans="6:31" ht="17.1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</row>
    <row r="110" spans="6:31" ht="17.1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</row>
    <row r="111" spans="6:31" ht="17.1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</row>
    <row r="112" spans="6:31" ht="17.1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</row>
    <row r="113" spans="6:31" ht="17.1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</row>
    <row r="114" spans="6:31" ht="17.1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</row>
    <row r="115" spans="6:31" ht="17.1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</row>
    <row r="116" spans="6:31" ht="17.1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</row>
    <row r="117" spans="6:31" ht="17.1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</row>
    <row r="118" spans="6:31" ht="17.1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</row>
    <row r="119" spans="6:31" ht="17.1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</row>
    <row r="120" spans="6:31" ht="17.1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</row>
    <row r="121" spans="6:31" ht="17.1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6:31" ht="17.1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</row>
    <row r="123" spans="6:31" ht="17.1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</row>
    <row r="124" spans="6:31" ht="17.1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</row>
    <row r="125" spans="6:31" ht="17.1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</row>
    <row r="126" spans="6:31" ht="17.1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</row>
    <row r="127" spans="6:31" ht="17.1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</row>
    <row r="128" spans="6:31" ht="17.1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</row>
    <row r="129" spans="6:31" ht="17.1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</row>
    <row r="130" spans="6:31" ht="17.1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</row>
    <row r="131" spans="6:31" ht="17.1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</row>
    <row r="132" spans="6:31" ht="17.1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</row>
    <row r="133" spans="6:31" ht="17.1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</row>
    <row r="134" spans="6:31" ht="17.1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</row>
    <row r="135" spans="6:31" ht="17.1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</row>
    <row r="136" spans="6:31" ht="17.1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</row>
    <row r="137" spans="6:31" ht="17.1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</row>
    <row r="138" spans="6:31" ht="17.1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</row>
    <row r="139" spans="6:31" ht="17.1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</row>
    <row r="140" spans="6:31" ht="17.1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</row>
    <row r="141" spans="6:31" ht="17.1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</row>
    <row r="142" spans="6:31" ht="17.1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</row>
    <row r="143" spans="6:31" ht="17.1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</row>
    <row r="144" spans="6:31" ht="17.1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</row>
    <row r="145" spans="6:31" ht="17.1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</row>
    <row r="146" spans="6:31" ht="17.1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</row>
    <row r="147" spans="6:31" ht="17.1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</row>
    <row r="148" spans="6:31" ht="17.1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</row>
    <row r="149" spans="6:31" ht="17.1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</row>
    <row r="150" spans="6:31" ht="17.1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</row>
    <row r="151" spans="6:31" ht="17.1" customHeight="1"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</row>
    <row r="152" spans="6:31" ht="17.1" customHeight="1"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</row>
    <row r="153" ht="17.1" customHeight="1">
      <c r="AE153" s="168"/>
    </row>
    <row r="154" ht="17.1" customHeight="1">
      <c r="AE154" s="168"/>
    </row>
    <row r="155" ht="17.1" customHeight="1">
      <c r="AE155" s="168"/>
    </row>
    <row r="156" ht="17.1" customHeight="1">
      <c r="AE156" s="168"/>
    </row>
    <row r="157" ht="17.1" customHeight="1"/>
    <row r="158" ht="17.1" customHeight="1"/>
    <row r="159" ht="17.1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2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95265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57150</xdr:colOff>
                    <xdr:row>42</xdr:row>
                    <xdr:rowOff>0</xdr:rowOff>
                  </from>
                  <to>
                    <xdr:col>2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6"/>
  <dimension ref="A1:AE154"/>
  <sheetViews>
    <sheetView zoomScale="75" zoomScaleNormal="75" workbookViewId="0" topLeftCell="A1">
      <selection activeCell="E4" sqref="E4"/>
    </sheetView>
  </sheetViews>
  <sheetFormatPr defaultColWidth="11.421875" defaultRowHeight="12.75"/>
  <cols>
    <col min="1" max="1" width="6.140625" style="1369" customWidth="1"/>
    <col min="2" max="2" width="4.140625" style="1369" customWidth="1"/>
    <col min="3" max="3" width="5.421875" style="1369" customWidth="1"/>
    <col min="4" max="5" width="13.57421875" style="1369" customWidth="1"/>
    <col min="6" max="7" width="25.7109375" style="1369" customWidth="1"/>
    <col min="8" max="8" width="9.7109375" style="1369" customWidth="1"/>
    <col min="9" max="9" width="12.7109375" style="1369" customWidth="1"/>
    <col min="10" max="10" width="8.28125" style="1369" hidden="1" customWidth="1"/>
    <col min="11" max="12" width="16.28125" style="1369" customWidth="1"/>
    <col min="13" max="16" width="9.7109375" style="1369" customWidth="1"/>
    <col min="17" max="17" width="5.8515625" style="1369" customWidth="1"/>
    <col min="18" max="18" width="7.00390625" style="1369" customWidth="1"/>
    <col min="19" max="19" width="5.00390625" style="1369" hidden="1" customWidth="1"/>
    <col min="20" max="21" width="12.140625" style="1369" hidden="1" customWidth="1"/>
    <col min="22" max="22" width="11.421875" style="1369" hidden="1" customWidth="1"/>
    <col min="23" max="23" width="11.7109375" style="1369" hidden="1" customWidth="1"/>
    <col min="24" max="25" width="6.00390625" style="1369" hidden="1" customWidth="1"/>
    <col min="26" max="26" width="11.7109375" style="1369" hidden="1" customWidth="1"/>
    <col min="27" max="27" width="12.8515625" style="1369" hidden="1" customWidth="1"/>
    <col min="28" max="28" width="9.7109375" style="1369" customWidth="1"/>
    <col min="29" max="29" width="15.7109375" style="1369" customWidth="1"/>
    <col min="30" max="30" width="4.140625" style="1369" customWidth="1"/>
    <col min="31" max="256" width="11.421875" style="1369" customWidth="1"/>
    <col min="257" max="257" width="6.140625" style="1369" customWidth="1"/>
    <col min="258" max="258" width="4.140625" style="1369" customWidth="1"/>
    <col min="259" max="259" width="5.421875" style="1369" customWidth="1"/>
    <col min="260" max="261" width="13.57421875" style="1369" customWidth="1"/>
    <col min="262" max="263" width="25.7109375" style="1369" customWidth="1"/>
    <col min="264" max="264" width="9.7109375" style="1369" customWidth="1"/>
    <col min="265" max="265" width="12.7109375" style="1369" customWidth="1"/>
    <col min="266" max="266" width="11.421875" style="1369" hidden="1" customWidth="1"/>
    <col min="267" max="268" width="16.28125" style="1369" customWidth="1"/>
    <col min="269" max="272" width="9.7109375" style="1369" customWidth="1"/>
    <col min="273" max="273" width="5.8515625" style="1369" customWidth="1"/>
    <col min="274" max="274" width="7.00390625" style="1369" customWidth="1"/>
    <col min="275" max="283" width="11.421875" style="1369" hidden="1" customWidth="1"/>
    <col min="284" max="284" width="9.7109375" style="1369" customWidth="1"/>
    <col min="285" max="285" width="15.7109375" style="1369" customWidth="1"/>
    <col min="286" max="286" width="4.140625" style="1369" customWidth="1"/>
    <col min="287" max="512" width="11.421875" style="1369" customWidth="1"/>
    <col min="513" max="513" width="6.140625" style="1369" customWidth="1"/>
    <col min="514" max="514" width="4.140625" style="1369" customWidth="1"/>
    <col min="515" max="515" width="5.421875" style="1369" customWidth="1"/>
    <col min="516" max="517" width="13.57421875" style="1369" customWidth="1"/>
    <col min="518" max="519" width="25.7109375" style="1369" customWidth="1"/>
    <col min="520" max="520" width="9.7109375" style="1369" customWidth="1"/>
    <col min="521" max="521" width="12.7109375" style="1369" customWidth="1"/>
    <col min="522" max="522" width="11.421875" style="1369" hidden="1" customWidth="1"/>
    <col min="523" max="524" width="16.28125" style="1369" customWidth="1"/>
    <col min="525" max="528" width="9.7109375" style="1369" customWidth="1"/>
    <col min="529" max="529" width="5.8515625" style="1369" customWidth="1"/>
    <col min="530" max="530" width="7.00390625" style="1369" customWidth="1"/>
    <col min="531" max="539" width="11.421875" style="1369" hidden="1" customWidth="1"/>
    <col min="540" max="540" width="9.7109375" style="1369" customWidth="1"/>
    <col min="541" max="541" width="15.7109375" style="1369" customWidth="1"/>
    <col min="542" max="542" width="4.140625" style="1369" customWidth="1"/>
    <col min="543" max="768" width="11.421875" style="1369" customWidth="1"/>
    <col min="769" max="769" width="6.140625" style="1369" customWidth="1"/>
    <col min="770" max="770" width="4.140625" style="1369" customWidth="1"/>
    <col min="771" max="771" width="5.421875" style="1369" customWidth="1"/>
    <col min="772" max="773" width="13.57421875" style="1369" customWidth="1"/>
    <col min="774" max="775" width="25.7109375" style="1369" customWidth="1"/>
    <col min="776" max="776" width="9.7109375" style="1369" customWidth="1"/>
    <col min="777" max="777" width="12.7109375" style="1369" customWidth="1"/>
    <col min="778" max="778" width="11.421875" style="1369" hidden="1" customWidth="1"/>
    <col min="779" max="780" width="16.28125" style="1369" customWidth="1"/>
    <col min="781" max="784" width="9.7109375" style="1369" customWidth="1"/>
    <col min="785" max="785" width="5.8515625" style="1369" customWidth="1"/>
    <col min="786" max="786" width="7.00390625" style="1369" customWidth="1"/>
    <col min="787" max="795" width="11.421875" style="1369" hidden="1" customWidth="1"/>
    <col min="796" max="796" width="9.7109375" style="1369" customWidth="1"/>
    <col min="797" max="797" width="15.7109375" style="1369" customWidth="1"/>
    <col min="798" max="798" width="4.140625" style="1369" customWidth="1"/>
    <col min="799" max="1024" width="11.421875" style="1369" customWidth="1"/>
    <col min="1025" max="1025" width="6.140625" style="1369" customWidth="1"/>
    <col min="1026" max="1026" width="4.140625" style="1369" customWidth="1"/>
    <col min="1027" max="1027" width="5.421875" style="1369" customWidth="1"/>
    <col min="1028" max="1029" width="13.57421875" style="1369" customWidth="1"/>
    <col min="1030" max="1031" width="25.7109375" style="1369" customWidth="1"/>
    <col min="1032" max="1032" width="9.7109375" style="1369" customWidth="1"/>
    <col min="1033" max="1033" width="12.7109375" style="1369" customWidth="1"/>
    <col min="1034" max="1034" width="11.421875" style="1369" hidden="1" customWidth="1"/>
    <col min="1035" max="1036" width="16.28125" style="1369" customWidth="1"/>
    <col min="1037" max="1040" width="9.7109375" style="1369" customWidth="1"/>
    <col min="1041" max="1041" width="5.8515625" style="1369" customWidth="1"/>
    <col min="1042" max="1042" width="7.00390625" style="1369" customWidth="1"/>
    <col min="1043" max="1051" width="11.421875" style="1369" hidden="1" customWidth="1"/>
    <col min="1052" max="1052" width="9.7109375" style="1369" customWidth="1"/>
    <col min="1053" max="1053" width="15.7109375" style="1369" customWidth="1"/>
    <col min="1054" max="1054" width="4.140625" style="1369" customWidth="1"/>
    <col min="1055" max="1280" width="11.421875" style="1369" customWidth="1"/>
    <col min="1281" max="1281" width="6.140625" style="1369" customWidth="1"/>
    <col min="1282" max="1282" width="4.140625" style="1369" customWidth="1"/>
    <col min="1283" max="1283" width="5.421875" style="1369" customWidth="1"/>
    <col min="1284" max="1285" width="13.57421875" style="1369" customWidth="1"/>
    <col min="1286" max="1287" width="25.7109375" style="1369" customWidth="1"/>
    <col min="1288" max="1288" width="9.7109375" style="1369" customWidth="1"/>
    <col min="1289" max="1289" width="12.7109375" style="1369" customWidth="1"/>
    <col min="1290" max="1290" width="11.421875" style="1369" hidden="1" customWidth="1"/>
    <col min="1291" max="1292" width="16.28125" style="1369" customWidth="1"/>
    <col min="1293" max="1296" width="9.7109375" style="1369" customWidth="1"/>
    <col min="1297" max="1297" width="5.8515625" style="1369" customWidth="1"/>
    <col min="1298" max="1298" width="7.00390625" style="1369" customWidth="1"/>
    <col min="1299" max="1307" width="11.421875" style="1369" hidden="1" customWidth="1"/>
    <col min="1308" max="1308" width="9.7109375" style="1369" customWidth="1"/>
    <col min="1309" max="1309" width="15.7109375" style="1369" customWidth="1"/>
    <col min="1310" max="1310" width="4.140625" style="1369" customWidth="1"/>
    <col min="1311" max="1536" width="11.421875" style="1369" customWidth="1"/>
    <col min="1537" max="1537" width="6.140625" style="1369" customWidth="1"/>
    <col min="1538" max="1538" width="4.140625" style="1369" customWidth="1"/>
    <col min="1539" max="1539" width="5.421875" style="1369" customWidth="1"/>
    <col min="1540" max="1541" width="13.57421875" style="1369" customWidth="1"/>
    <col min="1542" max="1543" width="25.7109375" style="1369" customWidth="1"/>
    <col min="1544" max="1544" width="9.7109375" style="1369" customWidth="1"/>
    <col min="1545" max="1545" width="12.7109375" style="1369" customWidth="1"/>
    <col min="1546" max="1546" width="11.421875" style="1369" hidden="1" customWidth="1"/>
    <col min="1547" max="1548" width="16.28125" style="1369" customWidth="1"/>
    <col min="1549" max="1552" width="9.7109375" style="1369" customWidth="1"/>
    <col min="1553" max="1553" width="5.8515625" style="1369" customWidth="1"/>
    <col min="1554" max="1554" width="7.00390625" style="1369" customWidth="1"/>
    <col min="1555" max="1563" width="11.421875" style="1369" hidden="1" customWidth="1"/>
    <col min="1564" max="1564" width="9.7109375" style="1369" customWidth="1"/>
    <col min="1565" max="1565" width="15.7109375" style="1369" customWidth="1"/>
    <col min="1566" max="1566" width="4.140625" style="1369" customWidth="1"/>
    <col min="1567" max="1792" width="11.421875" style="1369" customWidth="1"/>
    <col min="1793" max="1793" width="6.140625" style="1369" customWidth="1"/>
    <col min="1794" max="1794" width="4.140625" style="1369" customWidth="1"/>
    <col min="1795" max="1795" width="5.421875" style="1369" customWidth="1"/>
    <col min="1796" max="1797" width="13.57421875" style="1369" customWidth="1"/>
    <col min="1798" max="1799" width="25.7109375" style="1369" customWidth="1"/>
    <col min="1800" max="1800" width="9.7109375" style="1369" customWidth="1"/>
    <col min="1801" max="1801" width="12.7109375" style="1369" customWidth="1"/>
    <col min="1802" max="1802" width="11.421875" style="1369" hidden="1" customWidth="1"/>
    <col min="1803" max="1804" width="16.28125" style="1369" customWidth="1"/>
    <col min="1805" max="1808" width="9.7109375" style="1369" customWidth="1"/>
    <col min="1809" max="1809" width="5.8515625" style="1369" customWidth="1"/>
    <col min="1810" max="1810" width="7.00390625" style="1369" customWidth="1"/>
    <col min="1811" max="1819" width="11.421875" style="1369" hidden="1" customWidth="1"/>
    <col min="1820" max="1820" width="9.7109375" style="1369" customWidth="1"/>
    <col min="1821" max="1821" width="15.7109375" style="1369" customWidth="1"/>
    <col min="1822" max="1822" width="4.140625" style="1369" customWidth="1"/>
    <col min="1823" max="2048" width="11.421875" style="1369" customWidth="1"/>
    <col min="2049" max="2049" width="6.140625" style="1369" customWidth="1"/>
    <col min="2050" max="2050" width="4.140625" style="1369" customWidth="1"/>
    <col min="2051" max="2051" width="5.421875" style="1369" customWidth="1"/>
    <col min="2052" max="2053" width="13.57421875" style="1369" customWidth="1"/>
    <col min="2054" max="2055" width="25.7109375" style="1369" customWidth="1"/>
    <col min="2056" max="2056" width="9.7109375" style="1369" customWidth="1"/>
    <col min="2057" max="2057" width="12.7109375" style="1369" customWidth="1"/>
    <col min="2058" max="2058" width="11.421875" style="1369" hidden="1" customWidth="1"/>
    <col min="2059" max="2060" width="16.28125" style="1369" customWidth="1"/>
    <col min="2061" max="2064" width="9.7109375" style="1369" customWidth="1"/>
    <col min="2065" max="2065" width="5.8515625" style="1369" customWidth="1"/>
    <col min="2066" max="2066" width="7.00390625" style="1369" customWidth="1"/>
    <col min="2067" max="2075" width="11.421875" style="1369" hidden="1" customWidth="1"/>
    <col min="2076" max="2076" width="9.7109375" style="1369" customWidth="1"/>
    <col min="2077" max="2077" width="15.7109375" style="1369" customWidth="1"/>
    <col min="2078" max="2078" width="4.140625" style="1369" customWidth="1"/>
    <col min="2079" max="2304" width="11.421875" style="1369" customWidth="1"/>
    <col min="2305" max="2305" width="6.140625" style="1369" customWidth="1"/>
    <col min="2306" max="2306" width="4.140625" style="1369" customWidth="1"/>
    <col min="2307" max="2307" width="5.421875" style="1369" customWidth="1"/>
    <col min="2308" max="2309" width="13.57421875" style="1369" customWidth="1"/>
    <col min="2310" max="2311" width="25.7109375" style="1369" customWidth="1"/>
    <col min="2312" max="2312" width="9.7109375" style="1369" customWidth="1"/>
    <col min="2313" max="2313" width="12.7109375" style="1369" customWidth="1"/>
    <col min="2314" max="2314" width="11.421875" style="1369" hidden="1" customWidth="1"/>
    <col min="2315" max="2316" width="16.28125" style="1369" customWidth="1"/>
    <col min="2317" max="2320" width="9.7109375" style="1369" customWidth="1"/>
    <col min="2321" max="2321" width="5.8515625" style="1369" customWidth="1"/>
    <col min="2322" max="2322" width="7.00390625" style="1369" customWidth="1"/>
    <col min="2323" max="2331" width="11.421875" style="1369" hidden="1" customWidth="1"/>
    <col min="2332" max="2332" width="9.7109375" style="1369" customWidth="1"/>
    <col min="2333" max="2333" width="15.7109375" style="1369" customWidth="1"/>
    <col min="2334" max="2334" width="4.140625" style="1369" customWidth="1"/>
    <col min="2335" max="2560" width="11.421875" style="1369" customWidth="1"/>
    <col min="2561" max="2561" width="6.140625" style="1369" customWidth="1"/>
    <col min="2562" max="2562" width="4.140625" style="1369" customWidth="1"/>
    <col min="2563" max="2563" width="5.421875" style="1369" customWidth="1"/>
    <col min="2564" max="2565" width="13.57421875" style="1369" customWidth="1"/>
    <col min="2566" max="2567" width="25.7109375" style="1369" customWidth="1"/>
    <col min="2568" max="2568" width="9.7109375" style="1369" customWidth="1"/>
    <col min="2569" max="2569" width="12.7109375" style="1369" customWidth="1"/>
    <col min="2570" max="2570" width="11.421875" style="1369" hidden="1" customWidth="1"/>
    <col min="2571" max="2572" width="16.28125" style="1369" customWidth="1"/>
    <col min="2573" max="2576" width="9.7109375" style="1369" customWidth="1"/>
    <col min="2577" max="2577" width="5.8515625" style="1369" customWidth="1"/>
    <col min="2578" max="2578" width="7.00390625" style="1369" customWidth="1"/>
    <col min="2579" max="2587" width="11.421875" style="1369" hidden="1" customWidth="1"/>
    <col min="2588" max="2588" width="9.7109375" style="1369" customWidth="1"/>
    <col min="2589" max="2589" width="15.7109375" style="1369" customWidth="1"/>
    <col min="2590" max="2590" width="4.140625" style="1369" customWidth="1"/>
    <col min="2591" max="2816" width="11.421875" style="1369" customWidth="1"/>
    <col min="2817" max="2817" width="6.140625" style="1369" customWidth="1"/>
    <col min="2818" max="2818" width="4.140625" style="1369" customWidth="1"/>
    <col min="2819" max="2819" width="5.421875" style="1369" customWidth="1"/>
    <col min="2820" max="2821" width="13.57421875" style="1369" customWidth="1"/>
    <col min="2822" max="2823" width="25.7109375" style="1369" customWidth="1"/>
    <col min="2824" max="2824" width="9.7109375" style="1369" customWidth="1"/>
    <col min="2825" max="2825" width="12.7109375" style="1369" customWidth="1"/>
    <col min="2826" max="2826" width="11.421875" style="1369" hidden="1" customWidth="1"/>
    <col min="2827" max="2828" width="16.28125" style="1369" customWidth="1"/>
    <col min="2829" max="2832" width="9.7109375" style="1369" customWidth="1"/>
    <col min="2833" max="2833" width="5.8515625" style="1369" customWidth="1"/>
    <col min="2834" max="2834" width="7.00390625" style="1369" customWidth="1"/>
    <col min="2835" max="2843" width="11.421875" style="1369" hidden="1" customWidth="1"/>
    <col min="2844" max="2844" width="9.7109375" style="1369" customWidth="1"/>
    <col min="2845" max="2845" width="15.7109375" style="1369" customWidth="1"/>
    <col min="2846" max="2846" width="4.140625" style="1369" customWidth="1"/>
    <col min="2847" max="3072" width="11.421875" style="1369" customWidth="1"/>
    <col min="3073" max="3073" width="6.140625" style="1369" customWidth="1"/>
    <col min="3074" max="3074" width="4.140625" style="1369" customWidth="1"/>
    <col min="3075" max="3075" width="5.421875" style="1369" customWidth="1"/>
    <col min="3076" max="3077" width="13.57421875" style="1369" customWidth="1"/>
    <col min="3078" max="3079" width="25.7109375" style="1369" customWidth="1"/>
    <col min="3080" max="3080" width="9.7109375" style="1369" customWidth="1"/>
    <col min="3081" max="3081" width="12.7109375" style="1369" customWidth="1"/>
    <col min="3082" max="3082" width="11.421875" style="1369" hidden="1" customWidth="1"/>
    <col min="3083" max="3084" width="16.28125" style="1369" customWidth="1"/>
    <col min="3085" max="3088" width="9.7109375" style="1369" customWidth="1"/>
    <col min="3089" max="3089" width="5.8515625" style="1369" customWidth="1"/>
    <col min="3090" max="3090" width="7.00390625" style="1369" customWidth="1"/>
    <col min="3091" max="3099" width="11.421875" style="1369" hidden="1" customWidth="1"/>
    <col min="3100" max="3100" width="9.7109375" style="1369" customWidth="1"/>
    <col min="3101" max="3101" width="15.7109375" style="1369" customWidth="1"/>
    <col min="3102" max="3102" width="4.140625" style="1369" customWidth="1"/>
    <col min="3103" max="3328" width="11.421875" style="1369" customWidth="1"/>
    <col min="3329" max="3329" width="6.140625" style="1369" customWidth="1"/>
    <col min="3330" max="3330" width="4.140625" style="1369" customWidth="1"/>
    <col min="3331" max="3331" width="5.421875" style="1369" customWidth="1"/>
    <col min="3332" max="3333" width="13.57421875" style="1369" customWidth="1"/>
    <col min="3334" max="3335" width="25.7109375" style="1369" customWidth="1"/>
    <col min="3336" max="3336" width="9.7109375" style="1369" customWidth="1"/>
    <col min="3337" max="3337" width="12.7109375" style="1369" customWidth="1"/>
    <col min="3338" max="3338" width="11.421875" style="1369" hidden="1" customWidth="1"/>
    <col min="3339" max="3340" width="16.28125" style="1369" customWidth="1"/>
    <col min="3341" max="3344" width="9.7109375" style="1369" customWidth="1"/>
    <col min="3345" max="3345" width="5.8515625" style="1369" customWidth="1"/>
    <col min="3346" max="3346" width="7.00390625" style="1369" customWidth="1"/>
    <col min="3347" max="3355" width="11.421875" style="1369" hidden="1" customWidth="1"/>
    <col min="3356" max="3356" width="9.7109375" style="1369" customWidth="1"/>
    <col min="3357" max="3357" width="15.7109375" style="1369" customWidth="1"/>
    <col min="3358" max="3358" width="4.140625" style="1369" customWidth="1"/>
    <col min="3359" max="3584" width="11.421875" style="1369" customWidth="1"/>
    <col min="3585" max="3585" width="6.140625" style="1369" customWidth="1"/>
    <col min="3586" max="3586" width="4.140625" style="1369" customWidth="1"/>
    <col min="3587" max="3587" width="5.421875" style="1369" customWidth="1"/>
    <col min="3588" max="3589" width="13.57421875" style="1369" customWidth="1"/>
    <col min="3590" max="3591" width="25.7109375" style="1369" customWidth="1"/>
    <col min="3592" max="3592" width="9.7109375" style="1369" customWidth="1"/>
    <col min="3593" max="3593" width="12.7109375" style="1369" customWidth="1"/>
    <col min="3594" max="3594" width="11.421875" style="1369" hidden="1" customWidth="1"/>
    <col min="3595" max="3596" width="16.28125" style="1369" customWidth="1"/>
    <col min="3597" max="3600" width="9.7109375" style="1369" customWidth="1"/>
    <col min="3601" max="3601" width="5.8515625" style="1369" customWidth="1"/>
    <col min="3602" max="3602" width="7.00390625" style="1369" customWidth="1"/>
    <col min="3603" max="3611" width="11.421875" style="1369" hidden="1" customWidth="1"/>
    <col min="3612" max="3612" width="9.7109375" style="1369" customWidth="1"/>
    <col min="3613" max="3613" width="15.7109375" style="1369" customWidth="1"/>
    <col min="3614" max="3614" width="4.140625" style="1369" customWidth="1"/>
    <col min="3615" max="3840" width="11.421875" style="1369" customWidth="1"/>
    <col min="3841" max="3841" width="6.140625" style="1369" customWidth="1"/>
    <col min="3842" max="3842" width="4.140625" style="1369" customWidth="1"/>
    <col min="3843" max="3843" width="5.421875" style="1369" customWidth="1"/>
    <col min="3844" max="3845" width="13.57421875" style="1369" customWidth="1"/>
    <col min="3846" max="3847" width="25.7109375" style="1369" customWidth="1"/>
    <col min="3848" max="3848" width="9.7109375" style="1369" customWidth="1"/>
    <col min="3849" max="3849" width="12.7109375" style="1369" customWidth="1"/>
    <col min="3850" max="3850" width="11.421875" style="1369" hidden="1" customWidth="1"/>
    <col min="3851" max="3852" width="16.28125" style="1369" customWidth="1"/>
    <col min="3853" max="3856" width="9.7109375" style="1369" customWidth="1"/>
    <col min="3857" max="3857" width="5.8515625" style="1369" customWidth="1"/>
    <col min="3858" max="3858" width="7.00390625" style="1369" customWidth="1"/>
    <col min="3859" max="3867" width="11.421875" style="1369" hidden="1" customWidth="1"/>
    <col min="3868" max="3868" width="9.7109375" style="1369" customWidth="1"/>
    <col min="3869" max="3869" width="15.7109375" style="1369" customWidth="1"/>
    <col min="3870" max="3870" width="4.140625" style="1369" customWidth="1"/>
    <col min="3871" max="4096" width="11.421875" style="1369" customWidth="1"/>
    <col min="4097" max="4097" width="6.140625" style="1369" customWidth="1"/>
    <col min="4098" max="4098" width="4.140625" style="1369" customWidth="1"/>
    <col min="4099" max="4099" width="5.421875" style="1369" customWidth="1"/>
    <col min="4100" max="4101" width="13.57421875" style="1369" customWidth="1"/>
    <col min="4102" max="4103" width="25.7109375" style="1369" customWidth="1"/>
    <col min="4104" max="4104" width="9.7109375" style="1369" customWidth="1"/>
    <col min="4105" max="4105" width="12.7109375" style="1369" customWidth="1"/>
    <col min="4106" max="4106" width="11.421875" style="1369" hidden="1" customWidth="1"/>
    <col min="4107" max="4108" width="16.28125" style="1369" customWidth="1"/>
    <col min="4109" max="4112" width="9.7109375" style="1369" customWidth="1"/>
    <col min="4113" max="4113" width="5.8515625" style="1369" customWidth="1"/>
    <col min="4114" max="4114" width="7.00390625" style="1369" customWidth="1"/>
    <col min="4115" max="4123" width="11.421875" style="1369" hidden="1" customWidth="1"/>
    <col min="4124" max="4124" width="9.7109375" style="1369" customWidth="1"/>
    <col min="4125" max="4125" width="15.7109375" style="1369" customWidth="1"/>
    <col min="4126" max="4126" width="4.140625" style="1369" customWidth="1"/>
    <col min="4127" max="4352" width="11.421875" style="1369" customWidth="1"/>
    <col min="4353" max="4353" width="6.140625" style="1369" customWidth="1"/>
    <col min="4354" max="4354" width="4.140625" style="1369" customWidth="1"/>
    <col min="4355" max="4355" width="5.421875" style="1369" customWidth="1"/>
    <col min="4356" max="4357" width="13.57421875" style="1369" customWidth="1"/>
    <col min="4358" max="4359" width="25.7109375" style="1369" customWidth="1"/>
    <col min="4360" max="4360" width="9.7109375" style="1369" customWidth="1"/>
    <col min="4361" max="4361" width="12.7109375" style="1369" customWidth="1"/>
    <col min="4362" max="4362" width="11.421875" style="1369" hidden="1" customWidth="1"/>
    <col min="4363" max="4364" width="16.28125" style="1369" customWidth="1"/>
    <col min="4365" max="4368" width="9.7109375" style="1369" customWidth="1"/>
    <col min="4369" max="4369" width="5.8515625" style="1369" customWidth="1"/>
    <col min="4370" max="4370" width="7.00390625" style="1369" customWidth="1"/>
    <col min="4371" max="4379" width="11.421875" style="1369" hidden="1" customWidth="1"/>
    <col min="4380" max="4380" width="9.7109375" style="1369" customWidth="1"/>
    <col min="4381" max="4381" width="15.7109375" style="1369" customWidth="1"/>
    <col min="4382" max="4382" width="4.140625" style="1369" customWidth="1"/>
    <col min="4383" max="4608" width="11.421875" style="1369" customWidth="1"/>
    <col min="4609" max="4609" width="6.140625" style="1369" customWidth="1"/>
    <col min="4610" max="4610" width="4.140625" style="1369" customWidth="1"/>
    <col min="4611" max="4611" width="5.421875" style="1369" customWidth="1"/>
    <col min="4612" max="4613" width="13.57421875" style="1369" customWidth="1"/>
    <col min="4614" max="4615" width="25.7109375" style="1369" customWidth="1"/>
    <col min="4616" max="4616" width="9.7109375" style="1369" customWidth="1"/>
    <col min="4617" max="4617" width="12.7109375" style="1369" customWidth="1"/>
    <col min="4618" max="4618" width="11.421875" style="1369" hidden="1" customWidth="1"/>
    <col min="4619" max="4620" width="16.28125" style="1369" customWidth="1"/>
    <col min="4621" max="4624" width="9.7109375" style="1369" customWidth="1"/>
    <col min="4625" max="4625" width="5.8515625" style="1369" customWidth="1"/>
    <col min="4626" max="4626" width="7.00390625" style="1369" customWidth="1"/>
    <col min="4627" max="4635" width="11.421875" style="1369" hidden="1" customWidth="1"/>
    <col min="4636" max="4636" width="9.7109375" style="1369" customWidth="1"/>
    <col min="4637" max="4637" width="15.7109375" style="1369" customWidth="1"/>
    <col min="4638" max="4638" width="4.140625" style="1369" customWidth="1"/>
    <col min="4639" max="4864" width="11.421875" style="1369" customWidth="1"/>
    <col min="4865" max="4865" width="6.140625" style="1369" customWidth="1"/>
    <col min="4866" max="4866" width="4.140625" style="1369" customWidth="1"/>
    <col min="4867" max="4867" width="5.421875" style="1369" customWidth="1"/>
    <col min="4868" max="4869" width="13.57421875" style="1369" customWidth="1"/>
    <col min="4870" max="4871" width="25.7109375" style="1369" customWidth="1"/>
    <col min="4872" max="4872" width="9.7109375" style="1369" customWidth="1"/>
    <col min="4873" max="4873" width="12.7109375" style="1369" customWidth="1"/>
    <col min="4874" max="4874" width="11.421875" style="1369" hidden="1" customWidth="1"/>
    <col min="4875" max="4876" width="16.28125" style="1369" customWidth="1"/>
    <col min="4877" max="4880" width="9.7109375" style="1369" customWidth="1"/>
    <col min="4881" max="4881" width="5.8515625" style="1369" customWidth="1"/>
    <col min="4882" max="4882" width="7.00390625" style="1369" customWidth="1"/>
    <col min="4883" max="4891" width="11.421875" style="1369" hidden="1" customWidth="1"/>
    <col min="4892" max="4892" width="9.7109375" style="1369" customWidth="1"/>
    <col min="4893" max="4893" width="15.7109375" style="1369" customWidth="1"/>
    <col min="4894" max="4894" width="4.140625" style="1369" customWidth="1"/>
    <col min="4895" max="5120" width="11.421875" style="1369" customWidth="1"/>
    <col min="5121" max="5121" width="6.140625" style="1369" customWidth="1"/>
    <col min="5122" max="5122" width="4.140625" style="1369" customWidth="1"/>
    <col min="5123" max="5123" width="5.421875" style="1369" customWidth="1"/>
    <col min="5124" max="5125" width="13.57421875" style="1369" customWidth="1"/>
    <col min="5126" max="5127" width="25.7109375" style="1369" customWidth="1"/>
    <col min="5128" max="5128" width="9.7109375" style="1369" customWidth="1"/>
    <col min="5129" max="5129" width="12.7109375" style="1369" customWidth="1"/>
    <col min="5130" max="5130" width="11.421875" style="1369" hidden="1" customWidth="1"/>
    <col min="5131" max="5132" width="16.28125" style="1369" customWidth="1"/>
    <col min="5133" max="5136" width="9.7109375" style="1369" customWidth="1"/>
    <col min="5137" max="5137" width="5.8515625" style="1369" customWidth="1"/>
    <col min="5138" max="5138" width="7.00390625" style="1369" customWidth="1"/>
    <col min="5139" max="5147" width="11.421875" style="1369" hidden="1" customWidth="1"/>
    <col min="5148" max="5148" width="9.7109375" style="1369" customWidth="1"/>
    <col min="5149" max="5149" width="15.7109375" style="1369" customWidth="1"/>
    <col min="5150" max="5150" width="4.140625" style="1369" customWidth="1"/>
    <col min="5151" max="5376" width="11.421875" style="1369" customWidth="1"/>
    <col min="5377" max="5377" width="6.140625" style="1369" customWidth="1"/>
    <col min="5378" max="5378" width="4.140625" style="1369" customWidth="1"/>
    <col min="5379" max="5379" width="5.421875" style="1369" customWidth="1"/>
    <col min="5380" max="5381" width="13.57421875" style="1369" customWidth="1"/>
    <col min="5382" max="5383" width="25.7109375" style="1369" customWidth="1"/>
    <col min="5384" max="5384" width="9.7109375" style="1369" customWidth="1"/>
    <col min="5385" max="5385" width="12.7109375" style="1369" customWidth="1"/>
    <col min="5386" max="5386" width="11.421875" style="1369" hidden="1" customWidth="1"/>
    <col min="5387" max="5388" width="16.28125" style="1369" customWidth="1"/>
    <col min="5389" max="5392" width="9.7109375" style="1369" customWidth="1"/>
    <col min="5393" max="5393" width="5.8515625" style="1369" customWidth="1"/>
    <col min="5394" max="5394" width="7.00390625" style="1369" customWidth="1"/>
    <col min="5395" max="5403" width="11.421875" style="1369" hidden="1" customWidth="1"/>
    <col min="5404" max="5404" width="9.7109375" style="1369" customWidth="1"/>
    <col min="5405" max="5405" width="15.7109375" style="1369" customWidth="1"/>
    <col min="5406" max="5406" width="4.140625" style="1369" customWidth="1"/>
    <col min="5407" max="5632" width="11.421875" style="1369" customWidth="1"/>
    <col min="5633" max="5633" width="6.140625" style="1369" customWidth="1"/>
    <col min="5634" max="5634" width="4.140625" style="1369" customWidth="1"/>
    <col min="5635" max="5635" width="5.421875" style="1369" customWidth="1"/>
    <col min="5636" max="5637" width="13.57421875" style="1369" customWidth="1"/>
    <col min="5638" max="5639" width="25.7109375" style="1369" customWidth="1"/>
    <col min="5640" max="5640" width="9.7109375" style="1369" customWidth="1"/>
    <col min="5641" max="5641" width="12.7109375" style="1369" customWidth="1"/>
    <col min="5642" max="5642" width="11.421875" style="1369" hidden="1" customWidth="1"/>
    <col min="5643" max="5644" width="16.28125" style="1369" customWidth="1"/>
    <col min="5645" max="5648" width="9.7109375" style="1369" customWidth="1"/>
    <col min="5649" max="5649" width="5.8515625" style="1369" customWidth="1"/>
    <col min="5650" max="5650" width="7.00390625" style="1369" customWidth="1"/>
    <col min="5651" max="5659" width="11.421875" style="1369" hidden="1" customWidth="1"/>
    <col min="5660" max="5660" width="9.7109375" style="1369" customWidth="1"/>
    <col min="5661" max="5661" width="15.7109375" style="1369" customWidth="1"/>
    <col min="5662" max="5662" width="4.140625" style="1369" customWidth="1"/>
    <col min="5663" max="5888" width="11.421875" style="1369" customWidth="1"/>
    <col min="5889" max="5889" width="6.140625" style="1369" customWidth="1"/>
    <col min="5890" max="5890" width="4.140625" style="1369" customWidth="1"/>
    <col min="5891" max="5891" width="5.421875" style="1369" customWidth="1"/>
    <col min="5892" max="5893" width="13.57421875" style="1369" customWidth="1"/>
    <col min="5894" max="5895" width="25.7109375" style="1369" customWidth="1"/>
    <col min="5896" max="5896" width="9.7109375" style="1369" customWidth="1"/>
    <col min="5897" max="5897" width="12.7109375" style="1369" customWidth="1"/>
    <col min="5898" max="5898" width="11.421875" style="1369" hidden="1" customWidth="1"/>
    <col min="5899" max="5900" width="16.28125" style="1369" customWidth="1"/>
    <col min="5901" max="5904" width="9.7109375" style="1369" customWidth="1"/>
    <col min="5905" max="5905" width="5.8515625" style="1369" customWidth="1"/>
    <col min="5906" max="5906" width="7.00390625" style="1369" customWidth="1"/>
    <col min="5907" max="5915" width="11.421875" style="1369" hidden="1" customWidth="1"/>
    <col min="5916" max="5916" width="9.7109375" style="1369" customWidth="1"/>
    <col min="5917" max="5917" width="15.7109375" style="1369" customWidth="1"/>
    <col min="5918" max="5918" width="4.140625" style="1369" customWidth="1"/>
    <col min="5919" max="6144" width="11.421875" style="1369" customWidth="1"/>
    <col min="6145" max="6145" width="6.140625" style="1369" customWidth="1"/>
    <col min="6146" max="6146" width="4.140625" style="1369" customWidth="1"/>
    <col min="6147" max="6147" width="5.421875" style="1369" customWidth="1"/>
    <col min="6148" max="6149" width="13.57421875" style="1369" customWidth="1"/>
    <col min="6150" max="6151" width="25.7109375" style="1369" customWidth="1"/>
    <col min="6152" max="6152" width="9.7109375" style="1369" customWidth="1"/>
    <col min="6153" max="6153" width="12.7109375" style="1369" customWidth="1"/>
    <col min="6154" max="6154" width="11.421875" style="1369" hidden="1" customWidth="1"/>
    <col min="6155" max="6156" width="16.28125" style="1369" customWidth="1"/>
    <col min="6157" max="6160" width="9.7109375" style="1369" customWidth="1"/>
    <col min="6161" max="6161" width="5.8515625" style="1369" customWidth="1"/>
    <col min="6162" max="6162" width="7.00390625" style="1369" customWidth="1"/>
    <col min="6163" max="6171" width="11.421875" style="1369" hidden="1" customWidth="1"/>
    <col min="6172" max="6172" width="9.7109375" style="1369" customWidth="1"/>
    <col min="6173" max="6173" width="15.7109375" style="1369" customWidth="1"/>
    <col min="6174" max="6174" width="4.140625" style="1369" customWidth="1"/>
    <col min="6175" max="6400" width="11.421875" style="1369" customWidth="1"/>
    <col min="6401" max="6401" width="6.140625" style="1369" customWidth="1"/>
    <col min="6402" max="6402" width="4.140625" style="1369" customWidth="1"/>
    <col min="6403" max="6403" width="5.421875" style="1369" customWidth="1"/>
    <col min="6404" max="6405" width="13.57421875" style="1369" customWidth="1"/>
    <col min="6406" max="6407" width="25.7109375" style="1369" customWidth="1"/>
    <col min="6408" max="6408" width="9.7109375" style="1369" customWidth="1"/>
    <col min="6409" max="6409" width="12.7109375" style="1369" customWidth="1"/>
    <col min="6410" max="6410" width="11.421875" style="1369" hidden="1" customWidth="1"/>
    <col min="6411" max="6412" width="16.28125" style="1369" customWidth="1"/>
    <col min="6413" max="6416" width="9.7109375" style="1369" customWidth="1"/>
    <col min="6417" max="6417" width="5.8515625" style="1369" customWidth="1"/>
    <col min="6418" max="6418" width="7.00390625" style="1369" customWidth="1"/>
    <col min="6419" max="6427" width="11.421875" style="1369" hidden="1" customWidth="1"/>
    <col min="6428" max="6428" width="9.7109375" style="1369" customWidth="1"/>
    <col min="6429" max="6429" width="15.7109375" style="1369" customWidth="1"/>
    <col min="6430" max="6430" width="4.140625" style="1369" customWidth="1"/>
    <col min="6431" max="6656" width="11.421875" style="1369" customWidth="1"/>
    <col min="6657" max="6657" width="6.140625" style="1369" customWidth="1"/>
    <col min="6658" max="6658" width="4.140625" style="1369" customWidth="1"/>
    <col min="6659" max="6659" width="5.421875" style="1369" customWidth="1"/>
    <col min="6660" max="6661" width="13.57421875" style="1369" customWidth="1"/>
    <col min="6662" max="6663" width="25.7109375" style="1369" customWidth="1"/>
    <col min="6664" max="6664" width="9.7109375" style="1369" customWidth="1"/>
    <col min="6665" max="6665" width="12.7109375" style="1369" customWidth="1"/>
    <col min="6666" max="6666" width="11.421875" style="1369" hidden="1" customWidth="1"/>
    <col min="6667" max="6668" width="16.28125" style="1369" customWidth="1"/>
    <col min="6669" max="6672" width="9.7109375" style="1369" customWidth="1"/>
    <col min="6673" max="6673" width="5.8515625" style="1369" customWidth="1"/>
    <col min="6674" max="6674" width="7.00390625" style="1369" customWidth="1"/>
    <col min="6675" max="6683" width="11.421875" style="1369" hidden="1" customWidth="1"/>
    <col min="6684" max="6684" width="9.7109375" style="1369" customWidth="1"/>
    <col min="6685" max="6685" width="15.7109375" style="1369" customWidth="1"/>
    <col min="6686" max="6686" width="4.140625" style="1369" customWidth="1"/>
    <col min="6687" max="6912" width="11.421875" style="1369" customWidth="1"/>
    <col min="6913" max="6913" width="6.140625" style="1369" customWidth="1"/>
    <col min="6914" max="6914" width="4.140625" style="1369" customWidth="1"/>
    <col min="6915" max="6915" width="5.421875" style="1369" customWidth="1"/>
    <col min="6916" max="6917" width="13.57421875" style="1369" customWidth="1"/>
    <col min="6918" max="6919" width="25.7109375" style="1369" customWidth="1"/>
    <col min="6920" max="6920" width="9.7109375" style="1369" customWidth="1"/>
    <col min="6921" max="6921" width="12.7109375" style="1369" customWidth="1"/>
    <col min="6922" max="6922" width="11.421875" style="1369" hidden="1" customWidth="1"/>
    <col min="6923" max="6924" width="16.28125" style="1369" customWidth="1"/>
    <col min="6925" max="6928" width="9.7109375" style="1369" customWidth="1"/>
    <col min="6929" max="6929" width="5.8515625" style="1369" customWidth="1"/>
    <col min="6930" max="6930" width="7.00390625" style="1369" customWidth="1"/>
    <col min="6931" max="6939" width="11.421875" style="1369" hidden="1" customWidth="1"/>
    <col min="6940" max="6940" width="9.7109375" style="1369" customWidth="1"/>
    <col min="6941" max="6941" width="15.7109375" style="1369" customWidth="1"/>
    <col min="6942" max="6942" width="4.140625" style="1369" customWidth="1"/>
    <col min="6943" max="7168" width="11.421875" style="1369" customWidth="1"/>
    <col min="7169" max="7169" width="6.140625" style="1369" customWidth="1"/>
    <col min="7170" max="7170" width="4.140625" style="1369" customWidth="1"/>
    <col min="7171" max="7171" width="5.421875" style="1369" customWidth="1"/>
    <col min="7172" max="7173" width="13.57421875" style="1369" customWidth="1"/>
    <col min="7174" max="7175" width="25.7109375" style="1369" customWidth="1"/>
    <col min="7176" max="7176" width="9.7109375" style="1369" customWidth="1"/>
    <col min="7177" max="7177" width="12.7109375" style="1369" customWidth="1"/>
    <col min="7178" max="7178" width="11.421875" style="1369" hidden="1" customWidth="1"/>
    <col min="7179" max="7180" width="16.28125" style="1369" customWidth="1"/>
    <col min="7181" max="7184" width="9.7109375" style="1369" customWidth="1"/>
    <col min="7185" max="7185" width="5.8515625" style="1369" customWidth="1"/>
    <col min="7186" max="7186" width="7.00390625" style="1369" customWidth="1"/>
    <col min="7187" max="7195" width="11.421875" style="1369" hidden="1" customWidth="1"/>
    <col min="7196" max="7196" width="9.7109375" style="1369" customWidth="1"/>
    <col min="7197" max="7197" width="15.7109375" style="1369" customWidth="1"/>
    <col min="7198" max="7198" width="4.140625" style="1369" customWidth="1"/>
    <col min="7199" max="7424" width="11.421875" style="1369" customWidth="1"/>
    <col min="7425" max="7425" width="6.140625" style="1369" customWidth="1"/>
    <col min="7426" max="7426" width="4.140625" style="1369" customWidth="1"/>
    <col min="7427" max="7427" width="5.421875" style="1369" customWidth="1"/>
    <col min="7428" max="7429" width="13.57421875" style="1369" customWidth="1"/>
    <col min="7430" max="7431" width="25.7109375" style="1369" customWidth="1"/>
    <col min="7432" max="7432" width="9.7109375" style="1369" customWidth="1"/>
    <col min="7433" max="7433" width="12.7109375" style="1369" customWidth="1"/>
    <col min="7434" max="7434" width="11.421875" style="1369" hidden="1" customWidth="1"/>
    <col min="7435" max="7436" width="16.28125" style="1369" customWidth="1"/>
    <col min="7437" max="7440" width="9.7109375" style="1369" customWidth="1"/>
    <col min="7441" max="7441" width="5.8515625" style="1369" customWidth="1"/>
    <col min="7442" max="7442" width="7.00390625" style="1369" customWidth="1"/>
    <col min="7443" max="7451" width="11.421875" style="1369" hidden="1" customWidth="1"/>
    <col min="7452" max="7452" width="9.7109375" style="1369" customWidth="1"/>
    <col min="7453" max="7453" width="15.7109375" style="1369" customWidth="1"/>
    <col min="7454" max="7454" width="4.140625" style="1369" customWidth="1"/>
    <col min="7455" max="7680" width="11.421875" style="1369" customWidth="1"/>
    <col min="7681" max="7681" width="6.140625" style="1369" customWidth="1"/>
    <col min="7682" max="7682" width="4.140625" style="1369" customWidth="1"/>
    <col min="7683" max="7683" width="5.421875" style="1369" customWidth="1"/>
    <col min="7684" max="7685" width="13.57421875" style="1369" customWidth="1"/>
    <col min="7686" max="7687" width="25.7109375" style="1369" customWidth="1"/>
    <col min="7688" max="7688" width="9.7109375" style="1369" customWidth="1"/>
    <col min="7689" max="7689" width="12.7109375" style="1369" customWidth="1"/>
    <col min="7690" max="7690" width="11.421875" style="1369" hidden="1" customWidth="1"/>
    <col min="7691" max="7692" width="16.28125" style="1369" customWidth="1"/>
    <col min="7693" max="7696" width="9.7109375" style="1369" customWidth="1"/>
    <col min="7697" max="7697" width="5.8515625" style="1369" customWidth="1"/>
    <col min="7698" max="7698" width="7.00390625" style="1369" customWidth="1"/>
    <col min="7699" max="7707" width="11.421875" style="1369" hidden="1" customWidth="1"/>
    <col min="7708" max="7708" width="9.7109375" style="1369" customWidth="1"/>
    <col min="7709" max="7709" width="15.7109375" style="1369" customWidth="1"/>
    <col min="7710" max="7710" width="4.140625" style="1369" customWidth="1"/>
    <col min="7711" max="7936" width="11.421875" style="1369" customWidth="1"/>
    <col min="7937" max="7937" width="6.140625" style="1369" customWidth="1"/>
    <col min="7938" max="7938" width="4.140625" style="1369" customWidth="1"/>
    <col min="7939" max="7939" width="5.421875" style="1369" customWidth="1"/>
    <col min="7940" max="7941" width="13.57421875" style="1369" customWidth="1"/>
    <col min="7942" max="7943" width="25.7109375" style="1369" customWidth="1"/>
    <col min="7944" max="7944" width="9.7109375" style="1369" customWidth="1"/>
    <col min="7945" max="7945" width="12.7109375" style="1369" customWidth="1"/>
    <col min="7946" max="7946" width="11.421875" style="1369" hidden="1" customWidth="1"/>
    <col min="7947" max="7948" width="16.28125" style="1369" customWidth="1"/>
    <col min="7949" max="7952" width="9.7109375" style="1369" customWidth="1"/>
    <col min="7953" max="7953" width="5.8515625" style="1369" customWidth="1"/>
    <col min="7954" max="7954" width="7.00390625" style="1369" customWidth="1"/>
    <col min="7955" max="7963" width="11.421875" style="1369" hidden="1" customWidth="1"/>
    <col min="7964" max="7964" width="9.7109375" style="1369" customWidth="1"/>
    <col min="7965" max="7965" width="15.7109375" style="1369" customWidth="1"/>
    <col min="7966" max="7966" width="4.140625" style="1369" customWidth="1"/>
    <col min="7967" max="8192" width="11.421875" style="1369" customWidth="1"/>
    <col min="8193" max="8193" width="6.140625" style="1369" customWidth="1"/>
    <col min="8194" max="8194" width="4.140625" style="1369" customWidth="1"/>
    <col min="8195" max="8195" width="5.421875" style="1369" customWidth="1"/>
    <col min="8196" max="8197" width="13.57421875" style="1369" customWidth="1"/>
    <col min="8198" max="8199" width="25.7109375" style="1369" customWidth="1"/>
    <col min="8200" max="8200" width="9.7109375" style="1369" customWidth="1"/>
    <col min="8201" max="8201" width="12.7109375" style="1369" customWidth="1"/>
    <col min="8202" max="8202" width="11.421875" style="1369" hidden="1" customWidth="1"/>
    <col min="8203" max="8204" width="16.28125" style="1369" customWidth="1"/>
    <col min="8205" max="8208" width="9.7109375" style="1369" customWidth="1"/>
    <col min="8209" max="8209" width="5.8515625" style="1369" customWidth="1"/>
    <col min="8210" max="8210" width="7.00390625" style="1369" customWidth="1"/>
    <col min="8211" max="8219" width="11.421875" style="1369" hidden="1" customWidth="1"/>
    <col min="8220" max="8220" width="9.7109375" style="1369" customWidth="1"/>
    <col min="8221" max="8221" width="15.7109375" style="1369" customWidth="1"/>
    <col min="8222" max="8222" width="4.140625" style="1369" customWidth="1"/>
    <col min="8223" max="8448" width="11.421875" style="1369" customWidth="1"/>
    <col min="8449" max="8449" width="6.140625" style="1369" customWidth="1"/>
    <col min="8450" max="8450" width="4.140625" style="1369" customWidth="1"/>
    <col min="8451" max="8451" width="5.421875" style="1369" customWidth="1"/>
    <col min="8452" max="8453" width="13.57421875" style="1369" customWidth="1"/>
    <col min="8454" max="8455" width="25.7109375" style="1369" customWidth="1"/>
    <col min="8456" max="8456" width="9.7109375" style="1369" customWidth="1"/>
    <col min="8457" max="8457" width="12.7109375" style="1369" customWidth="1"/>
    <col min="8458" max="8458" width="11.421875" style="1369" hidden="1" customWidth="1"/>
    <col min="8459" max="8460" width="16.28125" style="1369" customWidth="1"/>
    <col min="8461" max="8464" width="9.7109375" style="1369" customWidth="1"/>
    <col min="8465" max="8465" width="5.8515625" style="1369" customWidth="1"/>
    <col min="8466" max="8466" width="7.00390625" style="1369" customWidth="1"/>
    <col min="8467" max="8475" width="11.421875" style="1369" hidden="1" customWidth="1"/>
    <col min="8476" max="8476" width="9.7109375" style="1369" customWidth="1"/>
    <col min="8477" max="8477" width="15.7109375" style="1369" customWidth="1"/>
    <col min="8478" max="8478" width="4.140625" style="1369" customWidth="1"/>
    <col min="8479" max="8704" width="11.421875" style="1369" customWidth="1"/>
    <col min="8705" max="8705" width="6.140625" style="1369" customWidth="1"/>
    <col min="8706" max="8706" width="4.140625" style="1369" customWidth="1"/>
    <col min="8707" max="8707" width="5.421875" style="1369" customWidth="1"/>
    <col min="8708" max="8709" width="13.57421875" style="1369" customWidth="1"/>
    <col min="8710" max="8711" width="25.7109375" style="1369" customWidth="1"/>
    <col min="8712" max="8712" width="9.7109375" style="1369" customWidth="1"/>
    <col min="8713" max="8713" width="12.7109375" style="1369" customWidth="1"/>
    <col min="8714" max="8714" width="11.421875" style="1369" hidden="1" customWidth="1"/>
    <col min="8715" max="8716" width="16.28125" style="1369" customWidth="1"/>
    <col min="8717" max="8720" width="9.7109375" style="1369" customWidth="1"/>
    <col min="8721" max="8721" width="5.8515625" style="1369" customWidth="1"/>
    <col min="8722" max="8722" width="7.00390625" style="1369" customWidth="1"/>
    <col min="8723" max="8731" width="11.421875" style="1369" hidden="1" customWidth="1"/>
    <col min="8732" max="8732" width="9.7109375" style="1369" customWidth="1"/>
    <col min="8733" max="8733" width="15.7109375" style="1369" customWidth="1"/>
    <col min="8734" max="8734" width="4.140625" style="1369" customWidth="1"/>
    <col min="8735" max="8960" width="11.421875" style="1369" customWidth="1"/>
    <col min="8961" max="8961" width="6.140625" style="1369" customWidth="1"/>
    <col min="8962" max="8962" width="4.140625" style="1369" customWidth="1"/>
    <col min="8963" max="8963" width="5.421875" style="1369" customWidth="1"/>
    <col min="8964" max="8965" width="13.57421875" style="1369" customWidth="1"/>
    <col min="8966" max="8967" width="25.7109375" style="1369" customWidth="1"/>
    <col min="8968" max="8968" width="9.7109375" style="1369" customWidth="1"/>
    <col min="8969" max="8969" width="12.7109375" style="1369" customWidth="1"/>
    <col min="8970" max="8970" width="11.421875" style="1369" hidden="1" customWidth="1"/>
    <col min="8971" max="8972" width="16.28125" style="1369" customWidth="1"/>
    <col min="8973" max="8976" width="9.7109375" style="1369" customWidth="1"/>
    <col min="8977" max="8977" width="5.8515625" style="1369" customWidth="1"/>
    <col min="8978" max="8978" width="7.00390625" style="1369" customWidth="1"/>
    <col min="8979" max="8987" width="11.421875" style="1369" hidden="1" customWidth="1"/>
    <col min="8988" max="8988" width="9.7109375" style="1369" customWidth="1"/>
    <col min="8989" max="8989" width="15.7109375" style="1369" customWidth="1"/>
    <col min="8990" max="8990" width="4.140625" style="1369" customWidth="1"/>
    <col min="8991" max="9216" width="11.421875" style="1369" customWidth="1"/>
    <col min="9217" max="9217" width="6.140625" style="1369" customWidth="1"/>
    <col min="9218" max="9218" width="4.140625" style="1369" customWidth="1"/>
    <col min="9219" max="9219" width="5.421875" style="1369" customWidth="1"/>
    <col min="9220" max="9221" width="13.57421875" style="1369" customWidth="1"/>
    <col min="9222" max="9223" width="25.7109375" style="1369" customWidth="1"/>
    <col min="9224" max="9224" width="9.7109375" style="1369" customWidth="1"/>
    <col min="9225" max="9225" width="12.7109375" style="1369" customWidth="1"/>
    <col min="9226" max="9226" width="11.421875" style="1369" hidden="1" customWidth="1"/>
    <col min="9227" max="9228" width="16.28125" style="1369" customWidth="1"/>
    <col min="9229" max="9232" width="9.7109375" style="1369" customWidth="1"/>
    <col min="9233" max="9233" width="5.8515625" style="1369" customWidth="1"/>
    <col min="9234" max="9234" width="7.00390625" style="1369" customWidth="1"/>
    <col min="9235" max="9243" width="11.421875" style="1369" hidden="1" customWidth="1"/>
    <col min="9244" max="9244" width="9.7109375" style="1369" customWidth="1"/>
    <col min="9245" max="9245" width="15.7109375" style="1369" customWidth="1"/>
    <col min="9246" max="9246" width="4.140625" style="1369" customWidth="1"/>
    <col min="9247" max="9472" width="11.421875" style="1369" customWidth="1"/>
    <col min="9473" max="9473" width="6.140625" style="1369" customWidth="1"/>
    <col min="9474" max="9474" width="4.140625" style="1369" customWidth="1"/>
    <col min="9475" max="9475" width="5.421875" style="1369" customWidth="1"/>
    <col min="9476" max="9477" width="13.57421875" style="1369" customWidth="1"/>
    <col min="9478" max="9479" width="25.7109375" style="1369" customWidth="1"/>
    <col min="9480" max="9480" width="9.7109375" style="1369" customWidth="1"/>
    <col min="9481" max="9481" width="12.7109375" style="1369" customWidth="1"/>
    <col min="9482" max="9482" width="11.421875" style="1369" hidden="1" customWidth="1"/>
    <col min="9483" max="9484" width="16.28125" style="1369" customWidth="1"/>
    <col min="9485" max="9488" width="9.7109375" style="1369" customWidth="1"/>
    <col min="9489" max="9489" width="5.8515625" style="1369" customWidth="1"/>
    <col min="9490" max="9490" width="7.00390625" style="1369" customWidth="1"/>
    <col min="9491" max="9499" width="11.421875" style="1369" hidden="1" customWidth="1"/>
    <col min="9500" max="9500" width="9.7109375" style="1369" customWidth="1"/>
    <col min="9501" max="9501" width="15.7109375" style="1369" customWidth="1"/>
    <col min="9502" max="9502" width="4.140625" style="1369" customWidth="1"/>
    <col min="9503" max="9728" width="11.421875" style="1369" customWidth="1"/>
    <col min="9729" max="9729" width="6.140625" style="1369" customWidth="1"/>
    <col min="9730" max="9730" width="4.140625" style="1369" customWidth="1"/>
    <col min="9731" max="9731" width="5.421875" style="1369" customWidth="1"/>
    <col min="9732" max="9733" width="13.57421875" style="1369" customWidth="1"/>
    <col min="9734" max="9735" width="25.7109375" style="1369" customWidth="1"/>
    <col min="9736" max="9736" width="9.7109375" style="1369" customWidth="1"/>
    <col min="9737" max="9737" width="12.7109375" style="1369" customWidth="1"/>
    <col min="9738" max="9738" width="11.421875" style="1369" hidden="1" customWidth="1"/>
    <col min="9739" max="9740" width="16.28125" style="1369" customWidth="1"/>
    <col min="9741" max="9744" width="9.7109375" style="1369" customWidth="1"/>
    <col min="9745" max="9745" width="5.8515625" style="1369" customWidth="1"/>
    <col min="9746" max="9746" width="7.00390625" style="1369" customWidth="1"/>
    <col min="9747" max="9755" width="11.421875" style="1369" hidden="1" customWidth="1"/>
    <col min="9756" max="9756" width="9.7109375" style="1369" customWidth="1"/>
    <col min="9757" max="9757" width="15.7109375" style="1369" customWidth="1"/>
    <col min="9758" max="9758" width="4.140625" style="1369" customWidth="1"/>
    <col min="9759" max="9984" width="11.421875" style="1369" customWidth="1"/>
    <col min="9985" max="9985" width="6.140625" style="1369" customWidth="1"/>
    <col min="9986" max="9986" width="4.140625" style="1369" customWidth="1"/>
    <col min="9987" max="9987" width="5.421875" style="1369" customWidth="1"/>
    <col min="9988" max="9989" width="13.57421875" style="1369" customWidth="1"/>
    <col min="9990" max="9991" width="25.7109375" style="1369" customWidth="1"/>
    <col min="9992" max="9992" width="9.7109375" style="1369" customWidth="1"/>
    <col min="9993" max="9993" width="12.7109375" style="1369" customWidth="1"/>
    <col min="9994" max="9994" width="11.421875" style="1369" hidden="1" customWidth="1"/>
    <col min="9995" max="9996" width="16.28125" style="1369" customWidth="1"/>
    <col min="9997" max="10000" width="9.7109375" style="1369" customWidth="1"/>
    <col min="10001" max="10001" width="5.8515625" style="1369" customWidth="1"/>
    <col min="10002" max="10002" width="7.00390625" style="1369" customWidth="1"/>
    <col min="10003" max="10011" width="11.421875" style="1369" hidden="1" customWidth="1"/>
    <col min="10012" max="10012" width="9.7109375" style="1369" customWidth="1"/>
    <col min="10013" max="10013" width="15.7109375" style="1369" customWidth="1"/>
    <col min="10014" max="10014" width="4.140625" style="1369" customWidth="1"/>
    <col min="10015" max="10240" width="11.421875" style="1369" customWidth="1"/>
    <col min="10241" max="10241" width="6.140625" style="1369" customWidth="1"/>
    <col min="10242" max="10242" width="4.140625" style="1369" customWidth="1"/>
    <col min="10243" max="10243" width="5.421875" style="1369" customWidth="1"/>
    <col min="10244" max="10245" width="13.57421875" style="1369" customWidth="1"/>
    <col min="10246" max="10247" width="25.7109375" style="1369" customWidth="1"/>
    <col min="10248" max="10248" width="9.7109375" style="1369" customWidth="1"/>
    <col min="10249" max="10249" width="12.7109375" style="1369" customWidth="1"/>
    <col min="10250" max="10250" width="11.421875" style="1369" hidden="1" customWidth="1"/>
    <col min="10251" max="10252" width="16.28125" style="1369" customWidth="1"/>
    <col min="10253" max="10256" width="9.7109375" style="1369" customWidth="1"/>
    <col min="10257" max="10257" width="5.8515625" style="1369" customWidth="1"/>
    <col min="10258" max="10258" width="7.00390625" style="1369" customWidth="1"/>
    <col min="10259" max="10267" width="11.421875" style="1369" hidden="1" customWidth="1"/>
    <col min="10268" max="10268" width="9.7109375" style="1369" customWidth="1"/>
    <col min="10269" max="10269" width="15.7109375" style="1369" customWidth="1"/>
    <col min="10270" max="10270" width="4.140625" style="1369" customWidth="1"/>
    <col min="10271" max="10496" width="11.421875" style="1369" customWidth="1"/>
    <col min="10497" max="10497" width="6.140625" style="1369" customWidth="1"/>
    <col min="10498" max="10498" width="4.140625" style="1369" customWidth="1"/>
    <col min="10499" max="10499" width="5.421875" style="1369" customWidth="1"/>
    <col min="10500" max="10501" width="13.57421875" style="1369" customWidth="1"/>
    <col min="10502" max="10503" width="25.7109375" style="1369" customWidth="1"/>
    <col min="10504" max="10504" width="9.7109375" style="1369" customWidth="1"/>
    <col min="10505" max="10505" width="12.7109375" style="1369" customWidth="1"/>
    <col min="10506" max="10506" width="11.421875" style="1369" hidden="1" customWidth="1"/>
    <col min="10507" max="10508" width="16.28125" style="1369" customWidth="1"/>
    <col min="10509" max="10512" width="9.7109375" style="1369" customWidth="1"/>
    <col min="10513" max="10513" width="5.8515625" style="1369" customWidth="1"/>
    <col min="10514" max="10514" width="7.00390625" style="1369" customWidth="1"/>
    <col min="10515" max="10523" width="11.421875" style="1369" hidden="1" customWidth="1"/>
    <col min="10524" max="10524" width="9.7109375" style="1369" customWidth="1"/>
    <col min="10525" max="10525" width="15.7109375" style="1369" customWidth="1"/>
    <col min="10526" max="10526" width="4.140625" style="1369" customWidth="1"/>
    <col min="10527" max="10752" width="11.421875" style="1369" customWidth="1"/>
    <col min="10753" max="10753" width="6.140625" style="1369" customWidth="1"/>
    <col min="10754" max="10754" width="4.140625" style="1369" customWidth="1"/>
    <col min="10755" max="10755" width="5.421875" style="1369" customWidth="1"/>
    <col min="10756" max="10757" width="13.57421875" style="1369" customWidth="1"/>
    <col min="10758" max="10759" width="25.7109375" style="1369" customWidth="1"/>
    <col min="10760" max="10760" width="9.7109375" style="1369" customWidth="1"/>
    <col min="10761" max="10761" width="12.7109375" style="1369" customWidth="1"/>
    <col min="10762" max="10762" width="11.421875" style="1369" hidden="1" customWidth="1"/>
    <col min="10763" max="10764" width="16.28125" style="1369" customWidth="1"/>
    <col min="10765" max="10768" width="9.7109375" style="1369" customWidth="1"/>
    <col min="10769" max="10769" width="5.8515625" style="1369" customWidth="1"/>
    <col min="10770" max="10770" width="7.00390625" style="1369" customWidth="1"/>
    <col min="10771" max="10779" width="11.421875" style="1369" hidden="1" customWidth="1"/>
    <col min="10780" max="10780" width="9.7109375" style="1369" customWidth="1"/>
    <col min="10781" max="10781" width="15.7109375" style="1369" customWidth="1"/>
    <col min="10782" max="10782" width="4.140625" style="1369" customWidth="1"/>
    <col min="10783" max="11008" width="11.421875" style="1369" customWidth="1"/>
    <col min="11009" max="11009" width="6.140625" style="1369" customWidth="1"/>
    <col min="11010" max="11010" width="4.140625" style="1369" customWidth="1"/>
    <col min="11011" max="11011" width="5.421875" style="1369" customWidth="1"/>
    <col min="11012" max="11013" width="13.57421875" style="1369" customWidth="1"/>
    <col min="11014" max="11015" width="25.7109375" style="1369" customWidth="1"/>
    <col min="11016" max="11016" width="9.7109375" style="1369" customWidth="1"/>
    <col min="11017" max="11017" width="12.7109375" style="1369" customWidth="1"/>
    <col min="11018" max="11018" width="11.421875" style="1369" hidden="1" customWidth="1"/>
    <col min="11019" max="11020" width="16.28125" style="1369" customWidth="1"/>
    <col min="11021" max="11024" width="9.7109375" style="1369" customWidth="1"/>
    <col min="11025" max="11025" width="5.8515625" style="1369" customWidth="1"/>
    <col min="11026" max="11026" width="7.00390625" style="1369" customWidth="1"/>
    <col min="11027" max="11035" width="11.421875" style="1369" hidden="1" customWidth="1"/>
    <col min="11036" max="11036" width="9.7109375" style="1369" customWidth="1"/>
    <col min="11037" max="11037" width="15.7109375" style="1369" customWidth="1"/>
    <col min="11038" max="11038" width="4.140625" style="1369" customWidth="1"/>
    <col min="11039" max="11264" width="11.421875" style="1369" customWidth="1"/>
    <col min="11265" max="11265" width="6.140625" style="1369" customWidth="1"/>
    <col min="11266" max="11266" width="4.140625" style="1369" customWidth="1"/>
    <col min="11267" max="11267" width="5.421875" style="1369" customWidth="1"/>
    <col min="11268" max="11269" width="13.57421875" style="1369" customWidth="1"/>
    <col min="11270" max="11271" width="25.7109375" style="1369" customWidth="1"/>
    <col min="11272" max="11272" width="9.7109375" style="1369" customWidth="1"/>
    <col min="11273" max="11273" width="12.7109375" style="1369" customWidth="1"/>
    <col min="11274" max="11274" width="11.421875" style="1369" hidden="1" customWidth="1"/>
    <col min="11275" max="11276" width="16.28125" style="1369" customWidth="1"/>
    <col min="11277" max="11280" width="9.7109375" style="1369" customWidth="1"/>
    <col min="11281" max="11281" width="5.8515625" style="1369" customWidth="1"/>
    <col min="11282" max="11282" width="7.00390625" style="1369" customWidth="1"/>
    <col min="11283" max="11291" width="11.421875" style="1369" hidden="1" customWidth="1"/>
    <col min="11292" max="11292" width="9.7109375" style="1369" customWidth="1"/>
    <col min="11293" max="11293" width="15.7109375" style="1369" customWidth="1"/>
    <col min="11294" max="11294" width="4.140625" style="1369" customWidth="1"/>
    <col min="11295" max="11520" width="11.421875" style="1369" customWidth="1"/>
    <col min="11521" max="11521" width="6.140625" style="1369" customWidth="1"/>
    <col min="11522" max="11522" width="4.140625" style="1369" customWidth="1"/>
    <col min="11523" max="11523" width="5.421875" style="1369" customWidth="1"/>
    <col min="11524" max="11525" width="13.57421875" style="1369" customWidth="1"/>
    <col min="11526" max="11527" width="25.7109375" style="1369" customWidth="1"/>
    <col min="11528" max="11528" width="9.7109375" style="1369" customWidth="1"/>
    <col min="11529" max="11529" width="12.7109375" style="1369" customWidth="1"/>
    <col min="11530" max="11530" width="11.421875" style="1369" hidden="1" customWidth="1"/>
    <col min="11531" max="11532" width="16.28125" style="1369" customWidth="1"/>
    <col min="11533" max="11536" width="9.7109375" style="1369" customWidth="1"/>
    <col min="11537" max="11537" width="5.8515625" style="1369" customWidth="1"/>
    <col min="11538" max="11538" width="7.00390625" style="1369" customWidth="1"/>
    <col min="11539" max="11547" width="11.421875" style="1369" hidden="1" customWidth="1"/>
    <col min="11548" max="11548" width="9.7109375" style="1369" customWidth="1"/>
    <col min="11549" max="11549" width="15.7109375" style="1369" customWidth="1"/>
    <col min="11550" max="11550" width="4.140625" style="1369" customWidth="1"/>
    <col min="11551" max="11776" width="11.421875" style="1369" customWidth="1"/>
    <col min="11777" max="11777" width="6.140625" style="1369" customWidth="1"/>
    <col min="11778" max="11778" width="4.140625" style="1369" customWidth="1"/>
    <col min="11779" max="11779" width="5.421875" style="1369" customWidth="1"/>
    <col min="11780" max="11781" width="13.57421875" style="1369" customWidth="1"/>
    <col min="11782" max="11783" width="25.7109375" style="1369" customWidth="1"/>
    <col min="11784" max="11784" width="9.7109375" style="1369" customWidth="1"/>
    <col min="11785" max="11785" width="12.7109375" style="1369" customWidth="1"/>
    <col min="11786" max="11786" width="11.421875" style="1369" hidden="1" customWidth="1"/>
    <col min="11787" max="11788" width="16.28125" style="1369" customWidth="1"/>
    <col min="11789" max="11792" width="9.7109375" style="1369" customWidth="1"/>
    <col min="11793" max="11793" width="5.8515625" style="1369" customWidth="1"/>
    <col min="11794" max="11794" width="7.00390625" style="1369" customWidth="1"/>
    <col min="11795" max="11803" width="11.421875" style="1369" hidden="1" customWidth="1"/>
    <col min="11804" max="11804" width="9.7109375" style="1369" customWidth="1"/>
    <col min="11805" max="11805" width="15.7109375" style="1369" customWidth="1"/>
    <col min="11806" max="11806" width="4.140625" style="1369" customWidth="1"/>
    <col min="11807" max="12032" width="11.421875" style="1369" customWidth="1"/>
    <col min="12033" max="12033" width="6.140625" style="1369" customWidth="1"/>
    <col min="12034" max="12034" width="4.140625" style="1369" customWidth="1"/>
    <col min="12035" max="12035" width="5.421875" style="1369" customWidth="1"/>
    <col min="12036" max="12037" width="13.57421875" style="1369" customWidth="1"/>
    <col min="12038" max="12039" width="25.7109375" style="1369" customWidth="1"/>
    <col min="12040" max="12040" width="9.7109375" style="1369" customWidth="1"/>
    <col min="12041" max="12041" width="12.7109375" style="1369" customWidth="1"/>
    <col min="12042" max="12042" width="11.421875" style="1369" hidden="1" customWidth="1"/>
    <col min="12043" max="12044" width="16.28125" style="1369" customWidth="1"/>
    <col min="12045" max="12048" width="9.7109375" style="1369" customWidth="1"/>
    <col min="12049" max="12049" width="5.8515625" style="1369" customWidth="1"/>
    <col min="12050" max="12050" width="7.00390625" style="1369" customWidth="1"/>
    <col min="12051" max="12059" width="11.421875" style="1369" hidden="1" customWidth="1"/>
    <col min="12060" max="12060" width="9.7109375" style="1369" customWidth="1"/>
    <col min="12061" max="12061" width="15.7109375" style="1369" customWidth="1"/>
    <col min="12062" max="12062" width="4.140625" style="1369" customWidth="1"/>
    <col min="12063" max="12288" width="11.421875" style="1369" customWidth="1"/>
    <col min="12289" max="12289" width="6.140625" style="1369" customWidth="1"/>
    <col min="12290" max="12290" width="4.140625" style="1369" customWidth="1"/>
    <col min="12291" max="12291" width="5.421875" style="1369" customWidth="1"/>
    <col min="12292" max="12293" width="13.57421875" style="1369" customWidth="1"/>
    <col min="12294" max="12295" width="25.7109375" style="1369" customWidth="1"/>
    <col min="12296" max="12296" width="9.7109375" style="1369" customWidth="1"/>
    <col min="12297" max="12297" width="12.7109375" style="1369" customWidth="1"/>
    <col min="12298" max="12298" width="11.421875" style="1369" hidden="1" customWidth="1"/>
    <col min="12299" max="12300" width="16.28125" style="1369" customWidth="1"/>
    <col min="12301" max="12304" width="9.7109375" style="1369" customWidth="1"/>
    <col min="12305" max="12305" width="5.8515625" style="1369" customWidth="1"/>
    <col min="12306" max="12306" width="7.00390625" style="1369" customWidth="1"/>
    <col min="12307" max="12315" width="11.421875" style="1369" hidden="1" customWidth="1"/>
    <col min="12316" max="12316" width="9.7109375" style="1369" customWidth="1"/>
    <col min="12317" max="12317" width="15.7109375" style="1369" customWidth="1"/>
    <col min="12318" max="12318" width="4.140625" style="1369" customWidth="1"/>
    <col min="12319" max="12544" width="11.421875" style="1369" customWidth="1"/>
    <col min="12545" max="12545" width="6.140625" style="1369" customWidth="1"/>
    <col min="12546" max="12546" width="4.140625" style="1369" customWidth="1"/>
    <col min="12547" max="12547" width="5.421875" style="1369" customWidth="1"/>
    <col min="12548" max="12549" width="13.57421875" style="1369" customWidth="1"/>
    <col min="12550" max="12551" width="25.7109375" style="1369" customWidth="1"/>
    <col min="12552" max="12552" width="9.7109375" style="1369" customWidth="1"/>
    <col min="12553" max="12553" width="12.7109375" style="1369" customWidth="1"/>
    <col min="12554" max="12554" width="11.421875" style="1369" hidden="1" customWidth="1"/>
    <col min="12555" max="12556" width="16.28125" style="1369" customWidth="1"/>
    <col min="12557" max="12560" width="9.7109375" style="1369" customWidth="1"/>
    <col min="12561" max="12561" width="5.8515625" style="1369" customWidth="1"/>
    <col min="12562" max="12562" width="7.00390625" style="1369" customWidth="1"/>
    <col min="12563" max="12571" width="11.421875" style="1369" hidden="1" customWidth="1"/>
    <col min="12572" max="12572" width="9.7109375" style="1369" customWidth="1"/>
    <col min="12573" max="12573" width="15.7109375" style="1369" customWidth="1"/>
    <col min="12574" max="12574" width="4.140625" style="1369" customWidth="1"/>
    <col min="12575" max="12800" width="11.421875" style="1369" customWidth="1"/>
    <col min="12801" max="12801" width="6.140625" style="1369" customWidth="1"/>
    <col min="12802" max="12802" width="4.140625" style="1369" customWidth="1"/>
    <col min="12803" max="12803" width="5.421875" style="1369" customWidth="1"/>
    <col min="12804" max="12805" width="13.57421875" style="1369" customWidth="1"/>
    <col min="12806" max="12807" width="25.7109375" style="1369" customWidth="1"/>
    <col min="12808" max="12808" width="9.7109375" style="1369" customWidth="1"/>
    <col min="12809" max="12809" width="12.7109375" style="1369" customWidth="1"/>
    <col min="12810" max="12810" width="11.421875" style="1369" hidden="1" customWidth="1"/>
    <col min="12811" max="12812" width="16.28125" style="1369" customWidth="1"/>
    <col min="12813" max="12816" width="9.7109375" style="1369" customWidth="1"/>
    <col min="12817" max="12817" width="5.8515625" style="1369" customWidth="1"/>
    <col min="12818" max="12818" width="7.00390625" style="1369" customWidth="1"/>
    <col min="12819" max="12827" width="11.421875" style="1369" hidden="1" customWidth="1"/>
    <col min="12828" max="12828" width="9.7109375" style="1369" customWidth="1"/>
    <col min="12829" max="12829" width="15.7109375" style="1369" customWidth="1"/>
    <col min="12830" max="12830" width="4.140625" style="1369" customWidth="1"/>
    <col min="12831" max="13056" width="11.421875" style="1369" customWidth="1"/>
    <col min="13057" max="13057" width="6.140625" style="1369" customWidth="1"/>
    <col min="13058" max="13058" width="4.140625" style="1369" customWidth="1"/>
    <col min="13059" max="13059" width="5.421875" style="1369" customWidth="1"/>
    <col min="13060" max="13061" width="13.57421875" style="1369" customWidth="1"/>
    <col min="13062" max="13063" width="25.7109375" style="1369" customWidth="1"/>
    <col min="13064" max="13064" width="9.7109375" style="1369" customWidth="1"/>
    <col min="13065" max="13065" width="12.7109375" style="1369" customWidth="1"/>
    <col min="13066" max="13066" width="11.421875" style="1369" hidden="1" customWidth="1"/>
    <col min="13067" max="13068" width="16.28125" style="1369" customWidth="1"/>
    <col min="13069" max="13072" width="9.7109375" style="1369" customWidth="1"/>
    <col min="13073" max="13073" width="5.8515625" style="1369" customWidth="1"/>
    <col min="13074" max="13074" width="7.00390625" style="1369" customWidth="1"/>
    <col min="13075" max="13083" width="11.421875" style="1369" hidden="1" customWidth="1"/>
    <col min="13084" max="13084" width="9.7109375" style="1369" customWidth="1"/>
    <col min="13085" max="13085" width="15.7109375" style="1369" customWidth="1"/>
    <col min="13086" max="13086" width="4.140625" style="1369" customWidth="1"/>
    <col min="13087" max="13312" width="11.421875" style="1369" customWidth="1"/>
    <col min="13313" max="13313" width="6.140625" style="1369" customWidth="1"/>
    <col min="13314" max="13314" width="4.140625" style="1369" customWidth="1"/>
    <col min="13315" max="13315" width="5.421875" style="1369" customWidth="1"/>
    <col min="13316" max="13317" width="13.57421875" style="1369" customWidth="1"/>
    <col min="13318" max="13319" width="25.7109375" style="1369" customWidth="1"/>
    <col min="13320" max="13320" width="9.7109375" style="1369" customWidth="1"/>
    <col min="13321" max="13321" width="12.7109375" style="1369" customWidth="1"/>
    <col min="13322" max="13322" width="11.421875" style="1369" hidden="1" customWidth="1"/>
    <col min="13323" max="13324" width="16.28125" style="1369" customWidth="1"/>
    <col min="13325" max="13328" width="9.7109375" style="1369" customWidth="1"/>
    <col min="13329" max="13329" width="5.8515625" style="1369" customWidth="1"/>
    <col min="13330" max="13330" width="7.00390625" style="1369" customWidth="1"/>
    <col min="13331" max="13339" width="11.421875" style="1369" hidden="1" customWidth="1"/>
    <col min="13340" max="13340" width="9.7109375" style="1369" customWidth="1"/>
    <col min="13341" max="13341" width="15.7109375" style="1369" customWidth="1"/>
    <col min="13342" max="13342" width="4.140625" style="1369" customWidth="1"/>
    <col min="13343" max="13568" width="11.421875" style="1369" customWidth="1"/>
    <col min="13569" max="13569" width="6.140625" style="1369" customWidth="1"/>
    <col min="13570" max="13570" width="4.140625" style="1369" customWidth="1"/>
    <col min="13571" max="13571" width="5.421875" style="1369" customWidth="1"/>
    <col min="13572" max="13573" width="13.57421875" style="1369" customWidth="1"/>
    <col min="13574" max="13575" width="25.7109375" style="1369" customWidth="1"/>
    <col min="13576" max="13576" width="9.7109375" style="1369" customWidth="1"/>
    <col min="13577" max="13577" width="12.7109375" style="1369" customWidth="1"/>
    <col min="13578" max="13578" width="11.421875" style="1369" hidden="1" customWidth="1"/>
    <col min="13579" max="13580" width="16.28125" style="1369" customWidth="1"/>
    <col min="13581" max="13584" width="9.7109375" style="1369" customWidth="1"/>
    <col min="13585" max="13585" width="5.8515625" style="1369" customWidth="1"/>
    <col min="13586" max="13586" width="7.00390625" style="1369" customWidth="1"/>
    <col min="13587" max="13595" width="11.421875" style="1369" hidden="1" customWidth="1"/>
    <col min="13596" max="13596" width="9.7109375" style="1369" customWidth="1"/>
    <col min="13597" max="13597" width="15.7109375" style="1369" customWidth="1"/>
    <col min="13598" max="13598" width="4.140625" style="1369" customWidth="1"/>
    <col min="13599" max="13824" width="11.421875" style="1369" customWidth="1"/>
    <col min="13825" max="13825" width="6.140625" style="1369" customWidth="1"/>
    <col min="13826" max="13826" width="4.140625" style="1369" customWidth="1"/>
    <col min="13827" max="13827" width="5.421875" style="1369" customWidth="1"/>
    <col min="13828" max="13829" width="13.57421875" style="1369" customWidth="1"/>
    <col min="13830" max="13831" width="25.7109375" style="1369" customWidth="1"/>
    <col min="13832" max="13832" width="9.7109375" style="1369" customWidth="1"/>
    <col min="13833" max="13833" width="12.7109375" style="1369" customWidth="1"/>
    <col min="13834" max="13834" width="11.421875" style="1369" hidden="1" customWidth="1"/>
    <col min="13835" max="13836" width="16.28125" style="1369" customWidth="1"/>
    <col min="13837" max="13840" width="9.7109375" style="1369" customWidth="1"/>
    <col min="13841" max="13841" width="5.8515625" style="1369" customWidth="1"/>
    <col min="13842" max="13842" width="7.00390625" style="1369" customWidth="1"/>
    <col min="13843" max="13851" width="11.421875" style="1369" hidden="1" customWidth="1"/>
    <col min="13852" max="13852" width="9.7109375" style="1369" customWidth="1"/>
    <col min="13853" max="13853" width="15.7109375" style="1369" customWidth="1"/>
    <col min="13854" max="13854" width="4.140625" style="1369" customWidth="1"/>
    <col min="13855" max="14080" width="11.421875" style="1369" customWidth="1"/>
    <col min="14081" max="14081" width="6.140625" style="1369" customWidth="1"/>
    <col min="14082" max="14082" width="4.140625" style="1369" customWidth="1"/>
    <col min="14083" max="14083" width="5.421875" style="1369" customWidth="1"/>
    <col min="14084" max="14085" width="13.57421875" style="1369" customWidth="1"/>
    <col min="14086" max="14087" width="25.7109375" style="1369" customWidth="1"/>
    <col min="14088" max="14088" width="9.7109375" style="1369" customWidth="1"/>
    <col min="14089" max="14089" width="12.7109375" style="1369" customWidth="1"/>
    <col min="14090" max="14090" width="11.421875" style="1369" hidden="1" customWidth="1"/>
    <col min="14091" max="14092" width="16.28125" style="1369" customWidth="1"/>
    <col min="14093" max="14096" width="9.7109375" style="1369" customWidth="1"/>
    <col min="14097" max="14097" width="5.8515625" style="1369" customWidth="1"/>
    <col min="14098" max="14098" width="7.00390625" style="1369" customWidth="1"/>
    <col min="14099" max="14107" width="11.421875" style="1369" hidden="1" customWidth="1"/>
    <col min="14108" max="14108" width="9.7109375" style="1369" customWidth="1"/>
    <col min="14109" max="14109" width="15.7109375" style="1369" customWidth="1"/>
    <col min="14110" max="14110" width="4.140625" style="1369" customWidth="1"/>
    <col min="14111" max="14336" width="11.421875" style="1369" customWidth="1"/>
    <col min="14337" max="14337" width="6.140625" style="1369" customWidth="1"/>
    <col min="14338" max="14338" width="4.140625" style="1369" customWidth="1"/>
    <col min="14339" max="14339" width="5.421875" style="1369" customWidth="1"/>
    <col min="14340" max="14341" width="13.57421875" style="1369" customWidth="1"/>
    <col min="14342" max="14343" width="25.7109375" style="1369" customWidth="1"/>
    <col min="14344" max="14344" width="9.7109375" style="1369" customWidth="1"/>
    <col min="14345" max="14345" width="12.7109375" style="1369" customWidth="1"/>
    <col min="14346" max="14346" width="11.421875" style="1369" hidden="1" customWidth="1"/>
    <col min="14347" max="14348" width="16.28125" style="1369" customWidth="1"/>
    <col min="14349" max="14352" width="9.7109375" style="1369" customWidth="1"/>
    <col min="14353" max="14353" width="5.8515625" style="1369" customWidth="1"/>
    <col min="14354" max="14354" width="7.00390625" style="1369" customWidth="1"/>
    <col min="14355" max="14363" width="11.421875" style="1369" hidden="1" customWidth="1"/>
    <col min="14364" max="14364" width="9.7109375" style="1369" customWidth="1"/>
    <col min="14365" max="14365" width="15.7109375" style="1369" customWidth="1"/>
    <col min="14366" max="14366" width="4.140625" style="1369" customWidth="1"/>
    <col min="14367" max="14592" width="11.421875" style="1369" customWidth="1"/>
    <col min="14593" max="14593" width="6.140625" style="1369" customWidth="1"/>
    <col min="14594" max="14594" width="4.140625" style="1369" customWidth="1"/>
    <col min="14595" max="14595" width="5.421875" style="1369" customWidth="1"/>
    <col min="14596" max="14597" width="13.57421875" style="1369" customWidth="1"/>
    <col min="14598" max="14599" width="25.7109375" style="1369" customWidth="1"/>
    <col min="14600" max="14600" width="9.7109375" style="1369" customWidth="1"/>
    <col min="14601" max="14601" width="12.7109375" style="1369" customWidth="1"/>
    <col min="14602" max="14602" width="11.421875" style="1369" hidden="1" customWidth="1"/>
    <col min="14603" max="14604" width="16.28125" style="1369" customWidth="1"/>
    <col min="14605" max="14608" width="9.7109375" style="1369" customWidth="1"/>
    <col min="14609" max="14609" width="5.8515625" style="1369" customWidth="1"/>
    <col min="14610" max="14610" width="7.00390625" style="1369" customWidth="1"/>
    <col min="14611" max="14619" width="11.421875" style="1369" hidden="1" customWidth="1"/>
    <col min="14620" max="14620" width="9.7109375" style="1369" customWidth="1"/>
    <col min="14621" max="14621" width="15.7109375" style="1369" customWidth="1"/>
    <col min="14622" max="14622" width="4.140625" style="1369" customWidth="1"/>
    <col min="14623" max="14848" width="11.421875" style="1369" customWidth="1"/>
    <col min="14849" max="14849" width="6.140625" style="1369" customWidth="1"/>
    <col min="14850" max="14850" width="4.140625" style="1369" customWidth="1"/>
    <col min="14851" max="14851" width="5.421875" style="1369" customWidth="1"/>
    <col min="14852" max="14853" width="13.57421875" style="1369" customWidth="1"/>
    <col min="14854" max="14855" width="25.7109375" style="1369" customWidth="1"/>
    <col min="14856" max="14856" width="9.7109375" style="1369" customWidth="1"/>
    <col min="14857" max="14857" width="12.7109375" style="1369" customWidth="1"/>
    <col min="14858" max="14858" width="11.421875" style="1369" hidden="1" customWidth="1"/>
    <col min="14859" max="14860" width="16.28125" style="1369" customWidth="1"/>
    <col min="14861" max="14864" width="9.7109375" style="1369" customWidth="1"/>
    <col min="14865" max="14865" width="5.8515625" style="1369" customWidth="1"/>
    <col min="14866" max="14866" width="7.00390625" style="1369" customWidth="1"/>
    <col min="14867" max="14875" width="11.421875" style="1369" hidden="1" customWidth="1"/>
    <col min="14876" max="14876" width="9.7109375" style="1369" customWidth="1"/>
    <col min="14877" max="14877" width="15.7109375" style="1369" customWidth="1"/>
    <col min="14878" max="14878" width="4.140625" style="1369" customWidth="1"/>
    <col min="14879" max="15104" width="11.421875" style="1369" customWidth="1"/>
    <col min="15105" max="15105" width="6.140625" style="1369" customWidth="1"/>
    <col min="15106" max="15106" width="4.140625" style="1369" customWidth="1"/>
    <col min="15107" max="15107" width="5.421875" style="1369" customWidth="1"/>
    <col min="15108" max="15109" width="13.57421875" style="1369" customWidth="1"/>
    <col min="15110" max="15111" width="25.7109375" style="1369" customWidth="1"/>
    <col min="15112" max="15112" width="9.7109375" style="1369" customWidth="1"/>
    <col min="15113" max="15113" width="12.7109375" style="1369" customWidth="1"/>
    <col min="15114" max="15114" width="11.421875" style="1369" hidden="1" customWidth="1"/>
    <col min="15115" max="15116" width="16.28125" style="1369" customWidth="1"/>
    <col min="15117" max="15120" width="9.7109375" style="1369" customWidth="1"/>
    <col min="15121" max="15121" width="5.8515625" style="1369" customWidth="1"/>
    <col min="15122" max="15122" width="7.00390625" style="1369" customWidth="1"/>
    <col min="15123" max="15131" width="11.421875" style="1369" hidden="1" customWidth="1"/>
    <col min="15132" max="15132" width="9.7109375" style="1369" customWidth="1"/>
    <col min="15133" max="15133" width="15.7109375" style="1369" customWidth="1"/>
    <col min="15134" max="15134" width="4.140625" style="1369" customWidth="1"/>
    <col min="15135" max="15360" width="11.421875" style="1369" customWidth="1"/>
    <col min="15361" max="15361" width="6.140625" style="1369" customWidth="1"/>
    <col min="15362" max="15362" width="4.140625" style="1369" customWidth="1"/>
    <col min="15363" max="15363" width="5.421875" style="1369" customWidth="1"/>
    <col min="15364" max="15365" width="13.57421875" style="1369" customWidth="1"/>
    <col min="15366" max="15367" width="25.7109375" style="1369" customWidth="1"/>
    <col min="15368" max="15368" width="9.7109375" style="1369" customWidth="1"/>
    <col min="15369" max="15369" width="12.7109375" style="1369" customWidth="1"/>
    <col min="15370" max="15370" width="11.421875" style="1369" hidden="1" customWidth="1"/>
    <col min="15371" max="15372" width="16.28125" style="1369" customWidth="1"/>
    <col min="15373" max="15376" width="9.7109375" style="1369" customWidth="1"/>
    <col min="15377" max="15377" width="5.8515625" style="1369" customWidth="1"/>
    <col min="15378" max="15378" width="7.00390625" style="1369" customWidth="1"/>
    <col min="15379" max="15387" width="11.421875" style="1369" hidden="1" customWidth="1"/>
    <col min="15388" max="15388" width="9.7109375" style="1369" customWidth="1"/>
    <col min="15389" max="15389" width="15.7109375" style="1369" customWidth="1"/>
    <col min="15390" max="15390" width="4.140625" style="1369" customWidth="1"/>
    <col min="15391" max="15616" width="11.421875" style="1369" customWidth="1"/>
    <col min="15617" max="15617" width="6.140625" style="1369" customWidth="1"/>
    <col min="15618" max="15618" width="4.140625" style="1369" customWidth="1"/>
    <col min="15619" max="15619" width="5.421875" style="1369" customWidth="1"/>
    <col min="15620" max="15621" width="13.57421875" style="1369" customWidth="1"/>
    <col min="15622" max="15623" width="25.7109375" style="1369" customWidth="1"/>
    <col min="15624" max="15624" width="9.7109375" style="1369" customWidth="1"/>
    <col min="15625" max="15625" width="12.7109375" style="1369" customWidth="1"/>
    <col min="15626" max="15626" width="11.421875" style="1369" hidden="1" customWidth="1"/>
    <col min="15627" max="15628" width="16.28125" style="1369" customWidth="1"/>
    <col min="15629" max="15632" width="9.7109375" style="1369" customWidth="1"/>
    <col min="15633" max="15633" width="5.8515625" style="1369" customWidth="1"/>
    <col min="15634" max="15634" width="7.00390625" style="1369" customWidth="1"/>
    <col min="15635" max="15643" width="11.421875" style="1369" hidden="1" customWidth="1"/>
    <col min="15644" max="15644" width="9.7109375" style="1369" customWidth="1"/>
    <col min="15645" max="15645" width="15.7109375" style="1369" customWidth="1"/>
    <col min="15646" max="15646" width="4.140625" style="1369" customWidth="1"/>
    <col min="15647" max="15872" width="11.421875" style="1369" customWidth="1"/>
    <col min="15873" max="15873" width="6.140625" style="1369" customWidth="1"/>
    <col min="15874" max="15874" width="4.140625" style="1369" customWidth="1"/>
    <col min="15875" max="15875" width="5.421875" style="1369" customWidth="1"/>
    <col min="15876" max="15877" width="13.57421875" style="1369" customWidth="1"/>
    <col min="15878" max="15879" width="25.7109375" style="1369" customWidth="1"/>
    <col min="15880" max="15880" width="9.7109375" style="1369" customWidth="1"/>
    <col min="15881" max="15881" width="12.7109375" style="1369" customWidth="1"/>
    <col min="15882" max="15882" width="11.421875" style="1369" hidden="1" customWidth="1"/>
    <col min="15883" max="15884" width="16.28125" style="1369" customWidth="1"/>
    <col min="15885" max="15888" width="9.7109375" style="1369" customWidth="1"/>
    <col min="15889" max="15889" width="5.8515625" style="1369" customWidth="1"/>
    <col min="15890" max="15890" width="7.00390625" style="1369" customWidth="1"/>
    <col min="15891" max="15899" width="11.421875" style="1369" hidden="1" customWidth="1"/>
    <col min="15900" max="15900" width="9.7109375" style="1369" customWidth="1"/>
    <col min="15901" max="15901" width="15.7109375" style="1369" customWidth="1"/>
    <col min="15902" max="15902" width="4.140625" style="1369" customWidth="1"/>
    <col min="15903" max="16128" width="11.421875" style="1369" customWidth="1"/>
    <col min="16129" max="16129" width="6.140625" style="1369" customWidth="1"/>
    <col min="16130" max="16130" width="4.140625" style="1369" customWidth="1"/>
    <col min="16131" max="16131" width="5.421875" style="1369" customWidth="1"/>
    <col min="16132" max="16133" width="13.57421875" style="1369" customWidth="1"/>
    <col min="16134" max="16135" width="25.7109375" style="1369" customWidth="1"/>
    <col min="16136" max="16136" width="9.7109375" style="1369" customWidth="1"/>
    <col min="16137" max="16137" width="12.7109375" style="1369" customWidth="1"/>
    <col min="16138" max="16138" width="11.421875" style="1369" hidden="1" customWidth="1"/>
    <col min="16139" max="16140" width="16.28125" style="1369" customWidth="1"/>
    <col min="16141" max="16144" width="9.7109375" style="1369" customWidth="1"/>
    <col min="16145" max="16145" width="5.8515625" style="1369" customWidth="1"/>
    <col min="16146" max="16146" width="7.00390625" style="1369" customWidth="1"/>
    <col min="16147" max="16155" width="11.421875" style="1369" hidden="1" customWidth="1"/>
    <col min="16156" max="16156" width="9.7109375" style="1369" customWidth="1"/>
    <col min="16157" max="16157" width="15.7109375" style="1369" customWidth="1"/>
    <col min="16158" max="16158" width="4.140625" style="1369" customWidth="1"/>
    <col min="16159" max="16384" width="11.421875" style="1369" customWidth="1"/>
  </cols>
  <sheetData>
    <row r="1" spans="2:30" s="1370" customFormat="1" ht="26.25">
      <c r="B1" s="1372"/>
      <c r="C1" s="1372"/>
      <c r="D1" s="1372"/>
      <c r="E1" s="1372"/>
      <c r="F1" s="1372"/>
      <c r="G1" s="1372"/>
      <c r="H1" s="1372"/>
      <c r="I1" s="1372"/>
      <c r="J1" s="1372"/>
      <c r="K1" s="1372"/>
      <c r="L1" s="1372"/>
      <c r="M1" s="1372"/>
      <c r="N1" s="1372"/>
      <c r="O1" s="1372"/>
      <c r="P1" s="1372"/>
      <c r="Q1" s="1372"/>
      <c r="R1" s="1372"/>
      <c r="S1" s="1372"/>
      <c r="T1" s="1372"/>
      <c r="U1" s="1372"/>
      <c r="V1" s="1372"/>
      <c r="W1" s="1372"/>
      <c r="X1" s="1372"/>
      <c r="Y1" s="1372"/>
      <c r="Z1" s="1372"/>
      <c r="AA1" s="1372"/>
      <c r="AB1" s="1372"/>
      <c r="AC1" s="1372"/>
      <c r="AD1" s="2998"/>
    </row>
    <row r="2" spans="1:30" s="1370" customFormat="1" ht="26.25">
      <c r="A2" s="1372"/>
      <c r="B2" s="2999" t="str">
        <f>'TOT-0116'!B2</f>
        <v>ANEXO II al Memorándum D.T.E.E. N° 231 / 2017</v>
      </c>
      <c r="C2" s="2999"/>
      <c r="D2" s="2999"/>
      <c r="E2" s="2999"/>
      <c r="F2" s="2999"/>
      <c r="G2" s="1373"/>
      <c r="H2" s="2999"/>
      <c r="I2" s="2999"/>
      <c r="J2" s="2999"/>
      <c r="K2" s="2999"/>
      <c r="L2" s="2999"/>
      <c r="M2" s="2999"/>
      <c r="N2" s="2999"/>
      <c r="O2" s="2999"/>
      <c r="P2" s="2999"/>
      <c r="Q2" s="2999"/>
      <c r="R2" s="2999"/>
      <c r="S2" s="2999"/>
      <c r="T2" s="2999"/>
      <c r="U2" s="2999"/>
      <c r="V2" s="2999"/>
      <c r="W2" s="2999"/>
      <c r="X2" s="2999"/>
      <c r="Y2" s="2999"/>
      <c r="Z2" s="2999"/>
      <c r="AA2" s="2999"/>
      <c r="AB2" s="2999"/>
      <c r="AC2" s="2999"/>
      <c r="AD2" s="2999"/>
    </row>
    <row r="3" spans="1:30" s="1375" customFormat="1" ht="12.75">
      <c r="A3" s="1374"/>
      <c r="B3" s="1374"/>
      <c r="C3" s="1374"/>
      <c r="D3" s="1374"/>
      <c r="E3" s="1374"/>
      <c r="F3" s="1374"/>
      <c r="G3" s="1374"/>
      <c r="H3" s="1374"/>
      <c r="I3" s="1374"/>
      <c r="J3" s="1374"/>
      <c r="K3" s="1374"/>
      <c r="L3" s="1374"/>
      <c r="M3" s="1374"/>
      <c r="N3" s="1374"/>
      <c r="O3" s="1374"/>
      <c r="P3" s="1374"/>
      <c r="Q3" s="1374"/>
      <c r="R3" s="1374"/>
      <c r="S3" s="1374"/>
      <c r="T3" s="1374"/>
      <c r="U3" s="1374"/>
      <c r="V3" s="1374"/>
      <c r="W3" s="1374"/>
      <c r="X3" s="1374"/>
      <c r="Y3" s="1374"/>
      <c r="Z3" s="1374"/>
      <c r="AA3" s="1374"/>
      <c r="AB3" s="1374"/>
      <c r="AC3" s="1374"/>
      <c r="AD3" s="1374"/>
    </row>
    <row r="4" spans="1:30" s="1378" customFormat="1" ht="20.25">
      <c r="A4" s="3000" t="s">
        <v>75</v>
      </c>
      <c r="B4" s="3001"/>
      <c r="C4" s="3001"/>
      <c r="D4" s="3001"/>
      <c r="E4" s="3002"/>
      <c r="F4" s="1400"/>
      <c r="G4" s="3002"/>
      <c r="H4" s="3002"/>
      <c r="I4" s="3002"/>
      <c r="J4" s="3002"/>
      <c r="K4" s="3002"/>
      <c r="L4" s="3002"/>
      <c r="M4" s="3002"/>
      <c r="N4" s="3002"/>
      <c r="O4" s="3002"/>
      <c r="P4" s="3002"/>
      <c r="Q4" s="3002"/>
      <c r="R4" s="3002"/>
      <c r="S4" s="3002"/>
      <c r="T4" s="3002"/>
      <c r="U4" s="3002"/>
      <c r="V4" s="3002"/>
      <c r="W4" s="3002"/>
      <c r="X4" s="3002"/>
      <c r="Y4" s="3002"/>
      <c r="Z4" s="3002"/>
      <c r="AA4" s="3002"/>
      <c r="AB4" s="3002"/>
      <c r="AC4" s="3002"/>
      <c r="AD4" s="3002"/>
    </row>
    <row r="5" spans="1:30" s="1378" customFormat="1" ht="11.25">
      <c r="A5" s="3000" t="s">
        <v>3</v>
      </c>
      <c r="B5" s="3001"/>
      <c r="C5" s="3001"/>
      <c r="D5" s="3001"/>
      <c r="E5" s="3002"/>
      <c r="F5" s="3002"/>
      <c r="G5" s="3002"/>
      <c r="H5" s="3002"/>
      <c r="I5" s="3002"/>
      <c r="J5" s="3002"/>
      <c r="K5" s="3002"/>
      <c r="L5" s="3002"/>
      <c r="M5" s="3002"/>
      <c r="N5" s="3002"/>
      <c r="O5" s="3002"/>
      <c r="P5" s="3002"/>
      <c r="Q5" s="3002"/>
      <c r="R5" s="3002"/>
      <c r="S5" s="3002"/>
      <c r="T5" s="3002"/>
      <c r="U5" s="3002"/>
      <c r="V5" s="3002"/>
      <c r="W5" s="3002"/>
      <c r="X5" s="3002"/>
      <c r="Y5" s="3002"/>
      <c r="Z5" s="3002"/>
      <c r="AA5" s="3002"/>
      <c r="AB5" s="3002"/>
      <c r="AC5" s="3002"/>
      <c r="AD5" s="3002"/>
    </row>
    <row r="6" spans="1:30" s="1375" customFormat="1" ht="13.5" thickBot="1">
      <c r="A6" s="1374"/>
      <c r="B6" s="1374"/>
      <c r="C6" s="1374"/>
      <c r="D6" s="1374"/>
      <c r="E6" s="1374"/>
      <c r="F6" s="1374"/>
      <c r="G6" s="1374"/>
      <c r="H6" s="1374"/>
      <c r="I6" s="1374"/>
      <c r="J6" s="1374"/>
      <c r="K6" s="1374"/>
      <c r="L6" s="1374"/>
      <c r="M6" s="1374"/>
      <c r="N6" s="1374"/>
      <c r="O6" s="1374"/>
      <c r="P6" s="1374"/>
      <c r="Q6" s="1374"/>
      <c r="R6" s="1374"/>
      <c r="S6" s="1374"/>
      <c r="T6" s="1374"/>
      <c r="U6" s="1374"/>
      <c r="V6" s="1374"/>
      <c r="W6" s="1374"/>
      <c r="X6" s="1374"/>
      <c r="Y6" s="1374"/>
      <c r="Z6" s="1374"/>
      <c r="AA6" s="1374"/>
      <c r="AB6" s="1374"/>
      <c r="AC6" s="1374"/>
      <c r="AD6" s="1374"/>
    </row>
    <row r="7" spans="1:30" s="1375" customFormat="1" ht="13.5" thickTop="1">
      <c r="A7" s="1374"/>
      <c r="B7" s="3003"/>
      <c r="C7" s="3004"/>
      <c r="D7" s="3004"/>
      <c r="E7" s="3004"/>
      <c r="F7" s="3004"/>
      <c r="G7" s="3004"/>
      <c r="H7" s="3004"/>
      <c r="I7" s="3004"/>
      <c r="J7" s="3004"/>
      <c r="K7" s="3004"/>
      <c r="L7" s="3004"/>
      <c r="M7" s="3004"/>
      <c r="N7" s="3004"/>
      <c r="O7" s="3004"/>
      <c r="P7" s="3004"/>
      <c r="Q7" s="3004"/>
      <c r="R7" s="3004"/>
      <c r="S7" s="3004"/>
      <c r="T7" s="3004"/>
      <c r="U7" s="3004"/>
      <c r="V7" s="3004"/>
      <c r="W7" s="3004"/>
      <c r="X7" s="3004"/>
      <c r="Y7" s="3004"/>
      <c r="Z7" s="3004"/>
      <c r="AA7" s="3004"/>
      <c r="AB7" s="3004"/>
      <c r="AC7" s="3004"/>
      <c r="AD7" s="1382"/>
    </row>
    <row r="8" spans="1:30" s="1383" customFormat="1" ht="20.25">
      <c r="A8" s="2908"/>
      <c r="B8" s="3005"/>
      <c r="C8" s="2909"/>
      <c r="D8" s="2909"/>
      <c r="E8" s="2908"/>
      <c r="F8" s="3006" t="s">
        <v>69</v>
      </c>
      <c r="G8" s="2908"/>
      <c r="H8" s="2908"/>
      <c r="I8" s="3007"/>
      <c r="J8" s="2908"/>
      <c r="K8" s="2908"/>
      <c r="L8" s="2908"/>
      <c r="M8" s="2908"/>
      <c r="N8" s="2908"/>
      <c r="O8" s="2908"/>
      <c r="P8" s="2908"/>
      <c r="Q8" s="2908"/>
      <c r="R8" s="2908"/>
      <c r="S8" s="2908"/>
      <c r="T8" s="2909"/>
      <c r="U8" s="2909"/>
      <c r="V8" s="2909"/>
      <c r="W8" s="2909"/>
      <c r="X8" s="2909"/>
      <c r="Y8" s="2909"/>
      <c r="Z8" s="2909"/>
      <c r="AA8" s="2909"/>
      <c r="AB8" s="2909"/>
      <c r="AC8" s="2909"/>
      <c r="AD8" s="1388"/>
    </row>
    <row r="9" spans="1:30" s="1375" customFormat="1" ht="12.75">
      <c r="A9" s="1374"/>
      <c r="B9" s="3008"/>
      <c r="C9" s="2911"/>
      <c r="D9" s="2911"/>
      <c r="E9" s="1374"/>
      <c r="F9" s="2911"/>
      <c r="G9" s="3009"/>
      <c r="H9" s="1374"/>
      <c r="I9" s="2911"/>
      <c r="J9" s="1374"/>
      <c r="K9" s="1374"/>
      <c r="L9" s="1374"/>
      <c r="M9" s="1374"/>
      <c r="N9" s="1374"/>
      <c r="O9" s="1374"/>
      <c r="P9" s="1374"/>
      <c r="Q9" s="1374"/>
      <c r="R9" s="1374"/>
      <c r="S9" s="1374"/>
      <c r="T9" s="2911"/>
      <c r="U9" s="2911"/>
      <c r="V9" s="2911"/>
      <c r="W9" s="2911"/>
      <c r="X9" s="2911"/>
      <c r="Y9" s="2911"/>
      <c r="Z9" s="2911"/>
      <c r="AA9" s="2911"/>
      <c r="AB9" s="2911"/>
      <c r="AC9" s="2911"/>
      <c r="AD9" s="1391"/>
    </row>
    <row r="10" spans="1:30" s="1392" customFormat="1" ht="33" customHeight="1">
      <c r="A10" s="3010"/>
      <c r="B10" s="3011"/>
      <c r="C10" s="3012"/>
      <c r="D10" s="3012"/>
      <c r="E10" s="3010"/>
      <c r="F10" s="3013" t="s">
        <v>224</v>
      </c>
      <c r="G10" s="3010"/>
      <c r="H10" s="3014"/>
      <c r="I10" s="3012"/>
      <c r="J10" s="3010"/>
      <c r="K10" s="3010"/>
      <c r="L10" s="3010"/>
      <c r="M10" s="3010"/>
      <c r="N10" s="3010"/>
      <c r="O10" s="3010"/>
      <c r="P10" s="3010"/>
      <c r="Q10" s="3010"/>
      <c r="R10" s="3010"/>
      <c r="S10" s="3010"/>
      <c r="T10" s="3012"/>
      <c r="U10" s="3012"/>
      <c r="V10" s="3012"/>
      <c r="W10" s="3012"/>
      <c r="X10" s="3012"/>
      <c r="Y10" s="3012"/>
      <c r="Z10" s="3012"/>
      <c r="AA10" s="3012"/>
      <c r="AB10" s="3012"/>
      <c r="AC10" s="3012"/>
      <c r="AD10" s="1396"/>
    </row>
    <row r="11" spans="1:30" s="1397" customFormat="1" ht="33" customHeight="1">
      <c r="A11" s="3015"/>
      <c r="B11" s="3016"/>
      <c r="C11" s="3017"/>
      <c r="D11" s="3017"/>
      <c r="E11" s="3015"/>
      <c r="F11" s="1400" t="s">
        <v>456</v>
      </c>
      <c r="G11" s="3017"/>
      <c r="H11" s="3017"/>
      <c r="I11" s="3018"/>
      <c r="J11" s="3017"/>
      <c r="K11" s="3017"/>
      <c r="L11" s="3017"/>
      <c r="M11" s="3017"/>
      <c r="N11" s="3017"/>
      <c r="O11" s="3015"/>
      <c r="P11" s="3015"/>
      <c r="Q11" s="3015"/>
      <c r="R11" s="3015"/>
      <c r="S11" s="3015"/>
      <c r="T11" s="3017"/>
      <c r="U11" s="3017"/>
      <c r="V11" s="3017"/>
      <c r="W11" s="3017"/>
      <c r="X11" s="3017"/>
      <c r="Y11" s="3017"/>
      <c r="Z11" s="3017"/>
      <c r="AA11" s="3017"/>
      <c r="AB11" s="3017"/>
      <c r="AC11" s="3017"/>
      <c r="AD11" s="1402"/>
    </row>
    <row r="12" spans="1:30" s="1403" customFormat="1" ht="19.5">
      <c r="A12" s="3019"/>
      <c r="B12" s="1224" t="str">
        <f>'TOT-0116'!B14</f>
        <v>Desde el 01 al 31 de enero de 2016</v>
      </c>
      <c r="C12" s="1404"/>
      <c r="D12" s="1404"/>
      <c r="E12" s="3020"/>
      <c r="F12" s="3021"/>
      <c r="G12" s="3021"/>
      <c r="H12" s="3021"/>
      <c r="I12" s="3021"/>
      <c r="J12" s="3021"/>
      <c r="K12" s="3021"/>
      <c r="L12" s="3021"/>
      <c r="M12" s="3021"/>
      <c r="N12" s="3021"/>
      <c r="O12" s="3020"/>
      <c r="P12" s="3020"/>
      <c r="Q12" s="3020"/>
      <c r="R12" s="3020"/>
      <c r="S12" s="3020"/>
      <c r="T12" s="3021"/>
      <c r="U12" s="3021"/>
      <c r="V12" s="3021"/>
      <c r="W12" s="3021"/>
      <c r="X12" s="3021"/>
      <c r="Y12" s="3021"/>
      <c r="Z12" s="3021"/>
      <c r="AA12" s="3021"/>
      <c r="AB12" s="3021"/>
      <c r="AC12" s="3021"/>
      <c r="AD12" s="3022"/>
    </row>
    <row r="13" spans="1:30" s="1375" customFormat="1" ht="13.5" thickBot="1">
      <c r="A13" s="1374"/>
      <c r="B13" s="3008"/>
      <c r="C13" s="2911"/>
      <c r="D13" s="2911"/>
      <c r="E13" s="1374"/>
      <c r="F13" s="2911"/>
      <c r="G13" s="2911"/>
      <c r="H13" s="2911"/>
      <c r="I13" s="3023"/>
      <c r="J13" s="2911"/>
      <c r="K13" s="2911"/>
      <c r="L13" s="2911"/>
      <c r="M13" s="2911"/>
      <c r="N13" s="2911"/>
      <c r="O13" s="1374"/>
      <c r="P13" s="1374"/>
      <c r="Q13" s="1374"/>
      <c r="R13" s="1374"/>
      <c r="S13" s="1374"/>
      <c r="T13" s="2911"/>
      <c r="U13" s="2911"/>
      <c r="V13" s="2911"/>
      <c r="W13" s="2911"/>
      <c r="X13" s="2911"/>
      <c r="Y13" s="2911"/>
      <c r="Z13" s="2911"/>
      <c r="AA13" s="2911"/>
      <c r="AB13" s="2911"/>
      <c r="AC13" s="2911"/>
      <c r="AD13" s="1391"/>
    </row>
    <row r="14" spans="1:30" s="1375" customFormat="1" ht="17.1" customHeight="1" thickBot="1" thickTop="1">
      <c r="A14" s="1374"/>
      <c r="B14" s="3008"/>
      <c r="C14" s="2911"/>
      <c r="D14" s="2911"/>
      <c r="E14" s="1374"/>
      <c r="F14" s="3024" t="s">
        <v>76</v>
      </c>
      <c r="G14" s="3025"/>
      <c r="H14" s="3026">
        <v>0.8346</v>
      </c>
      <c r="J14" s="1374"/>
      <c r="K14" s="1374"/>
      <c r="L14" s="1374"/>
      <c r="M14" s="1374"/>
      <c r="N14" s="1374"/>
      <c r="O14" s="1374"/>
      <c r="P14" s="1374"/>
      <c r="Q14" s="2911"/>
      <c r="R14" s="2911"/>
      <c r="S14" s="2911"/>
      <c r="T14" s="2911"/>
      <c r="U14" s="2911"/>
      <c r="V14" s="2911"/>
      <c r="W14" s="2911"/>
      <c r="X14" s="2911"/>
      <c r="Y14" s="2911"/>
      <c r="Z14" s="2911"/>
      <c r="AA14" s="2911"/>
      <c r="AB14" s="2911"/>
      <c r="AC14" s="2911"/>
      <c r="AD14" s="1391"/>
    </row>
    <row r="15" spans="1:30" s="1375" customFormat="1" ht="17.1" customHeight="1" thickBot="1" thickTop="1">
      <c r="A15" s="1374"/>
      <c r="B15" s="3008"/>
      <c r="C15" s="2911"/>
      <c r="D15" s="2911"/>
      <c r="E15" s="1374"/>
      <c r="F15" s="3027" t="s">
        <v>26</v>
      </c>
      <c r="G15" s="3028"/>
      <c r="H15" s="3029">
        <v>200</v>
      </c>
      <c r="I15" s="1369"/>
      <c r="J15" s="2911"/>
      <c r="K15" s="2911"/>
      <c r="L15" s="2911"/>
      <c r="M15" s="2911"/>
      <c r="N15" s="2911"/>
      <c r="O15" s="2911"/>
      <c r="P15" s="2911"/>
      <c r="Q15" s="2911"/>
      <c r="R15" s="2911"/>
      <c r="S15" s="2911"/>
      <c r="T15" s="2911"/>
      <c r="U15" s="2911"/>
      <c r="V15" s="2911"/>
      <c r="W15" s="3030"/>
      <c r="X15" s="3030"/>
      <c r="Y15" s="3030"/>
      <c r="Z15" s="3030"/>
      <c r="AA15" s="3030"/>
      <c r="AB15" s="3030"/>
      <c r="AC15" s="1374"/>
      <c r="AD15" s="1391"/>
    </row>
    <row r="16" spans="1:30" s="1375" customFormat="1" ht="17.1" customHeight="1" thickBot="1" thickTop="1">
      <c r="A16" s="1374"/>
      <c r="B16" s="3008"/>
      <c r="C16" s="3031">
        <v>3</v>
      </c>
      <c r="D16" s="3031">
        <v>4</v>
      </c>
      <c r="E16" s="3031">
        <v>5</v>
      </c>
      <c r="F16" s="3031">
        <v>6</v>
      </c>
      <c r="G16" s="3031">
        <v>7</v>
      </c>
      <c r="H16" s="3031">
        <v>8</v>
      </c>
      <c r="I16" s="3031">
        <v>9</v>
      </c>
      <c r="J16" s="3031">
        <v>10</v>
      </c>
      <c r="K16" s="3031">
        <v>11</v>
      </c>
      <c r="L16" s="3031">
        <v>12</v>
      </c>
      <c r="M16" s="3031">
        <v>13</v>
      </c>
      <c r="N16" s="3031">
        <v>14</v>
      </c>
      <c r="O16" s="3031">
        <v>15</v>
      </c>
      <c r="P16" s="3031">
        <v>16</v>
      </c>
      <c r="Q16" s="3031">
        <v>17</v>
      </c>
      <c r="R16" s="3031">
        <v>18</v>
      </c>
      <c r="S16" s="3031">
        <v>19</v>
      </c>
      <c r="T16" s="3031">
        <v>20</v>
      </c>
      <c r="U16" s="3031">
        <v>21</v>
      </c>
      <c r="V16" s="3031">
        <v>22</v>
      </c>
      <c r="W16" s="3031">
        <v>23</v>
      </c>
      <c r="X16" s="3031">
        <v>24</v>
      </c>
      <c r="Y16" s="3031">
        <v>25</v>
      </c>
      <c r="Z16" s="3031">
        <v>26</v>
      </c>
      <c r="AA16" s="3031">
        <v>27</v>
      </c>
      <c r="AB16" s="3031">
        <v>28</v>
      </c>
      <c r="AC16" s="3031">
        <v>29</v>
      </c>
      <c r="AD16" s="1391"/>
    </row>
    <row r="17" spans="1:30" s="1375" customFormat="1" ht="33.95" customHeight="1" thickBot="1" thickTop="1">
      <c r="A17" s="1374"/>
      <c r="B17" s="3008"/>
      <c r="C17" s="2933" t="s">
        <v>13</v>
      </c>
      <c r="D17" s="1416" t="s">
        <v>242</v>
      </c>
      <c r="E17" s="1416" t="s">
        <v>243</v>
      </c>
      <c r="F17" s="3032" t="s">
        <v>27</v>
      </c>
      <c r="G17" s="3033" t="s">
        <v>28</v>
      </c>
      <c r="H17" s="3034" t="s">
        <v>29</v>
      </c>
      <c r="I17" s="2943" t="s">
        <v>14</v>
      </c>
      <c r="J17" s="2936" t="s">
        <v>16</v>
      </c>
      <c r="K17" s="3033" t="s">
        <v>17</v>
      </c>
      <c r="L17" s="3033" t="s">
        <v>18</v>
      </c>
      <c r="M17" s="3032" t="s">
        <v>30</v>
      </c>
      <c r="N17" s="3032" t="s">
        <v>31</v>
      </c>
      <c r="O17" s="1424" t="s">
        <v>19</v>
      </c>
      <c r="P17" s="1424" t="s">
        <v>58</v>
      </c>
      <c r="Q17" s="3035" t="s">
        <v>32</v>
      </c>
      <c r="R17" s="3033" t="s">
        <v>33</v>
      </c>
      <c r="S17" s="3036" t="s">
        <v>37</v>
      </c>
      <c r="T17" s="3037" t="s">
        <v>20</v>
      </c>
      <c r="U17" s="3038" t="s">
        <v>21</v>
      </c>
      <c r="V17" s="1427" t="s">
        <v>77</v>
      </c>
      <c r="W17" s="1429"/>
      <c r="X17" s="3039" t="s">
        <v>78</v>
      </c>
      <c r="Y17" s="3040"/>
      <c r="Z17" s="3041" t="s">
        <v>22</v>
      </c>
      <c r="AA17" s="3042" t="s">
        <v>73</v>
      </c>
      <c r="AB17" s="1435" t="s">
        <v>74</v>
      </c>
      <c r="AC17" s="2943" t="s">
        <v>24</v>
      </c>
      <c r="AD17" s="1391"/>
    </row>
    <row r="18" spans="1:30" s="1375" customFormat="1" ht="17.1" customHeight="1" thickTop="1">
      <c r="A18" s="1374"/>
      <c r="B18" s="3008"/>
      <c r="C18" s="2944"/>
      <c r="D18" s="2944"/>
      <c r="E18" s="2944"/>
      <c r="F18" s="2944"/>
      <c r="G18" s="2944"/>
      <c r="H18" s="2944"/>
      <c r="I18" s="3043"/>
      <c r="J18" s="3044"/>
      <c r="K18" s="2944"/>
      <c r="L18" s="2944"/>
      <c r="M18" s="2944"/>
      <c r="N18" s="2944"/>
      <c r="O18" s="2944"/>
      <c r="P18" s="1437"/>
      <c r="Q18" s="3045"/>
      <c r="R18" s="1438"/>
      <c r="S18" s="3046"/>
      <c r="T18" s="3047"/>
      <c r="U18" s="3048"/>
      <c r="V18" s="3049"/>
      <c r="W18" s="3050"/>
      <c r="X18" s="3051"/>
      <c r="Y18" s="3052"/>
      <c r="Z18" s="3053"/>
      <c r="AA18" s="3054"/>
      <c r="AB18" s="3045"/>
      <c r="AC18" s="3055"/>
      <c r="AD18" s="1391"/>
    </row>
    <row r="19" spans="1:30" s="1375" customFormat="1" ht="17.1" customHeight="1">
      <c r="A19" s="1374"/>
      <c r="B19" s="3008"/>
      <c r="C19" s="1493"/>
      <c r="D19" s="1493"/>
      <c r="E19" s="1493"/>
      <c r="F19" s="1493"/>
      <c r="G19" s="1493"/>
      <c r="H19" s="1493"/>
      <c r="I19" s="3056"/>
      <c r="J19" s="3057"/>
      <c r="K19" s="1493"/>
      <c r="L19" s="1493"/>
      <c r="M19" s="1493"/>
      <c r="N19" s="1493"/>
      <c r="O19" s="1493"/>
      <c r="P19" s="3058" t="str">
        <f aca="true" t="shared" si="0" ref="P19:P39">IF(F19="","","--")</f>
        <v/>
      </c>
      <c r="Q19" s="3059" t="str">
        <f>IF(F19="","",IF(OR(O19="P",O19="RP"),"--","NO"))</f>
        <v/>
      </c>
      <c r="R19" s="3060" t="str">
        <f aca="true" t="shared" si="1" ref="R19:R39">IF(F19="","","NO")</f>
        <v/>
      </c>
      <c r="S19" s="3061">
        <f aca="true" t="shared" si="2" ref="S19:S39">$H$15*IF(OR(O19="P",O19="RP"),0.1,1)*IF(R19="SI",1,0.1)</f>
        <v>20</v>
      </c>
      <c r="T19" s="3062" t="str">
        <f aca="true" t="shared" si="3" ref="T19:T39">IF(O19="P",J19*S19*ROUND(N19/60,2),"--")</f>
        <v>--</v>
      </c>
      <c r="U19" s="3063" t="str">
        <f aca="true" t="shared" si="4" ref="U19:U39">IF(O19="RP",J19*S19*P19/100*ROUND(N19/60,2),"--")</f>
        <v>--</v>
      </c>
      <c r="V19" s="3064" t="str">
        <f aca="true" t="shared" si="5" ref="V19:V39">IF(AND(O19="F",Q19="NO"),J19*S19,"--")</f>
        <v>--</v>
      </c>
      <c r="W19" s="3065" t="str">
        <f aca="true" t="shared" si="6" ref="W19:W39">IF(O19="F",J19*S19*ROUND(N19/60,2),"--")</f>
        <v>--</v>
      </c>
      <c r="X19" s="3066" t="str">
        <f aca="true" t="shared" si="7" ref="X19:X39">IF(AND(O19="R",Q19="NO"),J19*S19*P19/100,"--")</f>
        <v>--</v>
      </c>
      <c r="Y19" s="3067" t="str">
        <f aca="true" t="shared" si="8" ref="Y19:Y39">IF(O19="R",J19*S19*P19/100*ROUND(N19/60,2),"--")</f>
        <v>--</v>
      </c>
      <c r="Z19" s="3068" t="str">
        <f aca="true" t="shared" si="9" ref="Z19:Z39">IF(O19="RF",J19*S19*ROUND(N19/60,2),"--")</f>
        <v>--</v>
      </c>
      <c r="AA19" s="3069" t="str">
        <f aca="true" t="shared" si="10" ref="AA19:AA39">IF(O19="RR",J19*S19*P19/100*ROUND(N19/60,2),"--")</f>
        <v>--</v>
      </c>
      <c r="AB19" s="3070" t="str">
        <f aca="true" t="shared" si="11" ref="AB19:AB39">IF(F19="","","SI")</f>
        <v/>
      </c>
      <c r="AC19" s="3071"/>
      <c r="AD19" s="1391"/>
    </row>
    <row r="20" spans="1:30" s="1375" customFormat="1" ht="17.1" customHeight="1">
      <c r="A20" s="1374"/>
      <c r="B20" s="3008"/>
      <c r="C20" s="1493">
        <v>39</v>
      </c>
      <c r="D20" s="1493">
        <v>297804</v>
      </c>
      <c r="E20" s="1490">
        <v>5121</v>
      </c>
      <c r="F20" s="1749" t="s">
        <v>440</v>
      </c>
      <c r="G20" s="1750" t="s">
        <v>360</v>
      </c>
      <c r="H20" s="1751">
        <v>300</v>
      </c>
      <c r="I20" s="1752" t="s">
        <v>441</v>
      </c>
      <c r="J20" s="3072">
        <f aca="true" t="shared" si="12" ref="J20:J39">H20*$H$14</f>
        <v>250.38</v>
      </c>
      <c r="K20" s="2571">
        <v>42392.26944444444</v>
      </c>
      <c r="L20" s="2571">
        <v>42392.46111111111</v>
      </c>
      <c r="M20" s="3073">
        <f aca="true" t="shared" si="13" ref="M20:M39">IF(F20="","",(L20-K20)*24)</f>
        <v>4.599999999976717</v>
      </c>
      <c r="N20" s="3074">
        <f aca="true" t="shared" si="14" ref="N20:N39">IF(F20="","",ROUND((L20-K20)*24*60,0))</f>
        <v>276</v>
      </c>
      <c r="O20" s="3075" t="s">
        <v>304</v>
      </c>
      <c r="P20" s="3076" t="str">
        <f t="shared" si="0"/>
        <v>--</v>
      </c>
      <c r="Q20" s="3077" t="str">
        <f>IF(F20="","",IF(OR(O20="P",O20="RP"),"--","NO"))</f>
        <v>--</v>
      </c>
      <c r="R20" s="1467" t="str">
        <f t="shared" si="1"/>
        <v>NO</v>
      </c>
      <c r="S20" s="3078">
        <f t="shared" si="2"/>
        <v>2</v>
      </c>
      <c r="T20" s="3079">
        <f t="shared" si="3"/>
        <v>2303.4959999999996</v>
      </c>
      <c r="U20" s="3080" t="str">
        <f t="shared" si="4"/>
        <v>--</v>
      </c>
      <c r="V20" s="3064" t="str">
        <f t="shared" si="5"/>
        <v>--</v>
      </c>
      <c r="W20" s="3065" t="str">
        <f t="shared" si="6"/>
        <v>--</v>
      </c>
      <c r="X20" s="3066" t="str">
        <f t="shared" si="7"/>
        <v>--</v>
      </c>
      <c r="Y20" s="3067" t="str">
        <f t="shared" si="8"/>
        <v>--</v>
      </c>
      <c r="Z20" s="3081" t="str">
        <f t="shared" si="9"/>
        <v>--</v>
      </c>
      <c r="AA20" s="3069" t="str">
        <f t="shared" si="10"/>
        <v>--</v>
      </c>
      <c r="AB20" s="3082" t="str">
        <f t="shared" si="11"/>
        <v>SI</v>
      </c>
      <c r="AC20" s="3083">
        <f aca="true" t="shared" si="15" ref="AC20:AC39">IF(F20="","",SUM(T20:AA20)*IF(AB20="SI",1,2)*IF(AND(P20&lt;&gt;"--",O20="RF"),P20/100,1))</f>
        <v>2303.4959999999996</v>
      </c>
      <c r="AD20" s="1391"/>
    </row>
    <row r="21" spans="1:30" s="1375" customFormat="1" ht="17.1" customHeight="1">
      <c r="A21" s="1374"/>
      <c r="B21" s="3008"/>
      <c r="C21" s="1493"/>
      <c r="D21" s="1493"/>
      <c r="E21" s="1490"/>
      <c r="F21" s="1749"/>
      <c r="G21" s="1750"/>
      <c r="H21" s="1751"/>
      <c r="I21" s="1752"/>
      <c r="J21" s="3072">
        <f t="shared" si="12"/>
        <v>0</v>
      </c>
      <c r="K21" s="2571"/>
      <c r="L21" s="2571"/>
      <c r="M21" s="3073" t="str">
        <f t="shared" si="13"/>
        <v/>
      </c>
      <c r="N21" s="3074" t="str">
        <f t="shared" si="14"/>
        <v/>
      </c>
      <c r="O21" s="3075"/>
      <c r="P21" s="3076" t="str">
        <f t="shared" si="0"/>
        <v/>
      </c>
      <c r="Q21" s="3077" t="str">
        <f aca="true" t="shared" si="16" ref="Q21:Q39">IF(F21="","",IF(O21="P","--","NO"))</f>
        <v/>
      </c>
      <c r="R21" s="1467" t="str">
        <f t="shared" si="1"/>
        <v/>
      </c>
      <c r="S21" s="3078">
        <f t="shared" si="2"/>
        <v>20</v>
      </c>
      <c r="T21" s="3079" t="str">
        <f t="shared" si="3"/>
        <v>--</v>
      </c>
      <c r="U21" s="3080" t="str">
        <f t="shared" si="4"/>
        <v>--</v>
      </c>
      <c r="V21" s="3064" t="str">
        <f t="shared" si="5"/>
        <v>--</v>
      </c>
      <c r="W21" s="3065" t="str">
        <f t="shared" si="6"/>
        <v>--</v>
      </c>
      <c r="X21" s="3066" t="str">
        <f t="shared" si="7"/>
        <v>--</v>
      </c>
      <c r="Y21" s="3067" t="str">
        <f t="shared" si="8"/>
        <v>--</v>
      </c>
      <c r="Z21" s="3081" t="str">
        <f t="shared" si="9"/>
        <v>--</v>
      </c>
      <c r="AA21" s="3069" t="str">
        <f t="shared" si="10"/>
        <v>--</v>
      </c>
      <c r="AB21" s="3082" t="str">
        <f t="shared" si="11"/>
        <v/>
      </c>
      <c r="AC21" s="3083" t="str">
        <f t="shared" si="15"/>
        <v/>
      </c>
      <c r="AD21" s="1391"/>
    </row>
    <row r="22" spans="1:30" s="1375" customFormat="1" ht="17.1" customHeight="1">
      <c r="A22" s="1374"/>
      <c r="B22" s="3008"/>
      <c r="C22" s="1493"/>
      <c r="D22" s="1493"/>
      <c r="E22" s="1490"/>
      <c r="F22" s="1749"/>
      <c r="G22" s="1750"/>
      <c r="H22" s="1751"/>
      <c r="I22" s="1752"/>
      <c r="J22" s="3072">
        <f t="shared" si="12"/>
        <v>0</v>
      </c>
      <c r="K22" s="2571"/>
      <c r="L22" s="2571"/>
      <c r="M22" s="3073" t="str">
        <f t="shared" si="13"/>
        <v/>
      </c>
      <c r="N22" s="3074" t="str">
        <f t="shared" si="14"/>
        <v/>
      </c>
      <c r="O22" s="3075"/>
      <c r="P22" s="3076" t="str">
        <f t="shared" si="0"/>
        <v/>
      </c>
      <c r="Q22" s="3077" t="str">
        <f t="shared" si="16"/>
        <v/>
      </c>
      <c r="R22" s="1467" t="str">
        <f t="shared" si="1"/>
        <v/>
      </c>
      <c r="S22" s="3078">
        <f t="shared" si="2"/>
        <v>20</v>
      </c>
      <c r="T22" s="3079" t="str">
        <f t="shared" si="3"/>
        <v>--</v>
      </c>
      <c r="U22" s="3080" t="str">
        <f t="shared" si="4"/>
        <v>--</v>
      </c>
      <c r="V22" s="3064" t="str">
        <f t="shared" si="5"/>
        <v>--</v>
      </c>
      <c r="W22" s="3065" t="str">
        <f t="shared" si="6"/>
        <v>--</v>
      </c>
      <c r="X22" s="3066" t="str">
        <f t="shared" si="7"/>
        <v>--</v>
      </c>
      <c r="Y22" s="3067" t="str">
        <f t="shared" si="8"/>
        <v>--</v>
      </c>
      <c r="Z22" s="3081" t="str">
        <f t="shared" si="9"/>
        <v>--</v>
      </c>
      <c r="AA22" s="3069" t="str">
        <f t="shared" si="10"/>
        <v>--</v>
      </c>
      <c r="AB22" s="3082" t="str">
        <f t="shared" si="11"/>
        <v/>
      </c>
      <c r="AC22" s="3083" t="str">
        <f t="shared" si="15"/>
        <v/>
      </c>
      <c r="AD22" s="1391"/>
    </row>
    <row r="23" spans="1:30" s="1375" customFormat="1" ht="17.1" customHeight="1">
      <c r="A23" s="1374"/>
      <c r="B23" s="3008"/>
      <c r="C23" s="1493"/>
      <c r="D23" s="1493"/>
      <c r="E23" s="1493"/>
      <c r="F23" s="1749"/>
      <c r="G23" s="1750"/>
      <c r="H23" s="1751"/>
      <c r="I23" s="3084"/>
      <c r="J23" s="3072">
        <f t="shared" si="12"/>
        <v>0</v>
      </c>
      <c r="K23" s="2571"/>
      <c r="L23" s="2571"/>
      <c r="M23" s="3073" t="str">
        <f t="shared" si="13"/>
        <v/>
      </c>
      <c r="N23" s="3074" t="str">
        <f t="shared" si="14"/>
        <v/>
      </c>
      <c r="O23" s="3075"/>
      <c r="P23" s="3076" t="str">
        <f t="shared" si="0"/>
        <v/>
      </c>
      <c r="Q23" s="3077" t="str">
        <f t="shared" si="16"/>
        <v/>
      </c>
      <c r="R23" s="1467" t="str">
        <f t="shared" si="1"/>
        <v/>
      </c>
      <c r="S23" s="3078">
        <f t="shared" si="2"/>
        <v>20</v>
      </c>
      <c r="T23" s="3079" t="str">
        <f t="shared" si="3"/>
        <v>--</v>
      </c>
      <c r="U23" s="3080" t="str">
        <f t="shared" si="4"/>
        <v>--</v>
      </c>
      <c r="V23" s="3064" t="str">
        <f t="shared" si="5"/>
        <v>--</v>
      </c>
      <c r="W23" s="3065" t="str">
        <f t="shared" si="6"/>
        <v>--</v>
      </c>
      <c r="X23" s="3066" t="str">
        <f t="shared" si="7"/>
        <v>--</v>
      </c>
      <c r="Y23" s="3067" t="str">
        <f t="shared" si="8"/>
        <v>--</v>
      </c>
      <c r="Z23" s="3081" t="str">
        <f t="shared" si="9"/>
        <v>--</v>
      </c>
      <c r="AA23" s="3069" t="str">
        <f t="shared" si="10"/>
        <v>--</v>
      </c>
      <c r="AB23" s="3082" t="str">
        <f t="shared" si="11"/>
        <v/>
      </c>
      <c r="AC23" s="3083" t="str">
        <f t="shared" si="15"/>
        <v/>
      </c>
      <c r="AD23" s="1391"/>
    </row>
    <row r="24" spans="1:30" s="1375" customFormat="1" ht="17.1" customHeight="1">
      <c r="A24" s="1374"/>
      <c r="B24" s="3008"/>
      <c r="C24" s="1493"/>
      <c r="D24" s="1493"/>
      <c r="E24" s="1490"/>
      <c r="F24" s="1749"/>
      <c r="G24" s="1750"/>
      <c r="H24" s="1751"/>
      <c r="I24" s="3084"/>
      <c r="J24" s="3072">
        <f t="shared" si="12"/>
        <v>0</v>
      </c>
      <c r="K24" s="2571"/>
      <c r="L24" s="2571"/>
      <c r="M24" s="3073" t="str">
        <f t="shared" si="13"/>
        <v/>
      </c>
      <c r="N24" s="3074" t="str">
        <f t="shared" si="14"/>
        <v/>
      </c>
      <c r="O24" s="3075"/>
      <c r="P24" s="3076" t="str">
        <f t="shared" si="0"/>
        <v/>
      </c>
      <c r="Q24" s="3077" t="str">
        <f t="shared" si="16"/>
        <v/>
      </c>
      <c r="R24" s="1467" t="str">
        <f t="shared" si="1"/>
        <v/>
      </c>
      <c r="S24" s="3078">
        <f t="shared" si="2"/>
        <v>20</v>
      </c>
      <c r="T24" s="3079" t="str">
        <f t="shared" si="3"/>
        <v>--</v>
      </c>
      <c r="U24" s="3080" t="str">
        <f t="shared" si="4"/>
        <v>--</v>
      </c>
      <c r="V24" s="3064" t="str">
        <f t="shared" si="5"/>
        <v>--</v>
      </c>
      <c r="W24" s="3065" t="str">
        <f t="shared" si="6"/>
        <v>--</v>
      </c>
      <c r="X24" s="3066" t="str">
        <f t="shared" si="7"/>
        <v>--</v>
      </c>
      <c r="Y24" s="3067" t="str">
        <f t="shared" si="8"/>
        <v>--</v>
      </c>
      <c r="Z24" s="3081" t="str">
        <f t="shared" si="9"/>
        <v>--</v>
      </c>
      <c r="AA24" s="3069" t="str">
        <f t="shared" si="10"/>
        <v>--</v>
      </c>
      <c r="AB24" s="3082" t="str">
        <f t="shared" si="11"/>
        <v/>
      </c>
      <c r="AC24" s="3083" t="str">
        <f t="shared" si="15"/>
        <v/>
      </c>
      <c r="AD24" s="1391"/>
    </row>
    <row r="25" spans="1:30" s="1375" customFormat="1" ht="17.1" customHeight="1">
      <c r="A25" s="1374"/>
      <c r="B25" s="3008"/>
      <c r="C25" s="1493"/>
      <c r="D25" s="1493"/>
      <c r="E25" s="1493"/>
      <c r="F25" s="1749"/>
      <c r="G25" s="1750"/>
      <c r="H25" s="1751"/>
      <c r="I25" s="3084"/>
      <c r="J25" s="3072">
        <f t="shared" si="12"/>
        <v>0</v>
      </c>
      <c r="K25" s="2571"/>
      <c r="L25" s="2571"/>
      <c r="M25" s="3073" t="str">
        <f t="shared" si="13"/>
        <v/>
      </c>
      <c r="N25" s="3074" t="str">
        <f t="shared" si="14"/>
        <v/>
      </c>
      <c r="O25" s="3075"/>
      <c r="P25" s="3076" t="str">
        <f t="shared" si="0"/>
        <v/>
      </c>
      <c r="Q25" s="3077" t="str">
        <f t="shared" si="16"/>
        <v/>
      </c>
      <c r="R25" s="1467" t="str">
        <f t="shared" si="1"/>
        <v/>
      </c>
      <c r="S25" s="3078">
        <f t="shared" si="2"/>
        <v>20</v>
      </c>
      <c r="T25" s="3079" t="str">
        <f t="shared" si="3"/>
        <v>--</v>
      </c>
      <c r="U25" s="3080" t="str">
        <f t="shared" si="4"/>
        <v>--</v>
      </c>
      <c r="V25" s="3064" t="str">
        <f t="shared" si="5"/>
        <v>--</v>
      </c>
      <c r="W25" s="3065" t="str">
        <f t="shared" si="6"/>
        <v>--</v>
      </c>
      <c r="X25" s="3066" t="str">
        <f t="shared" si="7"/>
        <v>--</v>
      </c>
      <c r="Y25" s="3067" t="str">
        <f t="shared" si="8"/>
        <v>--</v>
      </c>
      <c r="Z25" s="3081" t="str">
        <f t="shared" si="9"/>
        <v>--</v>
      </c>
      <c r="AA25" s="3069" t="str">
        <f t="shared" si="10"/>
        <v>--</v>
      </c>
      <c r="AB25" s="3082" t="str">
        <f t="shared" si="11"/>
        <v/>
      </c>
      <c r="AC25" s="3083" t="str">
        <f t="shared" si="15"/>
        <v/>
      </c>
      <c r="AD25" s="1391"/>
    </row>
    <row r="26" spans="1:31" s="1375" customFormat="1" ht="17.1" customHeight="1">
      <c r="A26" s="1374"/>
      <c r="B26" s="3008"/>
      <c r="C26" s="1493"/>
      <c r="D26" s="1493"/>
      <c r="E26" s="1490"/>
      <c r="F26" s="1749"/>
      <c r="G26" s="1750"/>
      <c r="H26" s="1751"/>
      <c r="I26" s="3084"/>
      <c r="J26" s="3072">
        <f t="shared" si="12"/>
        <v>0</v>
      </c>
      <c r="K26" s="2571"/>
      <c r="L26" s="2571"/>
      <c r="M26" s="3073" t="str">
        <f t="shared" si="13"/>
        <v/>
      </c>
      <c r="N26" s="3074" t="str">
        <f t="shared" si="14"/>
        <v/>
      </c>
      <c r="O26" s="3075"/>
      <c r="P26" s="3076" t="str">
        <f t="shared" si="0"/>
        <v/>
      </c>
      <c r="Q26" s="3077" t="str">
        <f t="shared" si="16"/>
        <v/>
      </c>
      <c r="R26" s="1467" t="str">
        <f t="shared" si="1"/>
        <v/>
      </c>
      <c r="S26" s="3078">
        <f t="shared" si="2"/>
        <v>20</v>
      </c>
      <c r="T26" s="3079" t="str">
        <f t="shared" si="3"/>
        <v>--</v>
      </c>
      <c r="U26" s="3080" t="str">
        <f t="shared" si="4"/>
        <v>--</v>
      </c>
      <c r="V26" s="3064" t="str">
        <f t="shared" si="5"/>
        <v>--</v>
      </c>
      <c r="W26" s="3065" t="str">
        <f t="shared" si="6"/>
        <v>--</v>
      </c>
      <c r="X26" s="3066" t="str">
        <f t="shared" si="7"/>
        <v>--</v>
      </c>
      <c r="Y26" s="3067" t="str">
        <f t="shared" si="8"/>
        <v>--</v>
      </c>
      <c r="Z26" s="3081" t="str">
        <f t="shared" si="9"/>
        <v>--</v>
      </c>
      <c r="AA26" s="3069" t="str">
        <f t="shared" si="10"/>
        <v>--</v>
      </c>
      <c r="AB26" s="3082" t="str">
        <f t="shared" si="11"/>
        <v/>
      </c>
      <c r="AC26" s="3083" t="str">
        <f t="shared" si="15"/>
        <v/>
      </c>
      <c r="AD26" s="1391"/>
      <c r="AE26" s="2911"/>
    </row>
    <row r="27" spans="1:30" s="1375" customFormat="1" ht="17.1" customHeight="1">
      <c r="A27" s="1374"/>
      <c r="B27" s="3008"/>
      <c r="C27" s="1493"/>
      <c r="D27" s="1493"/>
      <c r="E27" s="1493"/>
      <c r="F27" s="1749"/>
      <c r="G27" s="1750"/>
      <c r="H27" s="1751"/>
      <c r="I27" s="3084"/>
      <c r="J27" s="3072">
        <f t="shared" si="12"/>
        <v>0</v>
      </c>
      <c r="K27" s="2571"/>
      <c r="L27" s="2571"/>
      <c r="M27" s="3073" t="str">
        <f t="shared" si="13"/>
        <v/>
      </c>
      <c r="N27" s="3074" t="str">
        <f t="shared" si="14"/>
        <v/>
      </c>
      <c r="O27" s="3075"/>
      <c r="P27" s="3076" t="str">
        <f t="shared" si="0"/>
        <v/>
      </c>
      <c r="Q27" s="3077" t="str">
        <f t="shared" si="16"/>
        <v/>
      </c>
      <c r="R27" s="1467" t="str">
        <f t="shared" si="1"/>
        <v/>
      </c>
      <c r="S27" s="3078">
        <f t="shared" si="2"/>
        <v>20</v>
      </c>
      <c r="T27" s="3079" t="str">
        <f t="shared" si="3"/>
        <v>--</v>
      </c>
      <c r="U27" s="3080" t="str">
        <f t="shared" si="4"/>
        <v>--</v>
      </c>
      <c r="V27" s="3064" t="str">
        <f t="shared" si="5"/>
        <v>--</v>
      </c>
      <c r="W27" s="3065" t="str">
        <f t="shared" si="6"/>
        <v>--</v>
      </c>
      <c r="X27" s="3066" t="str">
        <f t="shared" si="7"/>
        <v>--</v>
      </c>
      <c r="Y27" s="3067" t="str">
        <f t="shared" si="8"/>
        <v>--</v>
      </c>
      <c r="Z27" s="3081" t="str">
        <f t="shared" si="9"/>
        <v>--</v>
      </c>
      <c r="AA27" s="3069" t="str">
        <f t="shared" si="10"/>
        <v>--</v>
      </c>
      <c r="AB27" s="3082" t="str">
        <f t="shared" si="11"/>
        <v/>
      </c>
      <c r="AC27" s="3083" t="str">
        <f t="shared" si="15"/>
        <v/>
      </c>
      <c r="AD27" s="1391"/>
    </row>
    <row r="28" spans="1:30" s="1375" customFormat="1" ht="17.1" customHeight="1">
      <c r="A28" s="1374"/>
      <c r="B28" s="3008"/>
      <c r="C28" s="1493"/>
      <c r="D28" s="1493"/>
      <c r="E28" s="1490"/>
      <c r="F28" s="1749"/>
      <c r="G28" s="1750"/>
      <c r="H28" s="1751"/>
      <c r="I28" s="3084"/>
      <c r="J28" s="3072">
        <f t="shared" si="12"/>
        <v>0</v>
      </c>
      <c r="K28" s="2571"/>
      <c r="L28" s="2571"/>
      <c r="M28" s="3073" t="str">
        <f t="shared" si="13"/>
        <v/>
      </c>
      <c r="N28" s="3074" t="str">
        <f t="shared" si="14"/>
        <v/>
      </c>
      <c r="O28" s="3075"/>
      <c r="P28" s="3076" t="str">
        <f t="shared" si="0"/>
        <v/>
      </c>
      <c r="Q28" s="3077" t="str">
        <f t="shared" si="16"/>
        <v/>
      </c>
      <c r="R28" s="1467" t="str">
        <f t="shared" si="1"/>
        <v/>
      </c>
      <c r="S28" s="3078">
        <f t="shared" si="2"/>
        <v>20</v>
      </c>
      <c r="T28" s="3079" t="str">
        <f t="shared" si="3"/>
        <v>--</v>
      </c>
      <c r="U28" s="3080" t="str">
        <f t="shared" si="4"/>
        <v>--</v>
      </c>
      <c r="V28" s="3064" t="str">
        <f t="shared" si="5"/>
        <v>--</v>
      </c>
      <c r="W28" s="3065" t="str">
        <f t="shared" si="6"/>
        <v>--</v>
      </c>
      <c r="X28" s="3066" t="str">
        <f t="shared" si="7"/>
        <v>--</v>
      </c>
      <c r="Y28" s="3067" t="str">
        <f t="shared" si="8"/>
        <v>--</v>
      </c>
      <c r="Z28" s="3081" t="str">
        <f t="shared" si="9"/>
        <v>--</v>
      </c>
      <c r="AA28" s="3069" t="str">
        <f t="shared" si="10"/>
        <v>--</v>
      </c>
      <c r="AB28" s="3082" t="str">
        <f t="shared" si="11"/>
        <v/>
      </c>
      <c r="AC28" s="3083" t="str">
        <f t="shared" si="15"/>
        <v/>
      </c>
      <c r="AD28" s="1391"/>
    </row>
    <row r="29" spans="1:30" s="1375" customFormat="1" ht="17.1" customHeight="1">
      <c r="A29" s="1374"/>
      <c r="B29" s="3008"/>
      <c r="C29" s="1493"/>
      <c r="D29" s="1493"/>
      <c r="E29" s="1493"/>
      <c r="F29" s="1749"/>
      <c r="G29" s="1750"/>
      <c r="H29" s="1751"/>
      <c r="I29" s="3084"/>
      <c r="J29" s="3072">
        <f t="shared" si="12"/>
        <v>0</v>
      </c>
      <c r="K29" s="2571"/>
      <c r="L29" s="2571"/>
      <c r="M29" s="3073" t="str">
        <f t="shared" si="13"/>
        <v/>
      </c>
      <c r="N29" s="3074" t="str">
        <f t="shared" si="14"/>
        <v/>
      </c>
      <c r="O29" s="3075"/>
      <c r="P29" s="3076" t="str">
        <f t="shared" si="0"/>
        <v/>
      </c>
      <c r="Q29" s="3077" t="str">
        <f t="shared" si="16"/>
        <v/>
      </c>
      <c r="R29" s="1467" t="str">
        <f t="shared" si="1"/>
        <v/>
      </c>
      <c r="S29" s="3078">
        <f t="shared" si="2"/>
        <v>20</v>
      </c>
      <c r="T29" s="3079" t="str">
        <f t="shared" si="3"/>
        <v>--</v>
      </c>
      <c r="U29" s="3080" t="str">
        <f t="shared" si="4"/>
        <v>--</v>
      </c>
      <c r="V29" s="3064" t="str">
        <f t="shared" si="5"/>
        <v>--</v>
      </c>
      <c r="W29" s="3065" t="str">
        <f t="shared" si="6"/>
        <v>--</v>
      </c>
      <c r="X29" s="3066" t="str">
        <f t="shared" si="7"/>
        <v>--</v>
      </c>
      <c r="Y29" s="3067" t="str">
        <f t="shared" si="8"/>
        <v>--</v>
      </c>
      <c r="Z29" s="3081" t="str">
        <f t="shared" si="9"/>
        <v>--</v>
      </c>
      <c r="AA29" s="3069" t="str">
        <f t="shared" si="10"/>
        <v>--</v>
      </c>
      <c r="AB29" s="3082" t="str">
        <f t="shared" si="11"/>
        <v/>
      </c>
      <c r="AC29" s="3083" t="str">
        <f t="shared" si="15"/>
        <v/>
      </c>
      <c r="AD29" s="1391"/>
    </row>
    <row r="30" spans="1:30" s="1375" customFormat="1" ht="17.1" customHeight="1">
      <c r="A30" s="1374"/>
      <c r="B30" s="3008"/>
      <c r="C30" s="1493"/>
      <c r="D30" s="1493"/>
      <c r="E30" s="1490"/>
      <c r="F30" s="1749"/>
      <c r="G30" s="3085"/>
      <c r="H30" s="1751"/>
      <c r="I30" s="3084"/>
      <c r="J30" s="3072">
        <f t="shared" si="12"/>
        <v>0</v>
      </c>
      <c r="K30" s="2571"/>
      <c r="L30" s="2571"/>
      <c r="M30" s="3073" t="str">
        <f t="shared" si="13"/>
        <v/>
      </c>
      <c r="N30" s="3074" t="str">
        <f t="shared" si="14"/>
        <v/>
      </c>
      <c r="O30" s="3075"/>
      <c r="P30" s="3076" t="str">
        <f t="shared" si="0"/>
        <v/>
      </c>
      <c r="Q30" s="3077" t="str">
        <f t="shared" si="16"/>
        <v/>
      </c>
      <c r="R30" s="1467" t="str">
        <f t="shared" si="1"/>
        <v/>
      </c>
      <c r="S30" s="3078">
        <f t="shared" si="2"/>
        <v>20</v>
      </c>
      <c r="T30" s="3079" t="str">
        <f t="shared" si="3"/>
        <v>--</v>
      </c>
      <c r="U30" s="3080" t="str">
        <f t="shared" si="4"/>
        <v>--</v>
      </c>
      <c r="V30" s="3064" t="str">
        <f t="shared" si="5"/>
        <v>--</v>
      </c>
      <c r="W30" s="3065" t="str">
        <f t="shared" si="6"/>
        <v>--</v>
      </c>
      <c r="X30" s="3066" t="str">
        <f t="shared" si="7"/>
        <v>--</v>
      </c>
      <c r="Y30" s="3067" t="str">
        <f t="shared" si="8"/>
        <v>--</v>
      </c>
      <c r="Z30" s="3081" t="str">
        <f t="shared" si="9"/>
        <v>--</v>
      </c>
      <c r="AA30" s="3069" t="str">
        <f t="shared" si="10"/>
        <v>--</v>
      </c>
      <c r="AB30" s="3082" t="str">
        <f t="shared" si="11"/>
        <v/>
      </c>
      <c r="AC30" s="3083" t="str">
        <f t="shared" si="15"/>
        <v/>
      </c>
      <c r="AD30" s="1391"/>
    </row>
    <row r="31" spans="1:30" s="1375" customFormat="1" ht="17.1" customHeight="1">
      <c r="A31" s="1374"/>
      <c r="B31" s="3008"/>
      <c r="C31" s="1493"/>
      <c r="D31" s="1493"/>
      <c r="E31" s="1493"/>
      <c r="F31" s="1749"/>
      <c r="G31" s="3085"/>
      <c r="H31" s="1751"/>
      <c r="I31" s="3084"/>
      <c r="J31" s="3072">
        <f t="shared" si="12"/>
        <v>0</v>
      </c>
      <c r="K31" s="2571"/>
      <c r="L31" s="2571"/>
      <c r="M31" s="3073" t="str">
        <f t="shared" si="13"/>
        <v/>
      </c>
      <c r="N31" s="3074" t="str">
        <f t="shared" si="14"/>
        <v/>
      </c>
      <c r="O31" s="3075"/>
      <c r="P31" s="3076" t="str">
        <f t="shared" si="0"/>
        <v/>
      </c>
      <c r="Q31" s="3077" t="str">
        <f t="shared" si="16"/>
        <v/>
      </c>
      <c r="R31" s="1467" t="str">
        <f t="shared" si="1"/>
        <v/>
      </c>
      <c r="S31" s="3078">
        <f t="shared" si="2"/>
        <v>20</v>
      </c>
      <c r="T31" s="3079" t="str">
        <f t="shared" si="3"/>
        <v>--</v>
      </c>
      <c r="U31" s="3080" t="str">
        <f t="shared" si="4"/>
        <v>--</v>
      </c>
      <c r="V31" s="3064" t="str">
        <f t="shared" si="5"/>
        <v>--</v>
      </c>
      <c r="W31" s="3065" t="str">
        <f t="shared" si="6"/>
        <v>--</v>
      </c>
      <c r="X31" s="3066" t="str">
        <f t="shared" si="7"/>
        <v>--</v>
      </c>
      <c r="Y31" s="3067" t="str">
        <f t="shared" si="8"/>
        <v>--</v>
      </c>
      <c r="Z31" s="3081" t="str">
        <f t="shared" si="9"/>
        <v>--</v>
      </c>
      <c r="AA31" s="3069" t="str">
        <f t="shared" si="10"/>
        <v>--</v>
      </c>
      <c r="AB31" s="3082" t="str">
        <f t="shared" si="11"/>
        <v/>
      </c>
      <c r="AC31" s="3083" t="str">
        <f t="shared" si="15"/>
        <v/>
      </c>
      <c r="AD31" s="1391"/>
    </row>
    <row r="32" spans="1:30" s="1375" customFormat="1" ht="17.1" customHeight="1">
      <c r="A32" s="1374"/>
      <c r="B32" s="3008"/>
      <c r="C32" s="1493"/>
      <c r="D32" s="1493"/>
      <c r="E32" s="1490"/>
      <c r="F32" s="1749"/>
      <c r="G32" s="3085"/>
      <c r="H32" s="1751"/>
      <c r="I32" s="3084"/>
      <c r="J32" s="3072">
        <f t="shared" si="12"/>
        <v>0</v>
      </c>
      <c r="K32" s="2571"/>
      <c r="L32" s="2571"/>
      <c r="M32" s="3073" t="str">
        <f t="shared" si="13"/>
        <v/>
      </c>
      <c r="N32" s="3074" t="str">
        <f t="shared" si="14"/>
        <v/>
      </c>
      <c r="O32" s="3075"/>
      <c r="P32" s="3076" t="str">
        <f t="shared" si="0"/>
        <v/>
      </c>
      <c r="Q32" s="3077" t="str">
        <f t="shared" si="16"/>
        <v/>
      </c>
      <c r="R32" s="1467" t="str">
        <f t="shared" si="1"/>
        <v/>
      </c>
      <c r="S32" s="3078">
        <f t="shared" si="2"/>
        <v>20</v>
      </c>
      <c r="T32" s="3079" t="str">
        <f t="shared" si="3"/>
        <v>--</v>
      </c>
      <c r="U32" s="3080" t="str">
        <f t="shared" si="4"/>
        <v>--</v>
      </c>
      <c r="V32" s="3064" t="str">
        <f t="shared" si="5"/>
        <v>--</v>
      </c>
      <c r="W32" s="3065" t="str">
        <f t="shared" si="6"/>
        <v>--</v>
      </c>
      <c r="X32" s="3066" t="str">
        <f t="shared" si="7"/>
        <v>--</v>
      </c>
      <c r="Y32" s="3067" t="str">
        <f t="shared" si="8"/>
        <v>--</v>
      </c>
      <c r="Z32" s="3081" t="str">
        <f t="shared" si="9"/>
        <v>--</v>
      </c>
      <c r="AA32" s="3069" t="str">
        <f t="shared" si="10"/>
        <v>--</v>
      </c>
      <c r="AB32" s="3082" t="str">
        <f t="shared" si="11"/>
        <v/>
      </c>
      <c r="AC32" s="3083" t="str">
        <f t="shared" si="15"/>
        <v/>
      </c>
      <c r="AD32" s="1391"/>
    </row>
    <row r="33" spans="1:30" s="1375" customFormat="1" ht="17.1" customHeight="1">
      <c r="A33" s="1374"/>
      <c r="B33" s="3008"/>
      <c r="C33" s="1493"/>
      <c r="D33" s="1493"/>
      <c r="E33" s="1493"/>
      <c r="F33" s="1749"/>
      <c r="G33" s="3085"/>
      <c r="H33" s="1751"/>
      <c r="I33" s="3084"/>
      <c r="J33" s="3072">
        <f t="shared" si="12"/>
        <v>0</v>
      </c>
      <c r="K33" s="2571"/>
      <c r="L33" s="2571"/>
      <c r="M33" s="3073" t="str">
        <f t="shared" si="13"/>
        <v/>
      </c>
      <c r="N33" s="3074" t="str">
        <f t="shared" si="14"/>
        <v/>
      </c>
      <c r="O33" s="3075"/>
      <c r="P33" s="3076" t="str">
        <f t="shared" si="0"/>
        <v/>
      </c>
      <c r="Q33" s="3077" t="str">
        <f t="shared" si="16"/>
        <v/>
      </c>
      <c r="R33" s="1467" t="str">
        <f t="shared" si="1"/>
        <v/>
      </c>
      <c r="S33" s="3078">
        <f t="shared" si="2"/>
        <v>20</v>
      </c>
      <c r="T33" s="3079" t="str">
        <f t="shared" si="3"/>
        <v>--</v>
      </c>
      <c r="U33" s="3080" t="str">
        <f t="shared" si="4"/>
        <v>--</v>
      </c>
      <c r="V33" s="3064" t="str">
        <f t="shared" si="5"/>
        <v>--</v>
      </c>
      <c r="W33" s="3065" t="str">
        <f t="shared" si="6"/>
        <v>--</v>
      </c>
      <c r="X33" s="3066" t="str">
        <f t="shared" si="7"/>
        <v>--</v>
      </c>
      <c r="Y33" s="3067" t="str">
        <f t="shared" si="8"/>
        <v>--</v>
      </c>
      <c r="Z33" s="3081" t="str">
        <f t="shared" si="9"/>
        <v>--</v>
      </c>
      <c r="AA33" s="3069" t="str">
        <f t="shared" si="10"/>
        <v>--</v>
      </c>
      <c r="AB33" s="3082" t="str">
        <f t="shared" si="11"/>
        <v/>
      </c>
      <c r="AC33" s="3083" t="str">
        <f t="shared" si="15"/>
        <v/>
      </c>
      <c r="AD33" s="1391"/>
    </row>
    <row r="34" spans="1:30" s="1375" customFormat="1" ht="17.1" customHeight="1">
      <c r="A34" s="1374"/>
      <c r="B34" s="3008"/>
      <c r="C34" s="1493"/>
      <c r="D34" s="1493"/>
      <c r="E34" s="1490"/>
      <c r="F34" s="1749"/>
      <c r="G34" s="3085"/>
      <c r="H34" s="1751"/>
      <c r="I34" s="3084"/>
      <c r="J34" s="3072">
        <f t="shared" si="12"/>
        <v>0</v>
      </c>
      <c r="K34" s="2571"/>
      <c r="L34" s="2571"/>
      <c r="M34" s="3073" t="str">
        <f t="shared" si="13"/>
        <v/>
      </c>
      <c r="N34" s="3074" t="str">
        <f t="shared" si="14"/>
        <v/>
      </c>
      <c r="O34" s="3075"/>
      <c r="P34" s="3076" t="str">
        <f t="shared" si="0"/>
        <v/>
      </c>
      <c r="Q34" s="3077" t="str">
        <f t="shared" si="16"/>
        <v/>
      </c>
      <c r="R34" s="1467" t="str">
        <f t="shared" si="1"/>
        <v/>
      </c>
      <c r="S34" s="3078">
        <f t="shared" si="2"/>
        <v>20</v>
      </c>
      <c r="T34" s="3079" t="str">
        <f t="shared" si="3"/>
        <v>--</v>
      </c>
      <c r="U34" s="3080" t="str">
        <f t="shared" si="4"/>
        <v>--</v>
      </c>
      <c r="V34" s="3064" t="str">
        <f t="shared" si="5"/>
        <v>--</v>
      </c>
      <c r="W34" s="3065" t="str">
        <f t="shared" si="6"/>
        <v>--</v>
      </c>
      <c r="X34" s="3066" t="str">
        <f t="shared" si="7"/>
        <v>--</v>
      </c>
      <c r="Y34" s="3067" t="str">
        <f t="shared" si="8"/>
        <v>--</v>
      </c>
      <c r="Z34" s="3081" t="str">
        <f t="shared" si="9"/>
        <v>--</v>
      </c>
      <c r="AA34" s="3069" t="str">
        <f t="shared" si="10"/>
        <v>--</v>
      </c>
      <c r="AB34" s="3082" t="str">
        <f t="shared" si="11"/>
        <v/>
      </c>
      <c r="AC34" s="3083" t="str">
        <f t="shared" si="15"/>
        <v/>
      </c>
      <c r="AD34" s="1391"/>
    </row>
    <row r="35" spans="1:30" s="1375" customFormat="1" ht="17.1" customHeight="1">
      <c r="A35" s="1374"/>
      <c r="B35" s="3008"/>
      <c r="C35" s="1493"/>
      <c r="D35" s="1493"/>
      <c r="E35" s="1493"/>
      <c r="F35" s="1749"/>
      <c r="G35" s="3085"/>
      <c r="H35" s="1751"/>
      <c r="I35" s="3084"/>
      <c r="J35" s="3072">
        <f t="shared" si="12"/>
        <v>0</v>
      </c>
      <c r="K35" s="2571"/>
      <c r="L35" s="2571"/>
      <c r="M35" s="3073" t="str">
        <f t="shared" si="13"/>
        <v/>
      </c>
      <c r="N35" s="3074" t="str">
        <f t="shared" si="14"/>
        <v/>
      </c>
      <c r="O35" s="3075"/>
      <c r="P35" s="3076" t="str">
        <f t="shared" si="0"/>
        <v/>
      </c>
      <c r="Q35" s="3077" t="str">
        <f t="shared" si="16"/>
        <v/>
      </c>
      <c r="R35" s="1467" t="str">
        <f t="shared" si="1"/>
        <v/>
      </c>
      <c r="S35" s="3078">
        <f t="shared" si="2"/>
        <v>20</v>
      </c>
      <c r="T35" s="3079" t="str">
        <f t="shared" si="3"/>
        <v>--</v>
      </c>
      <c r="U35" s="3080" t="str">
        <f t="shared" si="4"/>
        <v>--</v>
      </c>
      <c r="V35" s="3064" t="str">
        <f t="shared" si="5"/>
        <v>--</v>
      </c>
      <c r="W35" s="3065" t="str">
        <f t="shared" si="6"/>
        <v>--</v>
      </c>
      <c r="X35" s="3066" t="str">
        <f t="shared" si="7"/>
        <v>--</v>
      </c>
      <c r="Y35" s="3067" t="str">
        <f t="shared" si="8"/>
        <v>--</v>
      </c>
      <c r="Z35" s="3081" t="str">
        <f t="shared" si="9"/>
        <v>--</v>
      </c>
      <c r="AA35" s="3069" t="str">
        <f t="shared" si="10"/>
        <v>--</v>
      </c>
      <c r="AB35" s="3082" t="str">
        <f t="shared" si="11"/>
        <v/>
      </c>
      <c r="AC35" s="3083" t="str">
        <f t="shared" si="15"/>
        <v/>
      </c>
      <c r="AD35" s="1391"/>
    </row>
    <row r="36" spans="1:30" s="1375" customFormat="1" ht="17.1" customHeight="1">
      <c r="A36" s="1374"/>
      <c r="B36" s="3008"/>
      <c r="C36" s="1493"/>
      <c r="D36" s="1493"/>
      <c r="E36" s="1490"/>
      <c r="F36" s="1749"/>
      <c r="G36" s="3085"/>
      <c r="H36" s="1751"/>
      <c r="I36" s="3084"/>
      <c r="J36" s="3072">
        <f t="shared" si="12"/>
        <v>0</v>
      </c>
      <c r="K36" s="2571"/>
      <c r="L36" s="2571"/>
      <c r="M36" s="3073" t="str">
        <f t="shared" si="13"/>
        <v/>
      </c>
      <c r="N36" s="3074" t="str">
        <f t="shared" si="14"/>
        <v/>
      </c>
      <c r="O36" s="3075"/>
      <c r="P36" s="3076" t="str">
        <f t="shared" si="0"/>
        <v/>
      </c>
      <c r="Q36" s="3077" t="str">
        <f t="shared" si="16"/>
        <v/>
      </c>
      <c r="R36" s="1467" t="str">
        <f t="shared" si="1"/>
        <v/>
      </c>
      <c r="S36" s="3078">
        <f t="shared" si="2"/>
        <v>20</v>
      </c>
      <c r="T36" s="3079" t="str">
        <f t="shared" si="3"/>
        <v>--</v>
      </c>
      <c r="U36" s="3080" t="str">
        <f t="shared" si="4"/>
        <v>--</v>
      </c>
      <c r="V36" s="3064" t="str">
        <f t="shared" si="5"/>
        <v>--</v>
      </c>
      <c r="W36" s="3065" t="str">
        <f t="shared" si="6"/>
        <v>--</v>
      </c>
      <c r="X36" s="3066" t="str">
        <f t="shared" si="7"/>
        <v>--</v>
      </c>
      <c r="Y36" s="3067" t="str">
        <f t="shared" si="8"/>
        <v>--</v>
      </c>
      <c r="Z36" s="3081" t="str">
        <f t="shared" si="9"/>
        <v>--</v>
      </c>
      <c r="AA36" s="3069" t="str">
        <f t="shared" si="10"/>
        <v>--</v>
      </c>
      <c r="AB36" s="3082" t="str">
        <f t="shared" si="11"/>
        <v/>
      </c>
      <c r="AC36" s="3083" t="str">
        <f t="shared" si="15"/>
        <v/>
      </c>
      <c r="AD36" s="1391"/>
    </row>
    <row r="37" spans="1:30" s="1375" customFormat="1" ht="17.1" customHeight="1">
      <c r="A37" s="1374"/>
      <c r="B37" s="3008"/>
      <c r="C37" s="1493"/>
      <c r="D37" s="1493"/>
      <c r="E37" s="1493"/>
      <c r="F37" s="1749"/>
      <c r="G37" s="3085"/>
      <c r="H37" s="1751"/>
      <c r="I37" s="3084"/>
      <c r="J37" s="3072">
        <f t="shared" si="12"/>
        <v>0</v>
      </c>
      <c r="K37" s="2571"/>
      <c r="L37" s="2571"/>
      <c r="M37" s="3073" t="str">
        <f t="shared" si="13"/>
        <v/>
      </c>
      <c r="N37" s="3074" t="str">
        <f t="shared" si="14"/>
        <v/>
      </c>
      <c r="O37" s="3075"/>
      <c r="P37" s="3076" t="str">
        <f t="shared" si="0"/>
        <v/>
      </c>
      <c r="Q37" s="3077" t="str">
        <f t="shared" si="16"/>
        <v/>
      </c>
      <c r="R37" s="1467" t="str">
        <f t="shared" si="1"/>
        <v/>
      </c>
      <c r="S37" s="3078">
        <f t="shared" si="2"/>
        <v>20</v>
      </c>
      <c r="T37" s="3079" t="str">
        <f t="shared" si="3"/>
        <v>--</v>
      </c>
      <c r="U37" s="3080" t="str">
        <f t="shared" si="4"/>
        <v>--</v>
      </c>
      <c r="V37" s="3064" t="str">
        <f t="shared" si="5"/>
        <v>--</v>
      </c>
      <c r="W37" s="3065" t="str">
        <f t="shared" si="6"/>
        <v>--</v>
      </c>
      <c r="X37" s="3066" t="str">
        <f t="shared" si="7"/>
        <v>--</v>
      </c>
      <c r="Y37" s="3067" t="str">
        <f t="shared" si="8"/>
        <v>--</v>
      </c>
      <c r="Z37" s="3081" t="str">
        <f t="shared" si="9"/>
        <v>--</v>
      </c>
      <c r="AA37" s="3069" t="str">
        <f t="shared" si="10"/>
        <v>--</v>
      </c>
      <c r="AB37" s="3082" t="str">
        <f t="shared" si="11"/>
        <v/>
      </c>
      <c r="AC37" s="3083" t="str">
        <f t="shared" si="15"/>
        <v/>
      </c>
      <c r="AD37" s="1391"/>
    </row>
    <row r="38" spans="1:30" s="1375" customFormat="1" ht="17.1" customHeight="1">
      <c r="A38" s="1374"/>
      <c r="B38" s="3008"/>
      <c r="C38" s="1493"/>
      <c r="D38" s="1493"/>
      <c r="E38" s="1490"/>
      <c r="F38" s="1749"/>
      <c r="G38" s="3085"/>
      <c r="H38" s="1751"/>
      <c r="I38" s="3084"/>
      <c r="J38" s="3072">
        <f t="shared" si="12"/>
        <v>0</v>
      </c>
      <c r="K38" s="2571"/>
      <c r="L38" s="2571"/>
      <c r="M38" s="3073" t="str">
        <f t="shared" si="13"/>
        <v/>
      </c>
      <c r="N38" s="3074" t="str">
        <f t="shared" si="14"/>
        <v/>
      </c>
      <c r="O38" s="3075"/>
      <c r="P38" s="3076" t="str">
        <f t="shared" si="0"/>
        <v/>
      </c>
      <c r="Q38" s="3077" t="str">
        <f t="shared" si="16"/>
        <v/>
      </c>
      <c r="R38" s="1467" t="str">
        <f t="shared" si="1"/>
        <v/>
      </c>
      <c r="S38" s="3078">
        <f t="shared" si="2"/>
        <v>20</v>
      </c>
      <c r="T38" s="3079" t="str">
        <f t="shared" si="3"/>
        <v>--</v>
      </c>
      <c r="U38" s="3080" t="str">
        <f t="shared" si="4"/>
        <v>--</v>
      </c>
      <c r="V38" s="3064" t="str">
        <f t="shared" si="5"/>
        <v>--</v>
      </c>
      <c r="W38" s="3065" t="str">
        <f t="shared" si="6"/>
        <v>--</v>
      </c>
      <c r="X38" s="3066" t="str">
        <f t="shared" si="7"/>
        <v>--</v>
      </c>
      <c r="Y38" s="3067" t="str">
        <f t="shared" si="8"/>
        <v>--</v>
      </c>
      <c r="Z38" s="3081" t="str">
        <f t="shared" si="9"/>
        <v>--</v>
      </c>
      <c r="AA38" s="3069" t="str">
        <f t="shared" si="10"/>
        <v>--</v>
      </c>
      <c r="AB38" s="3082" t="str">
        <f t="shared" si="11"/>
        <v/>
      </c>
      <c r="AC38" s="3083" t="str">
        <f t="shared" si="15"/>
        <v/>
      </c>
      <c r="AD38" s="1391"/>
    </row>
    <row r="39" spans="1:30" s="1375" customFormat="1" ht="17.1" customHeight="1">
      <c r="A39" s="1374"/>
      <c r="B39" s="3008"/>
      <c r="C39" s="1493"/>
      <c r="D39" s="1493"/>
      <c r="E39" s="1493"/>
      <c r="F39" s="1749"/>
      <c r="G39" s="3085"/>
      <c r="H39" s="1751"/>
      <c r="I39" s="3084"/>
      <c r="J39" s="3072">
        <f t="shared" si="12"/>
        <v>0</v>
      </c>
      <c r="K39" s="2571"/>
      <c r="L39" s="2571"/>
      <c r="M39" s="3073" t="str">
        <f t="shared" si="13"/>
        <v/>
      </c>
      <c r="N39" s="3074" t="str">
        <f t="shared" si="14"/>
        <v/>
      </c>
      <c r="O39" s="3075"/>
      <c r="P39" s="3076" t="str">
        <f t="shared" si="0"/>
        <v/>
      </c>
      <c r="Q39" s="3077" t="str">
        <f t="shared" si="16"/>
        <v/>
      </c>
      <c r="R39" s="1467" t="str">
        <f t="shared" si="1"/>
        <v/>
      </c>
      <c r="S39" s="3078">
        <f t="shared" si="2"/>
        <v>20</v>
      </c>
      <c r="T39" s="3079" t="str">
        <f t="shared" si="3"/>
        <v>--</v>
      </c>
      <c r="U39" s="3080" t="str">
        <f t="shared" si="4"/>
        <v>--</v>
      </c>
      <c r="V39" s="3064" t="str">
        <f t="shared" si="5"/>
        <v>--</v>
      </c>
      <c r="W39" s="3065" t="str">
        <f t="shared" si="6"/>
        <v>--</v>
      </c>
      <c r="X39" s="3066" t="str">
        <f t="shared" si="7"/>
        <v>--</v>
      </c>
      <c r="Y39" s="3067" t="str">
        <f t="shared" si="8"/>
        <v>--</v>
      </c>
      <c r="Z39" s="3081" t="str">
        <f t="shared" si="9"/>
        <v>--</v>
      </c>
      <c r="AA39" s="3069" t="str">
        <f t="shared" si="10"/>
        <v>--</v>
      </c>
      <c r="AB39" s="3082" t="str">
        <f t="shared" si="11"/>
        <v/>
      </c>
      <c r="AC39" s="3083" t="str">
        <f t="shared" si="15"/>
        <v/>
      </c>
      <c r="AD39" s="1391"/>
    </row>
    <row r="40" spans="1:30" s="1375" customFormat="1" ht="17.1" customHeight="1" thickBot="1">
      <c r="A40" s="1374"/>
      <c r="B40" s="3008"/>
      <c r="C40" s="3086"/>
      <c r="D40" s="3086"/>
      <c r="E40" s="3086"/>
      <c r="F40" s="3086"/>
      <c r="G40" s="3086"/>
      <c r="H40" s="3086"/>
      <c r="I40" s="3087"/>
      <c r="J40" s="2968"/>
      <c r="K40" s="3088"/>
      <c r="L40" s="3089"/>
      <c r="M40" s="3090"/>
      <c r="N40" s="3091"/>
      <c r="O40" s="3092"/>
      <c r="P40" s="1510"/>
      <c r="Q40" s="3093"/>
      <c r="R40" s="3092"/>
      <c r="S40" s="3094"/>
      <c r="T40" s="3095"/>
      <c r="U40" s="3096"/>
      <c r="V40" s="3097"/>
      <c r="W40" s="3098"/>
      <c r="X40" s="3099"/>
      <c r="Y40" s="3100"/>
      <c r="Z40" s="3101"/>
      <c r="AA40" s="3102"/>
      <c r="AB40" s="3103"/>
      <c r="AC40" s="3104"/>
      <c r="AD40" s="1391"/>
    </row>
    <row r="41" spans="1:30" s="1375" customFormat="1" ht="17.1" customHeight="1" thickBot="1" thickTop="1">
      <c r="A41" s="1374"/>
      <c r="B41" s="3008"/>
      <c r="C41" s="1523" t="s">
        <v>368</v>
      </c>
      <c r="D41" s="2977" t="s">
        <v>452</v>
      </c>
      <c r="E41" s="1525"/>
      <c r="F41" s="1526"/>
      <c r="G41" s="2911"/>
      <c r="H41" s="2911"/>
      <c r="I41" s="2911"/>
      <c r="J41" s="2911"/>
      <c r="K41" s="2911"/>
      <c r="L41" s="3030"/>
      <c r="M41" s="2911"/>
      <c r="N41" s="2911"/>
      <c r="O41" s="2911"/>
      <c r="P41" s="2911"/>
      <c r="Q41" s="2911"/>
      <c r="R41" s="2911"/>
      <c r="S41" s="2911"/>
      <c r="T41" s="3105">
        <f aca="true" t="shared" si="17" ref="T41:AA41">SUM(T18:T40)</f>
        <v>2303.4959999999996</v>
      </c>
      <c r="U41" s="3106">
        <f t="shared" si="17"/>
        <v>0</v>
      </c>
      <c r="V41" s="3107">
        <f t="shared" si="17"/>
        <v>0</v>
      </c>
      <c r="W41" s="3108">
        <f t="shared" si="17"/>
        <v>0</v>
      </c>
      <c r="X41" s="3109">
        <f t="shared" si="17"/>
        <v>0</v>
      </c>
      <c r="Y41" s="3110">
        <f t="shared" si="17"/>
        <v>0</v>
      </c>
      <c r="Z41" s="3111">
        <f t="shared" si="17"/>
        <v>0</v>
      </c>
      <c r="AA41" s="3112">
        <f t="shared" si="17"/>
        <v>0</v>
      </c>
      <c r="AB41" s="1374"/>
      <c r="AC41" s="3113">
        <f>ROUND(SUM(AC18:AC40),2)</f>
        <v>2303.5</v>
      </c>
      <c r="AD41" s="1391"/>
    </row>
    <row r="42" spans="1:30" s="1375" customFormat="1" ht="17.1" customHeight="1" thickBot="1" thickTop="1">
      <c r="A42" s="1374"/>
      <c r="B42" s="3114"/>
      <c r="C42" s="3115"/>
      <c r="D42" s="3115"/>
      <c r="E42" s="3115"/>
      <c r="F42" s="3115"/>
      <c r="G42" s="3115"/>
      <c r="H42" s="3115"/>
      <c r="I42" s="3115"/>
      <c r="J42" s="3115"/>
      <c r="K42" s="3115"/>
      <c r="L42" s="3115"/>
      <c r="M42" s="3115"/>
      <c r="N42" s="3115"/>
      <c r="O42" s="3115"/>
      <c r="P42" s="3115"/>
      <c r="Q42" s="3115"/>
      <c r="R42" s="3115"/>
      <c r="S42" s="3115"/>
      <c r="T42" s="3115"/>
      <c r="U42" s="3115"/>
      <c r="V42" s="3115"/>
      <c r="W42" s="3115"/>
      <c r="X42" s="3115"/>
      <c r="Y42" s="3115"/>
      <c r="Z42" s="3115"/>
      <c r="AA42" s="3115"/>
      <c r="AB42" s="3115"/>
      <c r="AC42" s="3115"/>
      <c r="AD42" s="3116"/>
    </row>
    <row r="43" spans="1:31" ht="17.1" customHeight="1" thickTop="1">
      <c r="A43" s="3117"/>
      <c r="F43" s="2984"/>
      <c r="G43" s="2984"/>
      <c r="H43" s="2984"/>
      <c r="I43" s="2984"/>
      <c r="J43" s="2984"/>
      <c r="K43" s="2984"/>
      <c r="L43" s="2984"/>
      <c r="M43" s="2984"/>
      <c r="N43" s="2984"/>
      <c r="O43" s="2984"/>
      <c r="P43" s="2984"/>
      <c r="Q43" s="2984"/>
      <c r="R43" s="2984"/>
      <c r="S43" s="2984"/>
      <c r="T43" s="2984"/>
      <c r="U43" s="2984"/>
      <c r="V43" s="2984"/>
      <c r="W43" s="2984"/>
      <c r="X43" s="2984"/>
      <c r="Y43" s="2984"/>
      <c r="Z43" s="2984"/>
      <c r="AA43" s="2984"/>
      <c r="AB43" s="2984"/>
      <c r="AC43" s="2984"/>
      <c r="AD43" s="2984"/>
      <c r="AE43" s="2984"/>
    </row>
    <row r="44" spans="1:31" ht="17.1" customHeight="1">
      <c r="A44" s="3117"/>
      <c r="F44" s="2984"/>
      <c r="G44" s="2984"/>
      <c r="H44" s="2984"/>
      <c r="I44" s="2984"/>
      <c r="J44" s="2984"/>
      <c r="K44" s="2984"/>
      <c r="L44" s="2984"/>
      <c r="M44" s="2984"/>
      <c r="N44" s="2984"/>
      <c r="O44" s="2984"/>
      <c r="P44" s="2984"/>
      <c r="Q44" s="2984"/>
      <c r="R44" s="2984"/>
      <c r="S44" s="2984"/>
      <c r="T44" s="2984"/>
      <c r="U44" s="2984"/>
      <c r="V44" s="2984"/>
      <c r="W44" s="2984"/>
      <c r="X44" s="2984"/>
      <c r="Y44" s="2984"/>
      <c r="Z44" s="2984"/>
      <c r="AA44" s="2984"/>
      <c r="AB44" s="2984"/>
      <c r="AC44" s="2984"/>
      <c r="AD44" s="2984"/>
      <c r="AE44" s="2984"/>
    </row>
    <row r="45" spans="1:31" ht="17.1" customHeight="1">
      <c r="A45" s="3117"/>
      <c r="F45" s="2984"/>
      <c r="G45" s="2984"/>
      <c r="H45" s="2984"/>
      <c r="I45" s="2984"/>
      <c r="J45" s="2984"/>
      <c r="K45" s="2984"/>
      <c r="L45" s="2984"/>
      <c r="M45" s="2984"/>
      <c r="N45" s="2984"/>
      <c r="O45" s="2984"/>
      <c r="P45" s="2984"/>
      <c r="Q45" s="2984"/>
      <c r="R45" s="2984"/>
      <c r="S45" s="2984"/>
      <c r="T45" s="2984"/>
      <c r="U45" s="2984"/>
      <c r="V45" s="2984"/>
      <c r="W45" s="2984"/>
      <c r="X45" s="2984"/>
      <c r="Y45" s="2984"/>
      <c r="Z45" s="2984"/>
      <c r="AA45" s="2984"/>
      <c r="AB45" s="2984"/>
      <c r="AC45" s="2984"/>
      <c r="AD45" s="2984"/>
      <c r="AE45" s="2984"/>
    </row>
    <row r="46" spans="1:31" ht="17.1" customHeight="1">
      <c r="A46" s="3117"/>
      <c r="F46" s="2984"/>
      <c r="G46" s="2984"/>
      <c r="H46" s="2984"/>
      <c r="I46" s="2984"/>
      <c r="J46" s="2984"/>
      <c r="K46" s="2984"/>
      <c r="L46" s="2984"/>
      <c r="M46" s="2984"/>
      <c r="N46" s="2984"/>
      <c r="O46" s="2984"/>
      <c r="P46" s="2984"/>
      <c r="Q46" s="2984"/>
      <c r="R46" s="2984"/>
      <c r="S46" s="2984"/>
      <c r="T46" s="2984"/>
      <c r="U46" s="2984"/>
      <c r="V46" s="2984"/>
      <c r="W46" s="2984"/>
      <c r="X46" s="2984"/>
      <c r="Y46" s="2984"/>
      <c r="Z46" s="2984"/>
      <c r="AA46" s="2984"/>
      <c r="AB46" s="2984"/>
      <c r="AC46" s="2984"/>
      <c r="AD46" s="2984"/>
      <c r="AE46" s="2984"/>
    </row>
    <row r="47" spans="6:31" ht="17.1" customHeight="1">
      <c r="F47" s="2984"/>
      <c r="G47" s="2984"/>
      <c r="H47" s="2984"/>
      <c r="I47" s="2984"/>
      <c r="J47" s="2984"/>
      <c r="K47" s="2984"/>
      <c r="L47" s="2984"/>
      <c r="M47" s="2984"/>
      <c r="N47" s="2984"/>
      <c r="O47" s="2984"/>
      <c r="P47" s="2984"/>
      <c r="Q47" s="2984"/>
      <c r="R47" s="2984"/>
      <c r="S47" s="2984"/>
      <c r="T47" s="2984"/>
      <c r="U47" s="2984"/>
      <c r="V47" s="2984"/>
      <c r="W47" s="2984"/>
      <c r="X47" s="2984"/>
      <c r="Y47" s="2984"/>
      <c r="Z47" s="2984"/>
      <c r="AA47" s="2984"/>
      <c r="AB47" s="2984"/>
      <c r="AC47" s="2984"/>
      <c r="AD47" s="2984"/>
      <c r="AE47" s="2984"/>
    </row>
    <row r="48" spans="6:31" ht="17.1" customHeight="1">
      <c r="F48" s="2984"/>
      <c r="G48" s="2984"/>
      <c r="H48" s="2984"/>
      <c r="I48" s="2984"/>
      <c r="J48" s="2984"/>
      <c r="K48" s="2984"/>
      <c r="L48" s="2984"/>
      <c r="M48" s="2984"/>
      <c r="N48" s="2984"/>
      <c r="O48" s="2984"/>
      <c r="P48" s="2984"/>
      <c r="Q48" s="2984"/>
      <c r="R48" s="2984"/>
      <c r="S48" s="2984"/>
      <c r="T48" s="2984"/>
      <c r="U48" s="2984"/>
      <c r="V48" s="2984"/>
      <c r="W48" s="2984"/>
      <c r="X48" s="2984"/>
      <c r="Y48" s="2984"/>
      <c r="Z48" s="2984"/>
      <c r="AA48" s="2984"/>
      <c r="AB48" s="2984"/>
      <c r="AC48" s="2984"/>
      <c r="AD48" s="2984"/>
      <c r="AE48" s="2984"/>
    </row>
    <row r="49" spans="6:31" ht="17.1" customHeight="1">
      <c r="F49" s="2984"/>
      <c r="G49" s="2984"/>
      <c r="H49" s="2984"/>
      <c r="I49" s="2984"/>
      <c r="J49" s="2984"/>
      <c r="K49" s="2984"/>
      <c r="L49" s="2984"/>
      <c r="M49" s="2984"/>
      <c r="N49" s="2984"/>
      <c r="O49" s="2984"/>
      <c r="P49" s="2984"/>
      <c r="Q49" s="2984"/>
      <c r="R49" s="2984"/>
      <c r="S49" s="2984"/>
      <c r="T49" s="2984"/>
      <c r="U49" s="2984"/>
      <c r="V49" s="2984"/>
      <c r="W49" s="2984"/>
      <c r="X49" s="2984"/>
      <c r="Y49" s="2984"/>
      <c r="Z49" s="2984"/>
      <c r="AA49" s="2984"/>
      <c r="AB49" s="2984"/>
      <c r="AC49" s="2984"/>
      <c r="AD49" s="2984"/>
      <c r="AE49" s="2984"/>
    </row>
    <row r="50" spans="6:31" ht="17.1" customHeight="1">
      <c r="F50" s="2984"/>
      <c r="G50" s="2984"/>
      <c r="H50" s="2984"/>
      <c r="I50" s="2984"/>
      <c r="J50" s="2984"/>
      <c r="K50" s="2984"/>
      <c r="L50" s="2984"/>
      <c r="M50" s="2984"/>
      <c r="N50" s="2984"/>
      <c r="O50" s="2984"/>
      <c r="P50" s="2984"/>
      <c r="Q50" s="2984"/>
      <c r="R50" s="2984"/>
      <c r="S50" s="2984"/>
      <c r="T50" s="2984"/>
      <c r="U50" s="2984"/>
      <c r="V50" s="2984"/>
      <c r="W50" s="2984"/>
      <c r="X50" s="2984"/>
      <c r="Y50" s="2984"/>
      <c r="Z50" s="2984"/>
      <c r="AA50" s="2984"/>
      <c r="AB50" s="2984"/>
      <c r="AC50" s="2984"/>
      <c r="AD50" s="2984"/>
      <c r="AE50" s="2984"/>
    </row>
    <row r="51" spans="6:31" ht="17.1" customHeight="1">
      <c r="F51" s="2984"/>
      <c r="G51" s="2984"/>
      <c r="H51" s="2984"/>
      <c r="I51" s="2984"/>
      <c r="J51" s="2984"/>
      <c r="K51" s="2984"/>
      <c r="L51" s="2984"/>
      <c r="M51" s="2984"/>
      <c r="N51" s="2984"/>
      <c r="O51" s="2984"/>
      <c r="P51" s="2984"/>
      <c r="Q51" s="2984"/>
      <c r="R51" s="2984"/>
      <c r="S51" s="2984"/>
      <c r="T51" s="2984"/>
      <c r="U51" s="2984"/>
      <c r="V51" s="2984"/>
      <c r="W51" s="2984"/>
      <c r="X51" s="2984"/>
      <c r="Y51" s="2984"/>
      <c r="Z51" s="2984"/>
      <c r="AA51" s="2984"/>
      <c r="AB51" s="2984"/>
      <c r="AC51" s="2984"/>
      <c r="AD51" s="2984"/>
      <c r="AE51" s="2984"/>
    </row>
    <row r="52" spans="6:31" ht="17.1" customHeight="1">
      <c r="F52" s="2984"/>
      <c r="G52" s="2984"/>
      <c r="H52" s="2984"/>
      <c r="I52" s="2984"/>
      <c r="J52" s="2984"/>
      <c r="K52" s="2984"/>
      <c r="L52" s="2984"/>
      <c r="M52" s="2984"/>
      <c r="N52" s="2984"/>
      <c r="O52" s="2984"/>
      <c r="P52" s="2984"/>
      <c r="Q52" s="2984"/>
      <c r="R52" s="2984"/>
      <c r="S52" s="2984"/>
      <c r="T52" s="2984"/>
      <c r="U52" s="2984"/>
      <c r="V52" s="2984"/>
      <c r="W52" s="2984"/>
      <c r="X52" s="2984"/>
      <c r="Y52" s="2984"/>
      <c r="Z52" s="2984"/>
      <c r="AA52" s="2984"/>
      <c r="AB52" s="2984"/>
      <c r="AC52" s="2984"/>
      <c r="AD52" s="2984"/>
      <c r="AE52" s="2984"/>
    </row>
    <row r="53" spans="6:31" ht="17.1" customHeight="1">
      <c r="F53" s="2984"/>
      <c r="G53" s="2984"/>
      <c r="H53" s="2984"/>
      <c r="I53" s="2984"/>
      <c r="J53" s="2984"/>
      <c r="K53" s="2984"/>
      <c r="L53" s="2984"/>
      <c r="M53" s="2984"/>
      <c r="N53" s="2984"/>
      <c r="O53" s="2984"/>
      <c r="P53" s="2984"/>
      <c r="Q53" s="2984"/>
      <c r="R53" s="2984"/>
      <c r="S53" s="2984"/>
      <c r="T53" s="2984"/>
      <c r="U53" s="2984"/>
      <c r="V53" s="2984"/>
      <c r="W53" s="2984"/>
      <c r="X53" s="2984"/>
      <c r="Y53" s="2984"/>
      <c r="Z53" s="2984"/>
      <c r="AA53" s="2984"/>
      <c r="AB53" s="2984"/>
      <c r="AC53" s="2984"/>
      <c r="AD53" s="2984"/>
      <c r="AE53" s="2984"/>
    </row>
    <row r="54" spans="6:31" ht="17.1" customHeight="1">
      <c r="F54" s="2984"/>
      <c r="G54" s="2984"/>
      <c r="H54" s="2984"/>
      <c r="I54" s="2984"/>
      <c r="J54" s="2984"/>
      <c r="K54" s="2984"/>
      <c r="L54" s="2984"/>
      <c r="M54" s="2984"/>
      <c r="N54" s="2984"/>
      <c r="O54" s="2984"/>
      <c r="P54" s="2984"/>
      <c r="Q54" s="2984"/>
      <c r="R54" s="2984"/>
      <c r="S54" s="2984"/>
      <c r="T54" s="2984"/>
      <c r="U54" s="2984"/>
      <c r="V54" s="2984"/>
      <c r="W54" s="2984"/>
      <c r="X54" s="2984"/>
      <c r="Y54" s="2984"/>
      <c r="Z54" s="2984"/>
      <c r="AA54" s="2984"/>
      <c r="AB54" s="2984"/>
      <c r="AC54" s="2984"/>
      <c r="AD54" s="2984"/>
      <c r="AE54" s="2984"/>
    </row>
    <row r="55" spans="6:31" ht="17.1" customHeight="1">
      <c r="F55" s="2984"/>
      <c r="G55" s="2984"/>
      <c r="H55" s="2984"/>
      <c r="I55" s="2984"/>
      <c r="J55" s="2984"/>
      <c r="K55" s="2984"/>
      <c r="L55" s="2984"/>
      <c r="M55" s="2984"/>
      <c r="N55" s="2984"/>
      <c r="O55" s="2984"/>
      <c r="P55" s="2984"/>
      <c r="Q55" s="2984"/>
      <c r="R55" s="2984"/>
      <c r="S55" s="2984"/>
      <c r="T55" s="2984"/>
      <c r="U55" s="2984"/>
      <c r="V55" s="2984"/>
      <c r="W55" s="2984"/>
      <c r="X55" s="2984"/>
      <c r="Y55" s="2984"/>
      <c r="Z55" s="2984"/>
      <c r="AA55" s="2984"/>
      <c r="AB55" s="2984"/>
      <c r="AC55" s="2984"/>
      <c r="AD55" s="2984"/>
      <c r="AE55" s="2984"/>
    </row>
    <row r="56" spans="6:31" ht="17.1" customHeight="1">
      <c r="F56" s="2984"/>
      <c r="G56" s="2984"/>
      <c r="H56" s="2984"/>
      <c r="I56" s="2984"/>
      <c r="J56" s="2984"/>
      <c r="K56" s="2984"/>
      <c r="L56" s="2984"/>
      <c r="M56" s="2984"/>
      <c r="N56" s="2984"/>
      <c r="O56" s="2984"/>
      <c r="P56" s="2984"/>
      <c r="Q56" s="2984"/>
      <c r="R56" s="2984"/>
      <c r="S56" s="2984"/>
      <c r="T56" s="2984"/>
      <c r="U56" s="2984"/>
      <c r="V56" s="2984"/>
      <c r="W56" s="2984"/>
      <c r="X56" s="2984"/>
      <c r="Y56" s="2984"/>
      <c r="Z56" s="2984"/>
      <c r="AA56" s="2984"/>
      <c r="AB56" s="2984"/>
      <c r="AC56" s="2984"/>
      <c r="AD56" s="2984"/>
      <c r="AE56" s="2984"/>
    </row>
    <row r="57" spans="6:31" ht="17.1" customHeight="1">
      <c r="F57" s="2984"/>
      <c r="G57" s="2984"/>
      <c r="H57" s="2984"/>
      <c r="I57" s="2984"/>
      <c r="J57" s="2984"/>
      <c r="K57" s="2984"/>
      <c r="L57" s="2984"/>
      <c r="M57" s="2984"/>
      <c r="N57" s="2984"/>
      <c r="O57" s="2984"/>
      <c r="P57" s="2984"/>
      <c r="Q57" s="2984"/>
      <c r="R57" s="2984"/>
      <c r="S57" s="2984"/>
      <c r="T57" s="2984"/>
      <c r="U57" s="2984"/>
      <c r="V57" s="2984"/>
      <c r="W57" s="2984"/>
      <c r="X57" s="2984"/>
      <c r="Y57" s="2984"/>
      <c r="Z57" s="2984"/>
      <c r="AA57" s="2984"/>
      <c r="AB57" s="2984"/>
      <c r="AC57" s="2984"/>
      <c r="AD57" s="2984"/>
      <c r="AE57" s="2984"/>
    </row>
    <row r="58" spans="6:31" ht="17.1" customHeight="1">
      <c r="F58" s="2984"/>
      <c r="G58" s="2984"/>
      <c r="H58" s="2984"/>
      <c r="I58" s="2984"/>
      <c r="J58" s="2984"/>
      <c r="K58" s="2984"/>
      <c r="L58" s="2984"/>
      <c r="M58" s="2984"/>
      <c r="N58" s="2984"/>
      <c r="O58" s="2984"/>
      <c r="P58" s="2984"/>
      <c r="Q58" s="2984"/>
      <c r="R58" s="2984"/>
      <c r="S58" s="2984"/>
      <c r="T58" s="2984"/>
      <c r="U58" s="2984"/>
      <c r="V58" s="2984"/>
      <c r="W58" s="2984"/>
      <c r="X58" s="2984"/>
      <c r="Y58" s="2984"/>
      <c r="Z58" s="2984"/>
      <c r="AA58" s="2984"/>
      <c r="AB58" s="2984"/>
      <c r="AC58" s="2984"/>
      <c r="AD58" s="2984"/>
      <c r="AE58" s="2984"/>
    </row>
    <row r="59" spans="6:31" ht="17.1" customHeight="1">
      <c r="F59" s="2984"/>
      <c r="G59" s="2984"/>
      <c r="H59" s="2984"/>
      <c r="I59" s="2984"/>
      <c r="J59" s="2984"/>
      <c r="K59" s="2984"/>
      <c r="L59" s="2984"/>
      <c r="M59" s="2984"/>
      <c r="N59" s="2984"/>
      <c r="O59" s="2984"/>
      <c r="P59" s="2984"/>
      <c r="Q59" s="2984"/>
      <c r="R59" s="2984"/>
      <c r="S59" s="2984"/>
      <c r="T59" s="2984"/>
      <c r="U59" s="2984"/>
      <c r="V59" s="2984"/>
      <c r="W59" s="2984"/>
      <c r="X59" s="2984"/>
      <c r="Y59" s="2984"/>
      <c r="Z59" s="2984"/>
      <c r="AA59" s="2984"/>
      <c r="AB59" s="2984"/>
      <c r="AC59" s="2984"/>
      <c r="AD59" s="2984"/>
      <c r="AE59" s="2984"/>
    </row>
    <row r="60" spans="6:31" ht="17.1" customHeight="1">
      <c r="F60" s="2984"/>
      <c r="G60" s="2984"/>
      <c r="H60" s="2984"/>
      <c r="I60" s="2984"/>
      <c r="J60" s="2984"/>
      <c r="K60" s="2984"/>
      <c r="L60" s="2984"/>
      <c r="M60" s="2984"/>
      <c r="N60" s="2984"/>
      <c r="O60" s="2984"/>
      <c r="P60" s="2984"/>
      <c r="Q60" s="2984"/>
      <c r="R60" s="2984"/>
      <c r="S60" s="2984"/>
      <c r="T60" s="2984"/>
      <c r="U60" s="2984"/>
      <c r="V60" s="2984"/>
      <c r="W60" s="2984"/>
      <c r="X60" s="2984"/>
      <c r="Y60" s="2984"/>
      <c r="Z60" s="2984"/>
      <c r="AA60" s="2984"/>
      <c r="AB60" s="2984"/>
      <c r="AC60" s="2984"/>
      <c r="AD60" s="2984"/>
      <c r="AE60" s="2984"/>
    </row>
    <row r="61" spans="6:31" ht="17.1" customHeight="1">
      <c r="F61" s="2984"/>
      <c r="G61" s="2984"/>
      <c r="H61" s="2984"/>
      <c r="I61" s="2984"/>
      <c r="J61" s="2984"/>
      <c r="K61" s="2984"/>
      <c r="L61" s="2984"/>
      <c r="M61" s="2984"/>
      <c r="N61" s="2984"/>
      <c r="O61" s="2984"/>
      <c r="P61" s="2984"/>
      <c r="Q61" s="2984"/>
      <c r="R61" s="2984"/>
      <c r="S61" s="2984"/>
      <c r="T61" s="2984"/>
      <c r="U61" s="2984"/>
      <c r="V61" s="2984"/>
      <c r="W61" s="2984"/>
      <c r="X61" s="2984"/>
      <c r="Y61" s="2984"/>
      <c r="Z61" s="2984"/>
      <c r="AA61" s="2984"/>
      <c r="AB61" s="2984"/>
      <c r="AC61" s="2984"/>
      <c r="AD61" s="2984"/>
      <c r="AE61" s="2984"/>
    </row>
    <row r="62" spans="6:31" ht="17.1" customHeight="1">
      <c r="F62" s="2984"/>
      <c r="G62" s="2984"/>
      <c r="H62" s="2984"/>
      <c r="I62" s="2984"/>
      <c r="J62" s="2984"/>
      <c r="K62" s="2984"/>
      <c r="L62" s="2984"/>
      <c r="M62" s="2984"/>
      <c r="N62" s="2984"/>
      <c r="O62" s="2984"/>
      <c r="P62" s="2984"/>
      <c r="Q62" s="2984"/>
      <c r="R62" s="2984"/>
      <c r="S62" s="2984"/>
      <c r="T62" s="2984"/>
      <c r="U62" s="2984"/>
      <c r="V62" s="2984"/>
      <c r="W62" s="2984"/>
      <c r="X62" s="2984"/>
      <c r="Y62" s="2984"/>
      <c r="Z62" s="2984"/>
      <c r="AA62" s="2984"/>
      <c r="AB62" s="2984"/>
      <c r="AC62" s="2984"/>
      <c r="AD62" s="2984"/>
      <c r="AE62" s="2984"/>
    </row>
    <row r="63" spans="6:31" ht="17.1" customHeight="1">
      <c r="F63" s="2984"/>
      <c r="G63" s="2984"/>
      <c r="H63" s="2984"/>
      <c r="I63" s="2984"/>
      <c r="J63" s="2984"/>
      <c r="K63" s="2984"/>
      <c r="L63" s="2984"/>
      <c r="M63" s="2984"/>
      <c r="N63" s="2984"/>
      <c r="O63" s="2984"/>
      <c r="P63" s="2984"/>
      <c r="Q63" s="2984"/>
      <c r="R63" s="2984"/>
      <c r="S63" s="2984"/>
      <c r="T63" s="2984"/>
      <c r="U63" s="2984"/>
      <c r="V63" s="2984"/>
      <c r="W63" s="2984"/>
      <c r="X63" s="2984"/>
      <c r="Y63" s="2984"/>
      <c r="Z63" s="2984"/>
      <c r="AA63" s="2984"/>
      <c r="AB63" s="2984"/>
      <c r="AC63" s="2984"/>
      <c r="AD63" s="2984"/>
      <c r="AE63" s="2984"/>
    </row>
    <row r="64" spans="6:31" ht="17.1" customHeight="1">
      <c r="F64" s="2984"/>
      <c r="G64" s="2984"/>
      <c r="H64" s="2984"/>
      <c r="I64" s="2984"/>
      <c r="J64" s="2984"/>
      <c r="K64" s="2984"/>
      <c r="L64" s="2984"/>
      <c r="M64" s="2984"/>
      <c r="N64" s="2984"/>
      <c r="O64" s="2984"/>
      <c r="P64" s="2984"/>
      <c r="Q64" s="2984"/>
      <c r="R64" s="2984"/>
      <c r="S64" s="2984"/>
      <c r="T64" s="2984"/>
      <c r="U64" s="2984"/>
      <c r="V64" s="2984"/>
      <c r="W64" s="2984"/>
      <c r="X64" s="2984"/>
      <c r="Y64" s="2984"/>
      <c r="Z64" s="2984"/>
      <c r="AA64" s="2984"/>
      <c r="AB64" s="2984"/>
      <c r="AC64" s="2984"/>
      <c r="AD64" s="2984"/>
      <c r="AE64" s="2984"/>
    </row>
    <row r="65" spans="6:31" ht="17.1" customHeight="1">
      <c r="F65" s="2984"/>
      <c r="G65" s="2984"/>
      <c r="H65" s="2984"/>
      <c r="I65" s="2984"/>
      <c r="J65" s="2984"/>
      <c r="K65" s="2984"/>
      <c r="L65" s="2984"/>
      <c r="M65" s="2984"/>
      <c r="N65" s="2984"/>
      <c r="O65" s="2984"/>
      <c r="P65" s="2984"/>
      <c r="Q65" s="2984"/>
      <c r="R65" s="2984"/>
      <c r="S65" s="2984"/>
      <c r="T65" s="2984"/>
      <c r="U65" s="2984"/>
      <c r="V65" s="2984"/>
      <c r="W65" s="2984"/>
      <c r="X65" s="2984"/>
      <c r="Y65" s="2984"/>
      <c r="Z65" s="2984"/>
      <c r="AA65" s="2984"/>
      <c r="AB65" s="2984"/>
      <c r="AC65" s="2984"/>
      <c r="AD65" s="2984"/>
      <c r="AE65" s="2984"/>
    </row>
    <row r="66" spans="6:31" ht="17.1" customHeight="1">
      <c r="F66" s="2984"/>
      <c r="G66" s="2984"/>
      <c r="H66" s="2984"/>
      <c r="I66" s="2984"/>
      <c r="J66" s="2984"/>
      <c r="K66" s="2984"/>
      <c r="L66" s="2984"/>
      <c r="M66" s="2984"/>
      <c r="N66" s="2984"/>
      <c r="O66" s="2984"/>
      <c r="P66" s="2984"/>
      <c r="Q66" s="2984"/>
      <c r="R66" s="2984"/>
      <c r="S66" s="2984"/>
      <c r="T66" s="2984"/>
      <c r="U66" s="2984"/>
      <c r="V66" s="2984"/>
      <c r="W66" s="2984"/>
      <c r="X66" s="2984"/>
      <c r="Y66" s="2984"/>
      <c r="Z66" s="2984"/>
      <c r="AA66" s="2984"/>
      <c r="AB66" s="2984"/>
      <c r="AC66" s="2984"/>
      <c r="AD66" s="2984"/>
      <c r="AE66" s="2984"/>
    </row>
    <row r="67" spans="6:31" ht="17.1" customHeight="1">
      <c r="F67" s="2984"/>
      <c r="G67" s="2984"/>
      <c r="H67" s="2984"/>
      <c r="I67" s="2984"/>
      <c r="J67" s="2984"/>
      <c r="K67" s="2984"/>
      <c r="L67" s="2984"/>
      <c r="M67" s="2984"/>
      <c r="N67" s="2984"/>
      <c r="O67" s="2984"/>
      <c r="P67" s="2984"/>
      <c r="Q67" s="2984"/>
      <c r="R67" s="2984"/>
      <c r="S67" s="2984"/>
      <c r="T67" s="2984"/>
      <c r="U67" s="2984"/>
      <c r="V67" s="2984"/>
      <c r="W67" s="2984"/>
      <c r="X67" s="2984"/>
      <c r="Y67" s="2984"/>
      <c r="Z67" s="2984"/>
      <c r="AA67" s="2984"/>
      <c r="AB67" s="2984"/>
      <c r="AC67" s="2984"/>
      <c r="AD67" s="2984"/>
      <c r="AE67" s="2984"/>
    </row>
    <row r="68" spans="6:31" ht="17.1" customHeight="1">
      <c r="F68" s="2984"/>
      <c r="G68" s="2984"/>
      <c r="H68" s="2984"/>
      <c r="I68" s="2984"/>
      <c r="J68" s="2984"/>
      <c r="K68" s="2984"/>
      <c r="L68" s="2984"/>
      <c r="M68" s="2984"/>
      <c r="N68" s="2984"/>
      <c r="O68" s="2984"/>
      <c r="P68" s="2984"/>
      <c r="Q68" s="2984"/>
      <c r="R68" s="2984"/>
      <c r="S68" s="2984"/>
      <c r="T68" s="2984"/>
      <c r="U68" s="2984"/>
      <c r="V68" s="2984"/>
      <c r="W68" s="2984"/>
      <c r="X68" s="2984"/>
      <c r="Y68" s="2984"/>
      <c r="Z68" s="2984"/>
      <c r="AA68" s="2984"/>
      <c r="AB68" s="2984"/>
      <c r="AC68" s="2984"/>
      <c r="AD68" s="2984"/>
      <c r="AE68" s="2984"/>
    </row>
    <row r="69" spans="6:31" ht="17.1" customHeight="1">
      <c r="F69" s="2984"/>
      <c r="G69" s="2984"/>
      <c r="H69" s="2984"/>
      <c r="I69" s="2984"/>
      <c r="J69" s="2984"/>
      <c r="K69" s="2984"/>
      <c r="L69" s="2984"/>
      <c r="M69" s="2984"/>
      <c r="N69" s="2984"/>
      <c r="O69" s="2984"/>
      <c r="P69" s="2984"/>
      <c r="Q69" s="2984"/>
      <c r="R69" s="2984"/>
      <c r="S69" s="2984"/>
      <c r="T69" s="2984"/>
      <c r="U69" s="2984"/>
      <c r="V69" s="2984"/>
      <c r="W69" s="2984"/>
      <c r="X69" s="2984"/>
      <c r="Y69" s="2984"/>
      <c r="Z69" s="2984"/>
      <c r="AA69" s="2984"/>
      <c r="AB69" s="2984"/>
      <c r="AC69" s="2984"/>
      <c r="AD69" s="2984"/>
      <c r="AE69" s="2984"/>
    </row>
    <row r="70" spans="6:31" ht="17.1" customHeight="1">
      <c r="F70" s="2984"/>
      <c r="G70" s="2984"/>
      <c r="H70" s="2984"/>
      <c r="I70" s="2984"/>
      <c r="J70" s="2984"/>
      <c r="K70" s="2984"/>
      <c r="L70" s="2984"/>
      <c r="M70" s="2984"/>
      <c r="N70" s="2984"/>
      <c r="O70" s="2984"/>
      <c r="P70" s="2984"/>
      <c r="Q70" s="2984"/>
      <c r="R70" s="2984"/>
      <c r="S70" s="2984"/>
      <c r="T70" s="2984"/>
      <c r="U70" s="2984"/>
      <c r="V70" s="2984"/>
      <c r="W70" s="2984"/>
      <c r="X70" s="2984"/>
      <c r="Y70" s="2984"/>
      <c r="Z70" s="2984"/>
      <c r="AA70" s="2984"/>
      <c r="AB70" s="2984"/>
      <c r="AC70" s="2984"/>
      <c r="AD70" s="2984"/>
      <c r="AE70" s="2984"/>
    </row>
    <row r="71" spans="6:31" ht="17.1" customHeight="1">
      <c r="F71" s="2984"/>
      <c r="G71" s="2984"/>
      <c r="H71" s="2984"/>
      <c r="I71" s="2984"/>
      <c r="J71" s="2984"/>
      <c r="K71" s="2984"/>
      <c r="L71" s="2984"/>
      <c r="M71" s="2984"/>
      <c r="N71" s="2984"/>
      <c r="O71" s="2984"/>
      <c r="P71" s="2984"/>
      <c r="Q71" s="2984"/>
      <c r="R71" s="2984"/>
      <c r="S71" s="2984"/>
      <c r="T71" s="2984"/>
      <c r="U71" s="2984"/>
      <c r="V71" s="2984"/>
      <c r="W71" s="2984"/>
      <c r="X71" s="2984"/>
      <c r="Y71" s="2984"/>
      <c r="Z71" s="2984"/>
      <c r="AA71" s="2984"/>
      <c r="AB71" s="2984"/>
      <c r="AC71" s="2984"/>
      <c r="AD71" s="2984"/>
      <c r="AE71" s="2984"/>
    </row>
    <row r="72" spans="6:31" ht="17.1" customHeight="1">
      <c r="F72" s="2984"/>
      <c r="G72" s="2984"/>
      <c r="H72" s="2984"/>
      <c r="I72" s="2984"/>
      <c r="J72" s="2984"/>
      <c r="K72" s="2984"/>
      <c r="L72" s="2984"/>
      <c r="M72" s="2984"/>
      <c r="N72" s="2984"/>
      <c r="O72" s="2984"/>
      <c r="P72" s="2984"/>
      <c r="Q72" s="2984"/>
      <c r="R72" s="2984"/>
      <c r="S72" s="2984"/>
      <c r="T72" s="2984"/>
      <c r="U72" s="2984"/>
      <c r="V72" s="2984"/>
      <c r="W72" s="2984"/>
      <c r="X72" s="2984"/>
      <c r="Y72" s="2984"/>
      <c r="Z72" s="2984"/>
      <c r="AA72" s="2984"/>
      <c r="AB72" s="2984"/>
      <c r="AC72" s="2984"/>
      <c r="AD72" s="2984"/>
      <c r="AE72" s="2984"/>
    </row>
    <row r="73" spans="6:31" ht="17.1" customHeight="1">
      <c r="F73" s="2984"/>
      <c r="G73" s="2984"/>
      <c r="H73" s="2984"/>
      <c r="I73" s="2984"/>
      <c r="J73" s="2984"/>
      <c r="K73" s="2984"/>
      <c r="L73" s="2984"/>
      <c r="M73" s="2984"/>
      <c r="N73" s="2984"/>
      <c r="O73" s="2984"/>
      <c r="P73" s="2984"/>
      <c r="Q73" s="2984"/>
      <c r="R73" s="2984"/>
      <c r="S73" s="2984"/>
      <c r="T73" s="2984"/>
      <c r="U73" s="2984"/>
      <c r="V73" s="2984"/>
      <c r="W73" s="2984"/>
      <c r="X73" s="2984"/>
      <c r="Y73" s="2984"/>
      <c r="Z73" s="2984"/>
      <c r="AA73" s="2984"/>
      <c r="AB73" s="2984"/>
      <c r="AC73" s="2984"/>
      <c r="AD73" s="2984"/>
      <c r="AE73" s="2984"/>
    </row>
    <row r="74" spans="6:31" ht="17.1" customHeight="1">
      <c r="F74" s="2984"/>
      <c r="G74" s="2984"/>
      <c r="H74" s="2984"/>
      <c r="I74" s="2984"/>
      <c r="J74" s="2984"/>
      <c r="K74" s="2984"/>
      <c r="L74" s="2984"/>
      <c r="M74" s="2984"/>
      <c r="N74" s="2984"/>
      <c r="O74" s="2984"/>
      <c r="P74" s="2984"/>
      <c r="Q74" s="2984"/>
      <c r="R74" s="2984"/>
      <c r="S74" s="2984"/>
      <c r="T74" s="2984"/>
      <c r="U74" s="2984"/>
      <c r="V74" s="2984"/>
      <c r="W74" s="2984"/>
      <c r="X74" s="2984"/>
      <c r="Y74" s="2984"/>
      <c r="Z74" s="2984"/>
      <c r="AA74" s="2984"/>
      <c r="AB74" s="2984"/>
      <c r="AC74" s="2984"/>
      <c r="AD74" s="2984"/>
      <c r="AE74" s="2984"/>
    </row>
    <row r="75" spans="6:31" ht="17.1" customHeight="1">
      <c r="F75" s="2984"/>
      <c r="G75" s="2984"/>
      <c r="H75" s="2984"/>
      <c r="I75" s="2984"/>
      <c r="J75" s="2984"/>
      <c r="K75" s="2984"/>
      <c r="L75" s="2984"/>
      <c r="M75" s="2984"/>
      <c r="N75" s="2984"/>
      <c r="O75" s="2984"/>
      <c r="P75" s="2984"/>
      <c r="Q75" s="2984"/>
      <c r="R75" s="2984"/>
      <c r="S75" s="2984"/>
      <c r="T75" s="2984"/>
      <c r="U75" s="2984"/>
      <c r="V75" s="2984"/>
      <c r="W75" s="2984"/>
      <c r="X75" s="2984"/>
      <c r="Y75" s="2984"/>
      <c r="Z75" s="2984"/>
      <c r="AA75" s="2984"/>
      <c r="AB75" s="2984"/>
      <c r="AC75" s="2984"/>
      <c r="AD75" s="2984"/>
      <c r="AE75" s="2984"/>
    </row>
    <row r="76" spans="6:31" ht="17.1" customHeight="1">
      <c r="F76" s="2984"/>
      <c r="G76" s="2984"/>
      <c r="H76" s="2984"/>
      <c r="I76" s="2984"/>
      <c r="J76" s="2984"/>
      <c r="K76" s="2984"/>
      <c r="L76" s="2984"/>
      <c r="M76" s="2984"/>
      <c r="N76" s="2984"/>
      <c r="O76" s="2984"/>
      <c r="P76" s="2984"/>
      <c r="Q76" s="2984"/>
      <c r="R76" s="2984"/>
      <c r="S76" s="2984"/>
      <c r="T76" s="2984"/>
      <c r="U76" s="2984"/>
      <c r="V76" s="2984"/>
      <c r="W76" s="2984"/>
      <c r="X76" s="2984"/>
      <c r="Y76" s="2984"/>
      <c r="Z76" s="2984"/>
      <c r="AA76" s="2984"/>
      <c r="AB76" s="2984"/>
      <c r="AC76" s="2984"/>
      <c r="AD76" s="2984"/>
      <c r="AE76" s="2984"/>
    </row>
    <row r="77" spans="6:31" ht="17.1" customHeight="1">
      <c r="F77" s="2984"/>
      <c r="G77" s="2984"/>
      <c r="H77" s="2984"/>
      <c r="I77" s="2984"/>
      <c r="J77" s="2984"/>
      <c r="K77" s="2984"/>
      <c r="L77" s="2984"/>
      <c r="M77" s="2984"/>
      <c r="N77" s="2984"/>
      <c r="O77" s="2984"/>
      <c r="P77" s="2984"/>
      <c r="Q77" s="2984"/>
      <c r="R77" s="2984"/>
      <c r="S77" s="2984"/>
      <c r="T77" s="2984"/>
      <c r="U77" s="2984"/>
      <c r="V77" s="2984"/>
      <c r="W77" s="2984"/>
      <c r="X77" s="2984"/>
      <c r="Y77" s="2984"/>
      <c r="Z77" s="2984"/>
      <c r="AA77" s="2984"/>
      <c r="AB77" s="2984"/>
      <c r="AC77" s="2984"/>
      <c r="AD77" s="2984"/>
      <c r="AE77" s="2984"/>
    </row>
    <row r="78" spans="6:31" ht="17.1" customHeight="1">
      <c r="F78" s="2984"/>
      <c r="G78" s="2984"/>
      <c r="H78" s="2984"/>
      <c r="I78" s="2984"/>
      <c r="J78" s="2984"/>
      <c r="K78" s="2984"/>
      <c r="L78" s="2984"/>
      <c r="M78" s="2984"/>
      <c r="N78" s="2984"/>
      <c r="O78" s="2984"/>
      <c r="P78" s="2984"/>
      <c r="Q78" s="2984"/>
      <c r="R78" s="2984"/>
      <c r="S78" s="2984"/>
      <c r="T78" s="2984"/>
      <c r="U78" s="2984"/>
      <c r="V78" s="2984"/>
      <c r="W78" s="2984"/>
      <c r="X78" s="2984"/>
      <c r="Y78" s="2984"/>
      <c r="Z78" s="2984"/>
      <c r="AA78" s="2984"/>
      <c r="AB78" s="2984"/>
      <c r="AC78" s="2984"/>
      <c r="AD78" s="2984"/>
      <c r="AE78" s="2984"/>
    </row>
    <row r="79" spans="6:31" ht="17.1" customHeight="1">
      <c r="F79" s="2984"/>
      <c r="G79" s="2984"/>
      <c r="H79" s="2984"/>
      <c r="I79" s="2984"/>
      <c r="J79" s="2984"/>
      <c r="K79" s="2984"/>
      <c r="L79" s="2984"/>
      <c r="M79" s="2984"/>
      <c r="N79" s="2984"/>
      <c r="O79" s="2984"/>
      <c r="P79" s="2984"/>
      <c r="Q79" s="2984"/>
      <c r="R79" s="2984"/>
      <c r="S79" s="2984"/>
      <c r="T79" s="2984"/>
      <c r="U79" s="2984"/>
      <c r="V79" s="2984"/>
      <c r="W79" s="2984"/>
      <c r="X79" s="2984"/>
      <c r="Y79" s="2984"/>
      <c r="Z79" s="2984"/>
      <c r="AA79" s="2984"/>
      <c r="AB79" s="2984"/>
      <c r="AC79" s="2984"/>
      <c r="AD79" s="2984"/>
      <c r="AE79" s="2984"/>
    </row>
    <row r="80" spans="6:31" ht="17.1" customHeight="1">
      <c r="F80" s="2984"/>
      <c r="G80" s="2984"/>
      <c r="H80" s="2984"/>
      <c r="I80" s="2984"/>
      <c r="J80" s="2984"/>
      <c r="K80" s="2984"/>
      <c r="L80" s="2984"/>
      <c r="M80" s="2984"/>
      <c r="N80" s="2984"/>
      <c r="O80" s="2984"/>
      <c r="P80" s="2984"/>
      <c r="Q80" s="2984"/>
      <c r="R80" s="2984"/>
      <c r="S80" s="2984"/>
      <c r="T80" s="2984"/>
      <c r="U80" s="2984"/>
      <c r="V80" s="2984"/>
      <c r="W80" s="2984"/>
      <c r="X80" s="2984"/>
      <c r="Y80" s="2984"/>
      <c r="Z80" s="2984"/>
      <c r="AA80" s="2984"/>
      <c r="AB80" s="2984"/>
      <c r="AC80" s="2984"/>
      <c r="AD80" s="2984"/>
      <c r="AE80" s="2984"/>
    </row>
    <row r="81" spans="6:31" ht="17.1" customHeight="1">
      <c r="F81" s="2984"/>
      <c r="G81" s="2984"/>
      <c r="H81" s="2984"/>
      <c r="I81" s="2984"/>
      <c r="J81" s="2984"/>
      <c r="K81" s="2984"/>
      <c r="L81" s="2984"/>
      <c r="M81" s="2984"/>
      <c r="N81" s="2984"/>
      <c r="O81" s="2984"/>
      <c r="P81" s="2984"/>
      <c r="Q81" s="2984"/>
      <c r="R81" s="2984"/>
      <c r="S81" s="2984"/>
      <c r="T81" s="2984"/>
      <c r="U81" s="2984"/>
      <c r="V81" s="2984"/>
      <c r="W81" s="2984"/>
      <c r="X81" s="2984"/>
      <c r="Y81" s="2984"/>
      <c r="Z81" s="2984"/>
      <c r="AA81" s="2984"/>
      <c r="AB81" s="2984"/>
      <c r="AC81" s="2984"/>
      <c r="AD81" s="2984"/>
      <c r="AE81" s="2984"/>
    </row>
    <row r="82" spans="6:31" ht="17.1" customHeight="1">
      <c r="F82" s="2984"/>
      <c r="G82" s="2984"/>
      <c r="H82" s="2984"/>
      <c r="I82" s="2984"/>
      <c r="J82" s="2984"/>
      <c r="K82" s="2984"/>
      <c r="L82" s="2984"/>
      <c r="M82" s="2984"/>
      <c r="N82" s="2984"/>
      <c r="O82" s="2984"/>
      <c r="P82" s="2984"/>
      <c r="Q82" s="2984"/>
      <c r="R82" s="2984"/>
      <c r="S82" s="2984"/>
      <c r="T82" s="2984"/>
      <c r="U82" s="2984"/>
      <c r="V82" s="2984"/>
      <c r="W82" s="2984"/>
      <c r="X82" s="2984"/>
      <c r="Y82" s="2984"/>
      <c r="Z82" s="2984"/>
      <c r="AA82" s="2984"/>
      <c r="AB82" s="2984"/>
      <c r="AC82" s="2984"/>
      <c r="AD82" s="2984"/>
      <c r="AE82" s="2984"/>
    </row>
    <row r="83" spans="6:31" ht="17.1" customHeight="1">
      <c r="F83" s="2984"/>
      <c r="G83" s="2984"/>
      <c r="H83" s="2984"/>
      <c r="I83" s="2984"/>
      <c r="J83" s="2984"/>
      <c r="K83" s="2984"/>
      <c r="L83" s="2984"/>
      <c r="M83" s="2984"/>
      <c r="N83" s="2984"/>
      <c r="O83" s="2984"/>
      <c r="P83" s="2984"/>
      <c r="Q83" s="2984"/>
      <c r="R83" s="2984"/>
      <c r="S83" s="2984"/>
      <c r="T83" s="2984"/>
      <c r="U83" s="2984"/>
      <c r="V83" s="2984"/>
      <c r="W83" s="2984"/>
      <c r="X83" s="2984"/>
      <c r="Y83" s="2984"/>
      <c r="Z83" s="2984"/>
      <c r="AA83" s="2984"/>
      <c r="AB83" s="2984"/>
      <c r="AC83" s="2984"/>
      <c r="AD83" s="2984"/>
      <c r="AE83" s="2984"/>
    </row>
    <row r="84" spans="6:31" ht="17.1" customHeight="1">
      <c r="F84" s="2984"/>
      <c r="G84" s="2984"/>
      <c r="H84" s="2984"/>
      <c r="I84" s="2984"/>
      <c r="J84" s="2984"/>
      <c r="K84" s="2984"/>
      <c r="L84" s="2984"/>
      <c r="M84" s="2984"/>
      <c r="N84" s="2984"/>
      <c r="O84" s="2984"/>
      <c r="P84" s="2984"/>
      <c r="Q84" s="2984"/>
      <c r="R84" s="2984"/>
      <c r="S84" s="2984"/>
      <c r="T84" s="2984"/>
      <c r="U84" s="2984"/>
      <c r="V84" s="2984"/>
      <c r="W84" s="2984"/>
      <c r="X84" s="2984"/>
      <c r="Y84" s="2984"/>
      <c r="Z84" s="2984"/>
      <c r="AA84" s="2984"/>
      <c r="AB84" s="2984"/>
      <c r="AC84" s="2984"/>
      <c r="AD84" s="2984"/>
      <c r="AE84" s="2984"/>
    </row>
    <row r="85" spans="6:31" ht="17.1" customHeight="1">
      <c r="F85" s="2984"/>
      <c r="G85" s="2984"/>
      <c r="H85" s="2984"/>
      <c r="I85" s="2984"/>
      <c r="J85" s="2984"/>
      <c r="K85" s="2984"/>
      <c r="L85" s="2984"/>
      <c r="M85" s="2984"/>
      <c r="N85" s="2984"/>
      <c r="O85" s="2984"/>
      <c r="P85" s="2984"/>
      <c r="Q85" s="2984"/>
      <c r="R85" s="2984"/>
      <c r="S85" s="2984"/>
      <c r="T85" s="2984"/>
      <c r="U85" s="2984"/>
      <c r="V85" s="2984"/>
      <c r="W85" s="2984"/>
      <c r="X85" s="2984"/>
      <c r="Y85" s="2984"/>
      <c r="Z85" s="2984"/>
      <c r="AA85" s="2984"/>
      <c r="AB85" s="2984"/>
      <c r="AC85" s="2984"/>
      <c r="AD85" s="2984"/>
      <c r="AE85" s="2984"/>
    </row>
    <row r="86" spans="6:31" ht="17.1" customHeight="1">
      <c r="F86" s="2984"/>
      <c r="G86" s="2984"/>
      <c r="H86" s="2984"/>
      <c r="I86" s="2984"/>
      <c r="J86" s="2984"/>
      <c r="K86" s="2984"/>
      <c r="L86" s="2984"/>
      <c r="M86" s="2984"/>
      <c r="N86" s="2984"/>
      <c r="O86" s="2984"/>
      <c r="P86" s="2984"/>
      <c r="Q86" s="2984"/>
      <c r="R86" s="2984"/>
      <c r="S86" s="2984"/>
      <c r="T86" s="2984"/>
      <c r="U86" s="2984"/>
      <c r="V86" s="2984"/>
      <c r="W86" s="2984"/>
      <c r="X86" s="2984"/>
      <c r="Y86" s="2984"/>
      <c r="Z86" s="2984"/>
      <c r="AA86" s="2984"/>
      <c r="AB86" s="2984"/>
      <c r="AC86" s="2984"/>
      <c r="AD86" s="2984"/>
      <c r="AE86" s="2984"/>
    </row>
    <row r="87" spans="6:31" ht="17.1" customHeight="1">
      <c r="F87" s="2984"/>
      <c r="G87" s="2984"/>
      <c r="H87" s="2984"/>
      <c r="I87" s="2984"/>
      <c r="J87" s="2984"/>
      <c r="K87" s="2984"/>
      <c r="L87" s="2984"/>
      <c r="M87" s="2984"/>
      <c r="N87" s="2984"/>
      <c r="O87" s="2984"/>
      <c r="P87" s="2984"/>
      <c r="Q87" s="2984"/>
      <c r="R87" s="2984"/>
      <c r="S87" s="2984"/>
      <c r="T87" s="2984"/>
      <c r="U87" s="2984"/>
      <c r="V87" s="2984"/>
      <c r="W87" s="2984"/>
      <c r="X87" s="2984"/>
      <c r="Y87" s="2984"/>
      <c r="Z87" s="2984"/>
      <c r="AA87" s="2984"/>
      <c r="AB87" s="2984"/>
      <c r="AC87" s="2984"/>
      <c r="AD87" s="2984"/>
      <c r="AE87" s="2984"/>
    </row>
    <row r="88" spans="6:31" ht="17.1" customHeight="1">
      <c r="F88" s="2984"/>
      <c r="G88" s="2984"/>
      <c r="H88" s="2984"/>
      <c r="I88" s="2984"/>
      <c r="J88" s="2984"/>
      <c r="K88" s="2984"/>
      <c r="L88" s="2984"/>
      <c r="M88" s="2984"/>
      <c r="N88" s="2984"/>
      <c r="O88" s="2984"/>
      <c r="P88" s="2984"/>
      <c r="Q88" s="2984"/>
      <c r="R88" s="2984"/>
      <c r="S88" s="2984"/>
      <c r="T88" s="2984"/>
      <c r="U88" s="2984"/>
      <c r="V88" s="2984"/>
      <c r="W88" s="2984"/>
      <c r="X88" s="2984"/>
      <c r="Y88" s="2984"/>
      <c r="Z88" s="2984"/>
      <c r="AA88" s="2984"/>
      <c r="AB88" s="2984"/>
      <c r="AC88" s="2984"/>
      <c r="AD88" s="2984"/>
      <c r="AE88" s="2984"/>
    </row>
    <row r="89" spans="6:31" ht="17.1" customHeight="1">
      <c r="F89" s="2984"/>
      <c r="G89" s="2984"/>
      <c r="H89" s="2984"/>
      <c r="I89" s="2984"/>
      <c r="J89" s="2984"/>
      <c r="K89" s="2984"/>
      <c r="L89" s="2984"/>
      <c r="M89" s="2984"/>
      <c r="N89" s="2984"/>
      <c r="O89" s="2984"/>
      <c r="P89" s="2984"/>
      <c r="Q89" s="2984"/>
      <c r="R89" s="2984"/>
      <c r="S89" s="2984"/>
      <c r="T89" s="2984"/>
      <c r="U89" s="2984"/>
      <c r="V89" s="2984"/>
      <c r="W89" s="2984"/>
      <c r="X89" s="2984"/>
      <c r="Y89" s="2984"/>
      <c r="Z89" s="2984"/>
      <c r="AA89" s="2984"/>
      <c r="AB89" s="2984"/>
      <c r="AC89" s="2984"/>
      <c r="AD89" s="2984"/>
      <c r="AE89" s="2984"/>
    </row>
    <row r="90" spans="6:31" ht="17.1" customHeight="1">
      <c r="F90" s="2984"/>
      <c r="G90" s="2984"/>
      <c r="H90" s="2984"/>
      <c r="I90" s="2984"/>
      <c r="J90" s="2984"/>
      <c r="K90" s="2984"/>
      <c r="L90" s="2984"/>
      <c r="M90" s="2984"/>
      <c r="N90" s="2984"/>
      <c r="O90" s="2984"/>
      <c r="P90" s="2984"/>
      <c r="Q90" s="2984"/>
      <c r="R90" s="2984"/>
      <c r="S90" s="2984"/>
      <c r="T90" s="2984"/>
      <c r="U90" s="2984"/>
      <c r="V90" s="2984"/>
      <c r="W90" s="2984"/>
      <c r="X90" s="2984"/>
      <c r="Y90" s="2984"/>
      <c r="Z90" s="2984"/>
      <c r="AA90" s="2984"/>
      <c r="AB90" s="2984"/>
      <c r="AC90" s="2984"/>
      <c r="AD90" s="2984"/>
      <c r="AE90" s="2984"/>
    </row>
    <row r="91" spans="6:31" ht="17.1" customHeight="1">
      <c r="F91" s="2984"/>
      <c r="G91" s="2984"/>
      <c r="H91" s="2984"/>
      <c r="I91" s="2984"/>
      <c r="J91" s="2984"/>
      <c r="K91" s="2984"/>
      <c r="L91" s="2984"/>
      <c r="M91" s="2984"/>
      <c r="N91" s="2984"/>
      <c r="O91" s="2984"/>
      <c r="P91" s="2984"/>
      <c r="Q91" s="2984"/>
      <c r="R91" s="2984"/>
      <c r="S91" s="2984"/>
      <c r="T91" s="2984"/>
      <c r="U91" s="2984"/>
      <c r="V91" s="2984"/>
      <c r="W91" s="2984"/>
      <c r="X91" s="2984"/>
      <c r="Y91" s="2984"/>
      <c r="Z91" s="2984"/>
      <c r="AA91" s="2984"/>
      <c r="AB91" s="2984"/>
      <c r="AC91" s="2984"/>
      <c r="AD91" s="2984"/>
      <c r="AE91" s="2984"/>
    </row>
    <row r="92" spans="6:31" ht="17.1" customHeight="1">
      <c r="F92" s="2984"/>
      <c r="G92" s="2984"/>
      <c r="H92" s="2984"/>
      <c r="I92" s="2984"/>
      <c r="J92" s="2984"/>
      <c r="K92" s="2984"/>
      <c r="L92" s="2984"/>
      <c r="M92" s="2984"/>
      <c r="N92" s="2984"/>
      <c r="O92" s="2984"/>
      <c r="P92" s="2984"/>
      <c r="Q92" s="2984"/>
      <c r="R92" s="2984"/>
      <c r="S92" s="2984"/>
      <c r="T92" s="2984"/>
      <c r="U92" s="2984"/>
      <c r="V92" s="2984"/>
      <c r="W92" s="2984"/>
      <c r="X92" s="2984"/>
      <c r="Y92" s="2984"/>
      <c r="Z92" s="2984"/>
      <c r="AA92" s="2984"/>
      <c r="AB92" s="2984"/>
      <c r="AC92" s="2984"/>
      <c r="AD92" s="2984"/>
      <c r="AE92" s="2984"/>
    </row>
    <row r="93" spans="6:31" ht="17.1" customHeight="1">
      <c r="F93" s="2984"/>
      <c r="G93" s="2984"/>
      <c r="H93" s="2984"/>
      <c r="I93" s="2984"/>
      <c r="J93" s="2984"/>
      <c r="K93" s="2984"/>
      <c r="L93" s="2984"/>
      <c r="M93" s="2984"/>
      <c r="N93" s="2984"/>
      <c r="O93" s="2984"/>
      <c r="P93" s="2984"/>
      <c r="Q93" s="2984"/>
      <c r="R93" s="2984"/>
      <c r="S93" s="2984"/>
      <c r="T93" s="2984"/>
      <c r="U93" s="2984"/>
      <c r="V93" s="2984"/>
      <c r="W93" s="2984"/>
      <c r="X93" s="2984"/>
      <c r="Y93" s="2984"/>
      <c r="Z93" s="2984"/>
      <c r="AA93" s="2984"/>
      <c r="AB93" s="2984"/>
      <c r="AC93" s="2984"/>
      <c r="AD93" s="2984"/>
      <c r="AE93" s="2984"/>
    </row>
    <row r="94" spans="6:31" ht="17.1" customHeight="1">
      <c r="F94" s="2984"/>
      <c r="G94" s="2984"/>
      <c r="H94" s="2984"/>
      <c r="I94" s="2984"/>
      <c r="J94" s="2984"/>
      <c r="K94" s="2984"/>
      <c r="L94" s="2984"/>
      <c r="M94" s="2984"/>
      <c r="N94" s="2984"/>
      <c r="O94" s="2984"/>
      <c r="P94" s="2984"/>
      <c r="Q94" s="2984"/>
      <c r="R94" s="2984"/>
      <c r="S94" s="2984"/>
      <c r="T94" s="2984"/>
      <c r="U94" s="2984"/>
      <c r="V94" s="2984"/>
      <c r="W94" s="2984"/>
      <c r="X94" s="2984"/>
      <c r="Y94" s="2984"/>
      <c r="Z94" s="2984"/>
      <c r="AA94" s="2984"/>
      <c r="AB94" s="2984"/>
      <c r="AC94" s="2984"/>
      <c r="AD94" s="2984"/>
      <c r="AE94" s="2984"/>
    </row>
    <row r="95" spans="6:31" ht="17.1" customHeight="1">
      <c r="F95" s="2984"/>
      <c r="G95" s="2984"/>
      <c r="H95" s="2984"/>
      <c r="I95" s="2984"/>
      <c r="J95" s="2984"/>
      <c r="K95" s="2984"/>
      <c r="L95" s="2984"/>
      <c r="M95" s="2984"/>
      <c r="N95" s="2984"/>
      <c r="O95" s="2984"/>
      <c r="P95" s="2984"/>
      <c r="Q95" s="2984"/>
      <c r="R95" s="2984"/>
      <c r="S95" s="2984"/>
      <c r="T95" s="2984"/>
      <c r="U95" s="2984"/>
      <c r="V95" s="2984"/>
      <c r="W95" s="2984"/>
      <c r="X95" s="2984"/>
      <c r="Y95" s="2984"/>
      <c r="Z95" s="2984"/>
      <c r="AA95" s="2984"/>
      <c r="AB95" s="2984"/>
      <c r="AC95" s="2984"/>
      <c r="AD95" s="2984"/>
      <c r="AE95" s="2984"/>
    </row>
    <row r="96" spans="6:31" ht="17.1" customHeight="1">
      <c r="F96" s="2984"/>
      <c r="G96" s="2984"/>
      <c r="H96" s="2984"/>
      <c r="I96" s="2984"/>
      <c r="J96" s="2984"/>
      <c r="K96" s="2984"/>
      <c r="L96" s="2984"/>
      <c r="M96" s="2984"/>
      <c r="N96" s="2984"/>
      <c r="O96" s="2984"/>
      <c r="P96" s="2984"/>
      <c r="Q96" s="2984"/>
      <c r="R96" s="2984"/>
      <c r="S96" s="2984"/>
      <c r="T96" s="2984"/>
      <c r="U96" s="2984"/>
      <c r="V96" s="2984"/>
      <c r="W96" s="2984"/>
      <c r="X96" s="2984"/>
      <c r="Y96" s="2984"/>
      <c r="Z96" s="2984"/>
      <c r="AA96" s="2984"/>
      <c r="AB96" s="2984"/>
      <c r="AC96" s="2984"/>
      <c r="AD96" s="2984"/>
      <c r="AE96" s="2984"/>
    </row>
    <row r="97" spans="6:31" ht="17.1" customHeight="1">
      <c r="F97" s="2984"/>
      <c r="G97" s="2984"/>
      <c r="H97" s="2984"/>
      <c r="I97" s="2984"/>
      <c r="J97" s="2984"/>
      <c r="K97" s="2984"/>
      <c r="L97" s="2984"/>
      <c r="M97" s="2984"/>
      <c r="N97" s="2984"/>
      <c r="O97" s="2984"/>
      <c r="P97" s="2984"/>
      <c r="Q97" s="2984"/>
      <c r="R97" s="2984"/>
      <c r="S97" s="2984"/>
      <c r="T97" s="2984"/>
      <c r="U97" s="2984"/>
      <c r="V97" s="2984"/>
      <c r="W97" s="2984"/>
      <c r="X97" s="2984"/>
      <c r="Y97" s="2984"/>
      <c r="Z97" s="2984"/>
      <c r="AA97" s="2984"/>
      <c r="AB97" s="2984"/>
      <c r="AC97" s="2984"/>
      <c r="AD97" s="2984"/>
      <c r="AE97" s="2984"/>
    </row>
    <row r="98" spans="6:31" ht="17.1" customHeight="1">
      <c r="F98" s="2984"/>
      <c r="G98" s="2984"/>
      <c r="H98" s="2984"/>
      <c r="I98" s="2984"/>
      <c r="J98" s="2984"/>
      <c r="K98" s="2984"/>
      <c r="L98" s="2984"/>
      <c r="M98" s="2984"/>
      <c r="N98" s="2984"/>
      <c r="O98" s="2984"/>
      <c r="P98" s="2984"/>
      <c r="Q98" s="2984"/>
      <c r="R98" s="2984"/>
      <c r="S98" s="2984"/>
      <c r="T98" s="2984"/>
      <c r="U98" s="2984"/>
      <c r="V98" s="2984"/>
      <c r="W98" s="2984"/>
      <c r="X98" s="2984"/>
      <c r="Y98" s="2984"/>
      <c r="Z98" s="2984"/>
      <c r="AA98" s="2984"/>
      <c r="AB98" s="2984"/>
      <c r="AC98" s="2984"/>
      <c r="AD98" s="2984"/>
      <c r="AE98" s="2984"/>
    </row>
    <row r="99" spans="6:31" ht="17.1" customHeight="1">
      <c r="F99" s="2984"/>
      <c r="G99" s="2984"/>
      <c r="H99" s="2984"/>
      <c r="I99" s="2984"/>
      <c r="J99" s="2984"/>
      <c r="K99" s="2984"/>
      <c r="L99" s="2984"/>
      <c r="M99" s="2984"/>
      <c r="N99" s="2984"/>
      <c r="O99" s="2984"/>
      <c r="P99" s="2984"/>
      <c r="Q99" s="2984"/>
      <c r="R99" s="2984"/>
      <c r="S99" s="2984"/>
      <c r="T99" s="2984"/>
      <c r="U99" s="2984"/>
      <c r="V99" s="2984"/>
      <c r="W99" s="2984"/>
      <c r="X99" s="2984"/>
      <c r="Y99" s="2984"/>
      <c r="Z99" s="2984"/>
      <c r="AA99" s="2984"/>
      <c r="AB99" s="2984"/>
      <c r="AC99" s="2984"/>
      <c r="AD99" s="2984"/>
      <c r="AE99" s="2984"/>
    </row>
    <row r="100" spans="6:31" ht="17.1" customHeight="1">
      <c r="F100" s="2984"/>
      <c r="G100" s="2984"/>
      <c r="H100" s="2984"/>
      <c r="I100" s="2984"/>
      <c r="J100" s="2984"/>
      <c r="K100" s="2984"/>
      <c r="L100" s="2984"/>
      <c r="M100" s="2984"/>
      <c r="N100" s="2984"/>
      <c r="O100" s="2984"/>
      <c r="P100" s="2984"/>
      <c r="Q100" s="2984"/>
      <c r="R100" s="2984"/>
      <c r="S100" s="2984"/>
      <c r="T100" s="2984"/>
      <c r="U100" s="2984"/>
      <c r="V100" s="2984"/>
      <c r="W100" s="2984"/>
      <c r="X100" s="2984"/>
      <c r="Y100" s="2984"/>
      <c r="Z100" s="2984"/>
      <c r="AA100" s="2984"/>
      <c r="AB100" s="2984"/>
      <c r="AC100" s="2984"/>
      <c r="AD100" s="2984"/>
      <c r="AE100" s="2984"/>
    </row>
    <row r="101" spans="6:31" ht="17.1" customHeight="1">
      <c r="F101" s="2984"/>
      <c r="G101" s="2984"/>
      <c r="H101" s="2984"/>
      <c r="I101" s="2984"/>
      <c r="J101" s="2984"/>
      <c r="K101" s="2984"/>
      <c r="L101" s="2984"/>
      <c r="M101" s="2984"/>
      <c r="N101" s="2984"/>
      <c r="O101" s="2984"/>
      <c r="P101" s="2984"/>
      <c r="Q101" s="2984"/>
      <c r="R101" s="2984"/>
      <c r="S101" s="2984"/>
      <c r="T101" s="2984"/>
      <c r="U101" s="2984"/>
      <c r="V101" s="2984"/>
      <c r="W101" s="2984"/>
      <c r="X101" s="2984"/>
      <c r="Y101" s="2984"/>
      <c r="Z101" s="2984"/>
      <c r="AA101" s="2984"/>
      <c r="AB101" s="2984"/>
      <c r="AC101" s="2984"/>
      <c r="AD101" s="2984"/>
      <c r="AE101" s="2984"/>
    </row>
    <row r="102" spans="6:31" ht="17.1" customHeight="1">
      <c r="F102" s="2984"/>
      <c r="G102" s="2984"/>
      <c r="H102" s="2984"/>
      <c r="I102" s="2984"/>
      <c r="J102" s="2984"/>
      <c r="K102" s="2984"/>
      <c r="L102" s="2984"/>
      <c r="M102" s="2984"/>
      <c r="N102" s="2984"/>
      <c r="O102" s="2984"/>
      <c r="P102" s="2984"/>
      <c r="Q102" s="2984"/>
      <c r="R102" s="2984"/>
      <c r="S102" s="2984"/>
      <c r="T102" s="2984"/>
      <c r="U102" s="2984"/>
      <c r="V102" s="2984"/>
      <c r="W102" s="2984"/>
      <c r="X102" s="2984"/>
      <c r="Y102" s="2984"/>
      <c r="Z102" s="2984"/>
      <c r="AA102" s="2984"/>
      <c r="AB102" s="2984"/>
      <c r="AC102" s="2984"/>
      <c r="AD102" s="2984"/>
      <c r="AE102" s="2984"/>
    </row>
    <row r="103" spans="6:31" ht="17.1" customHeight="1">
      <c r="F103" s="2984"/>
      <c r="G103" s="2984"/>
      <c r="H103" s="2984"/>
      <c r="I103" s="2984"/>
      <c r="J103" s="2984"/>
      <c r="K103" s="2984"/>
      <c r="L103" s="2984"/>
      <c r="M103" s="2984"/>
      <c r="N103" s="2984"/>
      <c r="O103" s="2984"/>
      <c r="P103" s="2984"/>
      <c r="Q103" s="2984"/>
      <c r="R103" s="2984"/>
      <c r="S103" s="2984"/>
      <c r="T103" s="2984"/>
      <c r="U103" s="2984"/>
      <c r="V103" s="2984"/>
      <c r="W103" s="2984"/>
      <c r="X103" s="2984"/>
      <c r="Y103" s="2984"/>
      <c r="Z103" s="2984"/>
      <c r="AA103" s="2984"/>
      <c r="AB103" s="2984"/>
      <c r="AC103" s="2984"/>
      <c r="AD103" s="2984"/>
      <c r="AE103" s="2984"/>
    </row>
    <row r="104" spans="6:31" ht="17.1" customHeight="1">
      <c r="F104" s="2984"/>
      <c r="G104" s="2984"/>
      <c r="H104" s="2984"/>
      <c r="I104" s="2984"/>
      <c r="J104" s="2984"/>
      <c r="K104" s="2984"/>
      <c r="L104" s="2984"/>
      <c r="M104" s="2984"/>
      <c r="N104" s="2984"/>
      <c r="O104" s="2984"/>
      <c r="P104" s="2984"/>
      <c r="Q104" s="2984"/>
      <c r="R104" s="2984"/>
      <c r="S104" s="2984"/>
      <c r="T104" s="2984"/>
      <c r="U104" s="2984"/>
      <c r="V104" s="2984"/>
      <c r="W104" s="2984"/>
      <c r="X104" s="2984"/>
      <c r="Y104" s="2984"/>
      <c r="Z104" s="2984"/>
      <c r="AA104" s="2984"/>
      <c r="AB104" s="2984"/>
      <c r="AC104" s="2984"/>
      <c r="AD104" s="2984"/>
      <c r="AE104" s="2984"/>
    </row>
    <row r="105" spans="6:31" ht="17.1" customHeight="1">
      <c r="F105" s="2984"/>
      <c r="G105" s="2984"/>
      <c r="H105" s="2984"/>
      <c r="I105" s="2984"/>
      <c r="J105" s="2984"/>
      <c r="K105" s="2984"/>
      <c r="L105" s="2984"/>
      <c r="M105" s="2984"/>
      <c r="N105" s="2984"/>
      <c r="O105" s="2984"/>
      <c r="P105" s="2984"/>
      <c r="Q105" s="2984"/>
      <c r="R105" s="2984"/>
      <c r="S105" s="2984"/>
      <c r="T105" s="2984"/>
      <c r="U105" s="2984"/>
      <c r="V105" s="2984"/>
      <c r="W105" s="2984"/>
      <c r="X105" s="2984"/>
      <c r="Y105" s="2984"/>
      <c r="Z105" s="2984"/>
      <c r="AA105" s="2984"/>
      <c r="AB105" s="2984"/>
      <c r="AC105" s="2984"/>
      <c r="AD105" s="2984"/>
      <c r="AE105" s="2984"/>
    </row>
    <row r="106" spans="6:31" ht="17.1" customHeight="1">
      <c r="F106" s="2984"/>
      <c r="G106" s="2984"/>
      <c r="H106" s="2984"/>
      <c r="I106" s="2984"/>
      <c r="J106" s="2984"/>
      <c r="K106" s="2984"/>
      <c r="L106" s="2984"/>
      <c r="M106" s="2984"/>
      <c r="N106" s="2984"/>
      <c r="O106" s="2984"/>
      <c r="P106" s="2984"/>
      <c r="Q106" s="2984"/>
      <c r="R106" s="2984"/>
      <c r="S106" s="2984"/>
      <c r="T106" s="2984"/>
      <c r="U106" s="2984"/>
      <c r="V106" s="2984"/>
      <c r="W106" s="2984"/>
      <c r="X106" s="2984"/>
      <c r="Y106" s="2984"/>
      <c r="Z106" s="2984"/>
      <c r="AA106" s="2984"/>
      <c r="AB106" s="2984"/>
      <c r="AC106" s="2984"/>
      <c r="AD106" s="2984"/>
      <c r="AE106" s="2984"/>
    </row>
    <row r="107" spans="6:31" ht="17.1" customHeight="1">
      <c r="F107" s="2984"/>
      <c r="G107" s="2984"/>
      <c r="H107" s="2984"/>
      <c r="I107" s="2984"/>
      <c r="J107" s="2984"/>
      <c r="K107" s="2984"/>
      <c r="L107" s="2984"/>
      <c r="M107" s="2984"/>
      <c r="N107" s="2984"/>
      <c r="O107" s="2984"/>
      <c r="P107" s="2984"/>
      <c r="Q107" s="2984"/>
      <c r="R107" s="2984"/>
      <c r="S107" s="2984"/>
      <c r="T107" s="2984"/>
      <c r="U107" s="2984"/>
      <c r="V107" s="2984"/>
      <c r="W107" s="2984"/>
      <c r="X107" s="2984"/>
      <c r="Y107" s="2984"/>
      <c r="Z107" s="2984"/>
      <c r="AA107" s="2984"/>
      <c r="AB107" s="2984"/>
      <c r="AC107" s="2984"/>
      <c r="AD107" s="2984"/>
      <c r="AE107" s="2984"/>
    </row>
    <row r="108" spans="6:31" ht="17.1" customHeight="1">
      <c r="F108" s="2984"/>
      <c r="G108" s="2984"/>
      <c r="H108" s="2984"/>
      <c r="I108" s="2984"/>
      <c r="J108" s="2984"/>
      <c r="K108" s="2984"/>
      <c r="L108" s="2984"/>
      <c r="M108" s="2984"/>
      <c r="N108" s="2984"/>
      <c r="O108" s="2984"/>
      <c r="P108" s="2984"/>
      <c r="Q108" s="2984"/>
      <c r="R108" s="2984"/>
      <c r="S108" s="2984"/>
      <c r="T108" s="2984"/>
      <c r="U108" s="2984"/>
      <c r="V108" s="2984"/>
      <c r="W108" s="2984"/>
      <c r="X108" s="2984"/>
      <c r="Y108" s="2984"/>
      <c r="Z108" s="2984"/>
      <c r="AA108" s="2984"/>
      <c r="AB108" s="2984"/>
      <c r="AC108" s="2984"/>
      <c r="AD108" s="2984"/>
      <c r="AE108" s="2984"/>
    </row>
    <row r="109" spans="6:31" ht="17.1" customHeight="1">
      <c r="F109" s="2984"/>
      <c r="G109" s="2984"/>
      <c r="H109" s="2984"/>
      <c r="I109" s="2984"/>
      <c r="J109" s="2984"/>
      <c r="K109" s="2984"/>
      <c r="L109" s="2984"/>
      <c r="M109" s="2984"/>
      <c r="N109" s="2984"/>
      <c r="O109" s="2984"/>
      <c r="P109" s="2984"/>
      <c r="Q109" s="2984"/>
      <c r="R109" s="2984"/>
      <c r="S109" s="2984"/>
      <c r="T109" s="2984"/>
      <c r="U109" s="2984"/>
      <c r="V109" s="2984"/>
      <c r="W109" s="2984"/>
      <c r="X109" s="2984"/>
      <c r="Y109" s="2984"/>
      <c r="Z109" s="2984"/>
      <c r="AA109" s="2984"/>
      <c r="AB109" s="2984"/>
      <c r="AC109" s="2984"/>
      <c r="AD109" s="2984"/>
      <c r="AE109" s="2984"/>
    </row>
    <row r="110" spans="6:31" ht="17.1" customHeight="1">
      <c r="F110" s="2984"/>
      <c r="G110" s="2984"/>
      <c r="H110" s="2984"/>
      <c r="I110" s="2984"/>
      <c r="J110" s="2984"/>
      <c r="K110" s="2984"/>
      <c r="L110" s="2984"/>
      <c r="M110" s="2984"/>
      <c r="N110" s="2984"/>
      <c r="O110" s="2984"/>
      <c r="P110" s="2984"/>
      <c r="Q110" s="2984"/>
      <c r="R110" s="2984"/>
      <c r="S110" s="2984"/>
      <c r="T110" s="2984"/>
      <c r="U110" s="2984"/>
      <c r="V110" s="2984"/>
      <c r="W110" s="2984"/>
      <c r="X110" s="2984"/>
      <c r="Y110" s="2984"/>
      <c r="Z110" s="2984"/>
      <c r="AA110" s="2984"/>
      <c r="AB110" s="2984"/>
      <c r="AC110" s="2984"/>
      <c r="AD110" s="2984"/>
      <c r="AE110" s="2984"/>
    </row>
    <row r="111" spans="6:31" ht="17.1" customHeight="1">
      <c r="F111" s="2984"/>
      <c r="G111" s="2984"/>
      <c r="H111" s="2984"/>
      <c r="I111" s="2984"/>
      <c r="J111" s="2984"/>
      <c r="K111" s="2984"/>
      <c r="L111" s="2984"/>
      <c r="M111" s="2984"/>
      <c r="N111" s="2984"/>
      <c r="O111" s="2984"/>
      <c r="P111" s="2984"/>
      <c r="Q111" s="2984"/>
      <c r="R111" s="2984"/>
      <c r="S111" s="2984"/>
      <c r="T111" s="2984"/>
      <c r="U111" s="2984"/>
      <c r="V111" s="2984"/>
      <c r="W111" s="2984"/>
      <c r="X111" s="2984"/>
      <c r="Y111" s="2984"/>
      <c r="Z111" s="2984"/>
      <c r="AA111" s="2984"/>
      <c r="AB111" s="2984"/>
      <c r="AC111" s="2984"/>
      <c r="AD111" s="2984"/>
      <c r="AE111" s="2984"/>
    </row>
    <row r="112" spans="6:31" ht="17.1" customHeight="1">
      <c r="F112" s="2984"/>
      <c r="G112" s="2984"/>
      <c r="H112" s="2984"/>
      <c r="I112" s="2984"/>
      <c r="J112" s="2984"/>
      <c r="K112" s="2984"/>
      <c r="L112" s="2984"/>
      <c r="M112" s="2984"/>
      <c r="N112" s="2984"/>
      <c r="O112" s="2984"/>
      <c r="P112" s="2984"/>
      <c r="Q112" s="2984"/>
      <c r="R112" s="2984"/>
      <c r="S112" s="2984"/>
      <c r="T112" s="2984"/>
      <c r="U112" s="2984"/>
      <c r="V112" s="2984"/>
      <c r="W112" s="2984"/>
      <c r="X112" s="2984"/>
      <c r="Y112" s="2984"/>
      <c r="Z112" s="2984"/>
      <c r="AA112" s="2984"/>
      <c r="AB112" s="2984"/>
      <c r="AC112" s="2984"/>
      <c r="AD112" s="2984"/>
      <c r="AE112" s="2984"/>
    </row>
    <row r="113" spans="6:31" ht="17.1" customHeight="1">
      <c r="F113" s="2984"/>
      <c r="G113" s="2984"/>
      <c r="H113" s="2984"/>
      <c r="I113" s="2984"/>
      <c r="J113" s="2984"/>
      <c r="K113" s="2984"/>
      <c r="L113" s="2984"/>
      <c r="M113" s="2984"/>
      <c r="N113" s="2984"/>
      <c r="O113" s="2984"/>
      <c r="P113" s="2984"/>
      <c r="Q113" s="2984"/>
      <c r="R113" s="2984"/>
      <c r="S113" s="2984"/>
      <c r="T113" s="2984"/>
      <c r="U113" s="2984"/>
      <c r="V113" s="2984"/>
      <c r="W113" s="2984"/>
      <c r="X113" s="2984"/>
      <c r="Y113" s="2984"/>
      <c r="Z113" s="2984"/>
      <c r="AA113" s="2984"/>
      <c r="AB113" s="2984"/>
      <c r="AC113" s="2984"/>
      <c r="AD113" s="2984"/>
      <c r="AE113" s="2984"/>
    </row>
    <row r="114" spans="6:31" ht="17.1" customHeight="1">
      <c r="F114" s="2984"/>
      <c r="G114" s="2984"/>
      <c r="H114" s="2984"/>
      <c r="I114" s="2984"/>
      <c r="J114" s="2984"/>
      <c r="K114" s="2984"/>
      <c r="L114" s="2984"/>
      <c r="M114" s="2984"/>
      <c r="N114" s="2984"/>
      <c r="O114" s="2984"/>
      <c r="P114" s="2984"/>
      <c r="Q114" s="2984"/>
      <c r="R114" s="2984"/>
      <c r="S114" s="2984"/>
      <c r="T114" s="2984"/>
      <c r="U114" s="2984"/>
      <c r="V114" s="2984"/>
      <c r="W114" s="2984"/>
      <c r="X114" s="2984"/>
      <c r="Y114" s="2984"/>
      <c r="Z114" s="2984"/>
      <c r="AA114" s="2984"/>
      <c r="AB114" s="2984"/>
      <c r="AC114" s="2984"/>
      <c r="AD114" s="2984"/>
      <c r="AE114" s="2984"/>
    </row>
    <row r="115" spans="6:31" ht="17.1" customHeight="1">
      <c r="F115" s="2984"/>
      <c r="G115" s="2984"/>
      <c r="H115" s="2984"/>
      <c r="I115" s="2984"/>
      <c r="J115" s="2984"/>
      <c r="K115" s="2984"/>
      <c r="L115" s="2984"/>
      <c r="M115" s="2984"/>
      <c r="N115" s="2984"/>
      <c r="O115" s="2984"/>
      <c r="P115" s="2984"/>
      <c r="Q115" s="2984"/>
      <c r="R115" s="2984"/>
      <c r="S115" s="2984"/>
      <c r="T115" s="2984"/>
      <c r="U115" s="2984"/>
      <c r="V115" s="2984"/>
      <c r="W115" s="2984"/>
      <c r="X115" s="2984"/>
      <c r="Y115" s="2984"/>
      <c r="Z115" s="2984"/>
      <c r="AA115" s="2984"/>
      <c r="AB115" s="2984"/>
      <c r="AC115" s="2984"/>
      <c r="AD115" s="2984"/>
      <c r="AE115" s="2984"/>
    </row>
    <row r="116" spans="6:31" ht="17.1" customHeight="1">
      <c r="F116" s="2984"/>
      <c r="G116" s="2984"/>
      <c r="H116" s="2984"/>
      <c r="I116" s="2984"/>
      <c r="J116" s="2984"/>
      <c r="K116" s="2984"/>
      <c r="L116" s="2984"/>
      <c r="M116" s="2984"/>
      <c r="N116" s="2984"/>
      <c r="O116" s="2984"/>
      <c r="P116" s="2984"/>
      <c r="Q116" s="2984"/>
      <c r="R116" s="2984"/>
      <c r="S116" s="2984"/>
      <c r="T116" s="2984"/>
      <c r="U116" s="2984"/>
      <c r="V116" s="2984"/>
      <c r="W116" s="2984"/>
      <c r="X116" s="2984"/>
      <c r="Y116" s="2984"/>
      <c r="Z116" s="2984"/>
      <c r="AA116" s="2984"/>
      <c r="AB116" s="2984"/>
      <c r="AC116" s="2984"/>
      <c r="AD116" s="2984"/>
      <c r="AE116" s="2984"/>
    </row>
    <row r="117" spans="6:31" ht="17.1" customHeight="1">
      <c r="F117" s="2984"/>
      <c r="G117" s="2984"/>
      <c r="H117" s="2984"/>
      <c r="I117" s="2984"/>
      <c r="J117" s="2984"/>
      <c r="K117" s="2984"/>
      <c r="L117" s="2984"/>
      <c r="M117" s="2984"/>
      <c r="N117" s="2984"/>
      <c r="O117" s="2984"/>
      <c r="P117" s="2984"/>
      <c r="Q117" s="2984"/>
      <c r="R117" s="2984"/>
      <c r="S117" s="2984"/>
      <c r="T117" s="2984"/>
      <c r="U117" s="2984"/>
      <c r="V117" s="2984"/>
      <c r="W117" s="2984"/>
      <c r="X117" s="2984"/>
      <c r="Y117" s="2984"/>
      <c r="Z117" s="2984"/>
      <c r="AA117" s="2984"/>
      <c r="AB117" s="2984"/>
      <c r="AC117" s="2984"/>
      <c r="AD117" s="2984"/>
      <c r="AE117" s="2984"/>
    </row>
    <row r="118" spans="6:31" ht="17.1" customHeight="1">
      <c r="F118" s="2984"/>
      <c r="G118" s="2984"/>
      <c r="H118" s="2984"/>
      <c r="I118" s="2984"/>
      <c r="J118" s="2984"/>
      <c r="K118" s="2984"/>
      <c r="L118" s="2984"/>
      <c r="M118" s="2984"/>
      <c r="N118" s="2984"/>
      <c r="O118" s="2984"/>
      <c r="P118" s="2984"/>
      <c r="Q118" s="2984"/>
      <c r="R118" s="2984"/>
      <c r="S118" s="2984"/>
      <c r="T118" s="2984"/>
      <c r="U118" s="2984"/>
      <c r="V118" s="2984"/>
      <c r="W118" s="2984"/>
      <c r="X118" s="2984"/>
      <c r="Y118" s="2984"/>
      <c r="Z118" s="2984"/>
      <c r="AA118" s="2984"/>
      <c r="AB118" s="2984"/>
      <c r="AC118" s="2984"/>
      <c r="AD118" s="2984"/>
      <c r="AE118" s="2984"/>
    </row>
    <row r="119" spans="6:31" ht="17.1" customHeight="1">
      <c r="F119" s="2984"/>
      <c r="G119" s="2984"/>
      <c r="H119" s="2984"/>
      <c r="I119" s="2984"/>
      <c r="J119" s="2984"/>
      <c r="K119" s="2984"/>
      <c r="L119" s="2984"/>
      <c r="M119" s="2984"/>
      <c r="N119" s="2984"/>
      <c r="O119" s="2984"/>
      <c r="P119" s="2984"/>
      <c r="Q119" s="2984"/>
      <c r="R119" s="2984"/>
      <c r="S119" s="2984"/>
      <c r="T119" s="2984"/>
      <c r="U119" s="2984"/>
      <c r="V119" s="2984"/>
      <c r="W119" s="2984"/>
      <c r="X119" s="2984"/>
      <c r="Y119" s="2984"/>
      <c r="Z119" s="2984"/>
      <c r="AA119" s="2984"/>
      <c r="AB119" s="2984"/>
      <c r="AC119" s="2984"/>
      <c r="AD119" s="2984"/>
      <c r="AE119" s="2984"/>
    </row>
    <row r="120" spans="6:31" ht="17.1" customHeight="1">
      <c r="F120" s="2984"/>
      <c r="G120" s="2984"/>
      <c r="H120" s="2984"/>
      <c r="I120" s="2984"/>
      <c r="J120" s="2984"/>
      <c r="K120" s="2984"/>
      <c r="L120" s="2984"/>
      <c r="M120" s="2984"/>
      <c r="N120" s="2984"/>
      <c r="O120" s="2984"/>
      <c r="P120" s="2984"/>
      <c r="Q120" s="2984"/>
      <c r="R120" s="2984"/>
      <c r="S120" s="2984"/>
      <c r="T120" s="2984"/>
      <c r="U120" s="2984"/>
      <c r="V120" s="2984"/>
      <c r="W120" s="2984"/>
      <c r="X120" s="2984"/>
      <c r="Y120" s="2984"/>
      <c r="Z120" s="2984"/>
      <c r="AA120" s="2984"/>
      <c r="AB120" s="2984"/>
      <c r="AC120" s="2984"/>
      <c r="AD120" s="2984"/>
      <c r="AE120" s="2984"/>
    </row>
    <row r="121" spans="6:31" ht="17.1" customHeight="1">
      <c r="F121" s="2984"/>
      <c r="G121" s="2984"/>
      <c r="H121" s="2984"/>
      <c r="I121" s="2984"/>
      <c r="J121" s="2984"/>
      <c r="K121" s="2984"/>
      <c r="L121" s="2984"/>
      <c r="M121" s="2984"/>
      <c r="N121" s="2984"/>
      <c r="O121" s="2984"/>
      <c r="P121" s="2984"/>
      <c r="Q121" s="2984"/>
      <c r="R121" s="2984"/>
      <c r="S121" s="2984"/>
      <c r="T121" s="2984"/>
      <c r="U121" s="2984"/>
      <c r="V121" s="2984"/>
      <c r="W121" s="2984"/>
      <c r="X121" s="2984"/>
      <c r="Y121" s="2984"/>
      <c r="Z121" s="2984"/>
      <c r="AA121" s="2984"/>
      <c r="AB121" s="2984"/>
      <c r="AC121" s="2984"/>
      <c r="AD121" s="2984"/>
      <c r="AE121" s="2984"/>
    </row>
    <row r="122" spans="6:31" ht="17.1" customHeight="1">
      <c r="F122" s="2984"/>
      <c r="G122" s="2984"/>
      <c r="H122" s="2984"/>
      <c r="I122" s="2984"/>
      <c r="J122" s="2984"/>
      <c r="K122" s="2984"/>
      <c r="L122" s="2984"/>
      <c r="M122" s="2984"/>
      <c r="N122" s="2984"/>
      <c r="O122" s="2984"/>
      <c r="P122" s="2984"/>
      <c r="Q122" s="2984"/>
      <c r="R122" s="2984"/>
      <c r="S122" s="2984"/>
      <c r="T122" s="2984"/>
      <c r="U122" s="2984"/>
      <c r="V122" s="2984"/>
      <c r="W122" s="2984"/>
      <c r="X122" s="2984"/>
      <c r="Y122" s="2984"/>
      <c r="Z122" s="2984"/>
      <c r="AA122" s="2984"/>
      <c r="AB122" s="2984"/>
      <c r="AC122" s="2984"/>
      <c r="AD122" s="2984"/>
      <c r="AE122" s="2984"/>
    </row>
    <row r="123" spans="6:31" ht="17.1" customHeight="1">
      <c r="F123" s="2984"/>
      <c r="G123" s="2984"/>
      <c r="H123" s="2984"/>
      <c r="I123" s="2984"/>
      <c r="J123" s="2984"/>
      <c r="K123" s="2984"/>
      <c r="L123" s="2984"/>
      <c r="M123" s="2984"/>
      <c r="N123" s="2984"/>
      <c r="O123" s="2984"/>
      <c r="P123" s="2984"/>
      <c r="Q123" s="2984"/>
      <c r="R123" s="2984"/>
      <c r="S123" s="2984"/>
      <c r="T123" s="2984"/>
      <c r="U123" s="2984"/>
      <c r="V123" s="2984"/>
      <c r="W123" s="2984"/>
      <c r="X123" s="2984"/>
      <c r="Y123" s="2984"/>
      <c r="Z123" s="2984"/>
      <c r="AA123" s="2984"/>
      <c r="AB123" s="2984"/>
      <c r="AC123" s="2984"/>
      <c r="AD123" s="2984"/>
      <c r="AE123" s="2984"/>
    </row>
    <row r="124" spans="6:31" ht="17.1" customHeight="1">
      <c r="F124" s="2984"/>
      <c r="G124" s="2984"/>
      <c r="H124" s="2984"/>
      <c r="I124" s="2984"/>
      <c r="J124" s="2984"/>
      <c r="K124" s="2984"/>
      <c r="L124" s="2984"/>
      <c r="M124" s="2984"/>
      <c r="N124" s="2984"/>
      <c r="O124" s="2984"/>
      <c r="P124" s="2984"/>
      <c r="Q124" s="2984"/>
      <c r="R124" s="2984"/>
      <c r="S124" s="2984"/>
      <c r="T124" s="2984"/>
      <c r="U124" s="2984"/>
      <c r="V124" s="2984"/>
      <c r="W124" s="2984"/>
      <c r="X124" s="2984"/>
      <c r="Y124" s="2984"/>
      <c r="Z124" s="2984"/>
      <c r="AA124" s="2984"/>
      <c r="AB124" s="2984"/>
      <c r="AC124" s="2984"/>
      <c r="AD124" s="2984"/>
      <c r="AE124" s="2984"/>
    </row>
    <row r="125" spans="6:31" ht="17.1" customHeight="1">
      <c r="F125" s="2984"/>
      <c r="G125" s="2984"/>
      <c r="H125" s="2984"/>
      <c r="I125" s="2984"/>
      <c r="J125" s="2984"/>
      <c r="K125" s="2984"/>
      <c r="L125" s="2984"/>
      <c r="M125" s="2984"/>
      <c r="N125" s="2984"/>
      <c r="O125" s="2984"/>
      <c r="P125" s="2984"/>
      <c r="Q125" s="2984"/>
      <c r="R125" s="2984"/>
      <c r="S125" s="2984"/>
      <c r="T125" s="2984"/>
      <c r="U125" s="2984"/>
      <c r="V125" s="2984"/>
      <c r="W125" s="2984"/>
      <c r="X125" s="2984"/>
      <c r="Y125" s="2984"/>
      <c r="Z125" s="2984"/>
      <c r="AA125" s="2984"/>
      <c r="AB125" s="2984"/>
      <c r="AC125" s="2984"/>
      <c r="AD125" s="2984"/>
      <c r="AE125" s="2984"/>
    </row>
    <row r="126" spans="6:31" ht="17.1" customHeight="1">
      <c r="F126" s="2984"/>
      <c r="G126" s="2984"/>
      <c r="H126" s="2984"/>
      <c r="I126" s="2984"/>
      <c r="J126" s="2984"/>
      <c r="K126" s="2984"/>
      <c r="L126" s="2984"/>
      <c r="M126" s="2984"/>
      <c r="N126" s="2984"/>
      <c r="O126" s="2984"/>
      <c r="P126" s="2984"/>
      <c r="Q126" s="2984"/>
      <c r="R126" s="2984"/>
      <c r="S126" s="2984"/>
      <c r="T126" s="2984"/>
      <c r="U126" s="2984"/>
      <c r="V126" s="2984"/>
      <c r="W126" s="2984"/>
      <c r="X126" s="2984"/>
      <c r="Y126" s="2984"/>
      <c r="Z126" s="2984"/>
      <c r="AA126" s="2984"/>
      <c r="AB126" s="2984"/>
      <c r="AC126" s="2984"/>
      <c r="AD126" s="2984"/>
      <c r="AE126" s="2984"/>
    </row>
    <row r="127" spans="6:31" ht="17.1" customHeight="1">
      <c r="F127" s="2984"/>
      <c r="G127" s="2984"/>
      <c r="H127" s="2984"/>
      <c r="I127" s="2984"/>
      <c r="J127" s="2984"/>
      <c r="K127" s="2984"/>
      <c r="L127" s="2984"/>
      <c r="M127" s="2984"/>
      <c r="N127" s="2984"/>
      <c r="O127" s="2984"/>
      <c r="P127" s="2984"/>
      <c r="Q127" s="2984"/>
      <c r="R127" s="2984"/>
      <c r="S127" s="2984"/>
      <c r="T127" s="2984"/>
      <c r="U127" s="2984"/>
      <c r="V127" s="2984"/>
      <c r="W127" s="2984"/>
      <c r="X127" s="2984"/>
      <c r="Y127" s="2984"/>
      <c r="Z127" s="2984"/>
      <c r="AA127" s="2984"/>
      <c r="AB127" s="2984"/>
      <c r="AC127" s="2984"/>
      <c r="AD127" s="2984"/>
      <c r="AE127" s="2984"/>
    </row>
    <row r="128" spans="6:31" ht="17.1" customHeight="1">
      <c r="F128" s="2984"/>
      <c r="G128" s="2984"/>
      <c r="H128" s="2984"/>
      <c r="I128" s="2984"/>
      <c r="J128" s="2984"/>
      <c r="K128" s="2984"/>
      <c r="L128" s="2984"/>
      <c r="M128" s="2984"/>
      <c r="N128" s="2984"/>
      <c r="O128" s="2984"/>
      <c r="P128" s="2984"/>
      <c r="Q128" s="2984"/>
      <c r="R128" s="2984"/>
      <c r="S128" s="2984"/>
      <c r="T128" s="2984"/>
      <c r="U128" s="2984"/>
      <c r="V128" s="2984"/>
      <c r="W128" s="2984"/>
      <c r="X128" s="2984"/>
      <c r="Y128" s="2984"/>
      <c r="Z128" s="2984"/>
      <c r="AA128" s="2984"/>
      <c r="AB128" s="2984"/>
      <c r="AC128" s="2984"/>
      <c r="AD128" s="2984"/>
      <c r="AE128" s="2984"/>
    </row>
    <row r="129" spans="6:31" ht="17.1" customHeight="1">
      <c r="F129" s="2984"/>
      <c r="G129" s="2984"/>
      <c r="H129" s="2984"/>
      <c r="I129" s="2984"/>
      <c r="J129" s="2984"/>
      <c r="K129" s="2984"/>
      <c r="L129" s="2984"/>
      <c r="M129" s="2984"/>
      <c r="N129" s="2984"/>
      <c r="O129" s="2984"/>
      <c r="P129" s="2984"/>
      <c r="Q129" s="2984"/>
      <c r="R129" s="2984"/>
      <c r="S129" s="2984"/>
      <c r="T129" s="2984"/>
      <c r="U129" s="2984"/>
      <c r="V129" s="2984"/>
      <c r="W129" s="2984"/>
      <c r="X129" s="2984"/>
      <c r="Y129" s="2984"/>
      <c r="Z129" s="2984"/>
      <c r="AA129" s="2984"/>
      <c r="AB129" s="2984"/>
      <c r="AC129" s="2984"/>
      <c r="AD129" s="2984"/>
      <c r="AE129" s="2984"/>
    </row>
    <row r="130" spans="6:31" ht="17.1" customHeight="1">
      <c r="F130" s="2984"/>
      <c r="G130" s="2984"/>
      <c r="H130" s="2984"/>
      <c r="I130" s="2984"/>
      <c r="J130" s="2984"/>
      <c r="K130" s="2984"/>
      <c r="L130" s="2984"/>
      <c r="M130" s="2984"/>
      <c r="N130" s="2984"/>
      <c r="O130" s="2984"/>
      <c r="P130" s="2984"/>
      <c r="Q130" s="2984"/>
      <c r="R130" s="2984"/>
      <c r="S130" s="2984"/>
      <c r="T130" s="2984"/>
      <c r="U130" s="2984"/>
      <c r="V130" s="2984"/>
      <c r="W130" s="2984"/>
      <c r="X130" s="2984"/>
      <c r="Y130" s="2984"/>
      <c r="Z130" s="2984"/>
      <c r="AA130" s="2984"/>
      <c r="AB130" s="2984"/>
      <c r="AC130" s="2984"/>
      <c r="AD130" s="2984"/>
      <c r="AE130" s="2984"/>
    </row>
    <row r="131" spans="6:31" ht="17.1" customHeight="1">
      <c r="F131" s="2984"/>
      <c r="G131" s="2984"/>
      <c r="H131" s="2984"/>
      <c r="I131" s="2984"/>
      <c r="J131" s="2984"/>
      <c r="K131" s="2984"/>
      <c r="L131" s="2984"/>
      <c r="M131" s="2984"/>
      <c r="N131" s="2984"/>
      <c r="O131" s="2984"/>
      <c r="P131" s="2984"/>
      <c r="Q131" s="2984"/>
      <c r="R131" s="2984"/>
      <c r="S131" s="2984"/>
      <c r="T131" s="2984"/>
      <c r="U131" s="2984"/>
      <c r="V131" s="2984"/>
      <c r="W131" s="2984"/>
      <c r="X131" s="2984"/>
      <c r="Y131" s="2984"/>
      <c r="Z131" s="2984"/>
      <c r="AA131" s="2984"/>
      <c r="AB131" s="2984"/>
      <c r="AC131" s="2984"/>
      <c r="AD131" s="2984"/>
      <c r="AE131" s="2984"/>
    </row>
    <row r="132" spans="6:31" ht="17.1" customHeight="1">
      <c r="F132" s="2984"/>
      <c r="G132" s="2984"/>
      <c r="H132" s="2984"/>
      <c r="I132" s="2984"/>
      <c r="J132" s="2984"/>
      <c r="K132" s="2984"/>
      <c r="L132" s="2984"/>
      <c r="M132" s="2984"/>
      <c r="N132" s="2984"/>
      <c r="O132" s="2984"/>
      <c r="P132" s="2984"/>
      <c r="Q132" s="2984"/>
      <c r="R132" s="2984"/>
      <c r="S132" s="2984"/>
      <c r="T132" s="2984"/>
      <c r="U132" s="2984"/>
      <c r="V132" s="2984"/>
      <c r="W132" s="2984"/>
      <c r="X132" s="2984"/>
      <c r="Y132" s="2984"/>
      <c r="Z132" s="2984"/>
      <c r="AA132" s="2984"/>
      <c r="AB132" s="2984"/>
      <c r="AC132" s="2984"/>
      <c r="AD132" s="2984"/>
      <c r="AE132" s="2984"/>
    </row>
    <row r="133" spans="6:31" ht="17.1" customHeight="1">
      <c r="F133" s="2984"/>
      <c r="G133" s="2984"/>
      <c r="H133" s="2984"/>
      <c r="I133" s="2984"/>
      <c r="J133" s="2984"/>
      <c r="K133" s="2984"/>
      <c r="L133" s="2984"/>
      <c r="M133" s="2984"/>
      <c r="N133" s="2984"/>
      <c r="O133" s="2984"/>
      <c r="P133" s="2984"/>
      <c r="Q133" s="2984"/>
      <c r="R133" s="2984"/>
      <c r="S133" s="2984"/>
      <c r="T133" s="2984"/>
      <c r="U133" s="2984"/>
      <c r="V133" s="2984"/>
      <c r="W133" s="2984"/>
      <c r="X133" s="2984"/>
      <c r="Y133" s="2984"/>
      <c r="Z133" s="2984"/>
      <c r="AA133" s="2984"/>
      <c r="AB133" s="2984"/>
      <c r="AC133" s="2984"/>
      <c r="AD133" s="2984"/>
      <c r="AE133" s="2984"/>
    </row>
    <row r="134" spans="6:31" ht="17.1" customHeight="1">
      <c r="F134" s="2984"/>
      <c r="G134" s="2984"/>
      <c r="H134" s="2984"/>
      <c r="I134" s="2984"/>
      <c r="J134" s="2984"/>
      <c r="K134" s="2984"/>
      <c r="L134" s="2984"/>
      <c r="M134" s="2984"/>
      <c r="N134" s="2984"/>
      <c r="O134" s="2984"/>
      <c r="P134" s="2984"/>
      <c r="Q134" s="2984"/>
      <c r="R134" s="2984"/>
      <c r="S134" s="2984"/>
      <c r="T134" s="2984"/>
      <c r="U134" s="2984"/>
      <c r="V134" s="2984"/>
      <c r="W134" s="2984"/>
      <c r="X134" s="2984"/>
      <c r="Y134" s="2984"/>
      <c r="Z134" s="2984"/>
      <c r="AA134" s="2984"/>
      <c r="AB134" s="2984"/>
      <c r="AC134" s="2984"/>
      <c r="AD134" s="2984"/>
      <c r="AE134" s="2984"/>
    </row>
    <row r="135" spans="6:31" ht="17.1" customHeight="1">
      <c r="F135" s="2984"/>
      <c r="G135" s="2984"/>
      <c r="H135" s="2984"/>
      <c r="I135" s="2984"/>
      <c r="J135" s="2984"/>
      <c r="K135" s="2984"/>
      <c r="L135" s="2984"/>
      <c r="M135" s="2984"/>
      <c r="N135" s="2984"/>
      <c r="O135" s="2984"/>
      <c r="P135" s="2984"/>
      <c r="Q135" s="2984"/>
      <c r="R135" s="2984"/>
      <c r="S135" s="2984"/>
      <c r="T135" s="2984"/>
      <c r="U135" s="2984"/>
      <c r="V135" s="2984"/>
      <c r="W135" s="2984"/>
      <c r="X135" s="2984"/>
      <c r="Y135" s="2984"/>
      <c r="Z135" s="2984"/>
      <c r="AA135" s="2984"/>
      <c r="AB135" s="2984"/>
      <c r="AC135" s="2984"/>
      <c r="AD135" s="2984"/>
      <c r="AE135" s="2984"/>
    </row>
    <row r="136" spans="6:31" ht="17.1" customHeight="1">
      <c r="F136" s="2984"/>
      <c r="G136" s="2984"/>
      <c r="H136" s="2984"/>
      <c r="I136" s="2984"/>
      <c r="J136" s="2984"/>
      <c r="K136" s="2984"/>
      <c r="L136" s="2984"/>
      <c r="M136" s="2984"/>
      <c r="N136" s="2984"/>
      <c r="O136" s="2984"/>
      <c r="P136" s="2984"/>
      <c r="Q136" s="2984"/>
      <c r="R136" s="2984"/>
      <c r="S136" s="2984"/>
      <c r="T136" s="2984"/>
      <c r="U136" s="2984"/>
      <c r="V136" s="2984"/>
      <c r="W136" s="2984"/>
      <c r="X136" s="2984"/>
      <c r="Y136" s="2984"/>
      <c r="Z136" s="2984"/>
      <c r="AA136" s="2984"/>
      <c r="AB136" s="2984"/>
      <c r="AC136" s="2984"/>
      <c r="AD136" s="2984"/>
      <c r="AE136" s="2984"/>
    </row>
    <row r="137" spans="6:31" ht="17.1" customHeight="1">
      <c r="F137" s="2984"/>
      <c r="G137" s="2984"/>
      <c r="H137" s="2984"/>
      <c r="I137" s="2984"/>
      <c r="J137" s="2984"/>
      <c r="K137" s="2984"/>
      <c r="L137" s="2984"/>
      <c r="M137" s="2984"/>
      <c r="N137" s="2984"/>
      <c r="O137" s="2984"/>
      <c r="P137" s="2984"/>
      <c r="Q137" s="2984"/>
      <c r="R137" s="2984"/>
      <c r="S137" s="2984"/>
      <c r="T137" s="2984"/>
      <c r="U137" s="2984"/>
      <c r="V137" s="2984"/>
      <c r="W137" s="2984"/>
      <c r="X137" s="2984"/>
      <c r="Y137" s="2984"/>
      <c r="Z137" s="2984"/>
      <c r="AA137" s="2984"/>
      <c r="AB137" s="2984"/>
      <c r="AC137" s="2984"/>
      <c r="AD137" s="2984"/>
      <c r="AE137" s="2984"/>
    </row>
    <row r="138" spans="6:31" ht="17.1" customHeight="1">
      <c r="F138" s="2984"/>
      <c r="G138" s="2984"/>
      <c r="H138" s="2984"/>
      <c r="I138" s="2984"/>
      <c r="J138" s="2984"/>
      <c r="K138" s="2984"/>
      <c r="L138" s="2984"/>
      <c r="M138" s="2984"/>
      <c r="N138" s="2984"/>
      <c r="O138" s="2984"/>
      <c r="P138" s="2984"/>
      <c r="Q138" s="2984"/>
      <c r="R138" s="2984"/>
      <c r="S138" s="2984"/>
      <c r="T138" s="2984"/>
      <c r="U138" s="2984"/>
      <c r="V138" s="2984"/>
      <c r="W138" s="2984"/>
      <c r="X138" s="2984"/>
      <c r="Y138" s="2984"/>
      <c r="Z138" s="2984"/>
      <c r="AA138" s="2984"/>
      <c r="AB138" s="2984"/>
      <c r="AC138" s="2984"/>
      <c r="AD138" s="2984"/>
      <c r="AE138" s="2984"/>
    </row>
    <row r="139" spans="6:31" ht="17.1" customHeight="1">
      <c r="F139" s="2984"/>
      <c r="G139" s="2984"/>
      <c r="H139" s="2984"/>
      <c r="I139" s="2984"/>
      <c r="J139" s="2984"/>
      <c r="K139" s="2984"/>
      <c r="L139" s="2984"/>
      <c r="M139" s="2984"/>
      <c r="N139" s="2984"/>
      <c r="O139" s="2984"/>
      <c r="P139" s="2984"/>
      <c r="Q139" s="2984"/>
      <c r="R139" s="2984"/>
      <c r="S139" s="2984"/>
      <c r="T139" s="2984"/>
      <c r="U139" s="2984"/>
      <c r="V139" s="2984"/>
      <c r="W139" s="2984"/>
      <c r="X139" s="2984"/>
      <c r="Y139" s="2984"/>
      <c r="Z139" s="2984"/>
      <c r="AA139" s="2984"/>
      <c r="AB139" s="2984"/>
      <c r="AC139" s="2984"/>
      <c r="AD139" s="2984"/>
      <c r="AE139" s="2984"/>
    </row>
    <row r="140" spans="6:31" ht="17.1" customHeight="1">
      <c r="F140" s="2984"/>
      <c r="G140" s="2984"/>
      <c r="H140" s="2984"/>
      <c r="I140" s="2984"/>
      <c r="J140" s="2984"/>
      <c r="K140" s="2984"/>
      <c r="L140" s="2984"/>
      <c r="M140" s="2984"/>
      <c r="N140" s="2984"/>
      <c r="O140" s="2984"/>
      <c r="P140" s="2984"/>
      <c r="Q140" s="2984"/>
      <c r="R140" s="2984"/>
      <c r="S140" s="2984"/>
      <c r="T140" s="2984"/>
      <c r="U140" s="2984"/>
      <c r="V140" s="2984"/>
      <c r="W140" s="2984"/>
      <c r="X140" s="2984"/>
      <c r="Y140" s="2984"/>
      <c r="Z140" s="2984"/>
      <c r="AA140" s="2984"/>
      <c r="AB140" s="2984"/>
      <c r="AC140" s="2984"/>
      <c r="AD140" s="2984"/>
      <c r="AE140" s="2984"/>
    </row>
    <row r="141" spans="6:31" ht="17.1" customHeight="1">
      <c r="F141" s="2984"/>
      <c r="G141" s="2984"/>
      <c r="H141" s="2984"/>
      <c r="I141" s="2984"/>
      <c r="J141" s="2984"/>
      <c r="K141" s="2984"/>
      <c r="L141" s="2984"/>
      <c r="M141" s="2984"/>
      <c r="N141" s="2984"/>
      <c r="O141" s="2984"/>
      <c r="P141" s="2984"/>
      <c r="Q141" s="2984"/>
      <c r="R141" s="2984"/>
      <c r="S141" s="2984"/>
      <c r="T141" s="2984"/>
      <c r="U141" s="2984"/>
      <c r="V141" s="2984"/>
      <c r="W141" s="2984"/>
      <c r="X141" s="2984"/>
      <c r="Y141" s="2984"/>
      <c r="Z141" s="2984"/>
      <c r="AA141" s="2984"/>
      <c r="AB141" s="2984"/>
      <c r="AC141" s="2984"/>
      <c r="AD141" s="2984"/>
      <c r="AE141" s="2984"/>
    </row>
    <row r="142" spans="6:31" ht="17.1" customHeight="1">
      <c r="F142" s="2984"/>
      <c r="G142" s="2984"/>
      <c r="H142" s="2984"/>
      <c r="I142" s="2984"/>
      <c r="J142" s="2984"/>
      <c r="K142" s="2984"/>
      <c r="L142" s="2984"/>
      <c r="M142" s="2984"/>
      <c r="N142" s="2984"/>
      <c r="O142" s="2984"/>
      <c r="P142" s="2984"/>
      <c r="Q142" s="2984"/>
      <c r="R142" s="2984"/>
      <c r="S142" s="2984"/>
      <c r="T142" s="2984"/>
      <c r="U142" s="2984"/>
      <c r="V142" s="2984"/>
      <c r="W142" s="2984"/>
      <c r="X142" s="2984"/>
      <c r="Y142" s="2984"/>
      <c r="Z142" s="2984"/>
      <c r="AA142" s="2984"/>
      <c r="AB142" s="2984"/>
      <c r="AC142" s="2984"/>
      <c r="AD142" s="2984"/>
      <c r="AE142" s="2984"/>
    </row>
    <row r="143" spans="6:31" ht="17.1" customHeight="1">
      <c r="F143" s="2984"/>
      <c r="G143" s="2984"/>
      <c r="H143" s="2984"/>
      <c r="I143" s="2984"/>
      <c r="J143" s="2984"/>
      <c r="K143" s="2984"/>
      <c r="L143" s="2984"/>
      <c r="M143" s="2984"/>
      <c r="N143" s="2984"/>
      <c r="O143" s="2984"/>
      <c r="P143" s="2984"/>
      <c r="Q143" s="2984"/>
      <c r="R143" s="2984"/>
      <c r="S143" s="2984"/>
      <c r="T143" s="2984"/>
      <c r="U143" s="2984"/>
      <c r="V143" s="2984"/>
      <c r="W143" s="2984"/>
      <c r="X143" s="2984"/>
      <c r="Y143" s="2984"/>
      <c r="Z143" s="2984"/>
      <c r="AA143" s="2984"/>
      <c r="AB143" s="2984"/>
      <c r="AC143" s="2984"/>
      <c r="AD143" s="2984"/>
      <c r="AE143" s="2984"/>
    </row>
    <row r="144" spans="6:31" ht="17.1" customHeight="1">
      <c r="F144" s="2984"/>
      <c r="G144" s="2984"/>
      <c r="H144" s="2984"/>
      <c r="I144" s="2984"/>
      <c r="J144" s="2984"/>
      <c r="K144" s="2984"/>
      <c r="L144" s="2984"/>
      <c r="M144" s="2984"/>
      <c r="N144" s="2984"/>
      <c r="O144" s="2984"/>
      <c r="P144" s="2984"/>
      <c r="Q144" s="2984"/>
      <c r="R144" s="2984"/>
      <c r="S144" s="2984"/>
      <c r="T144" s="2984"/>
      <c r="U144" s="2984"/>
      <c r="V144" s="2984"/>
      <c r="W144" s="2984"/>
      <c r="X144" s="2984"/>
      <c r="Y144" s="2984"/>
      <c r="Z144" s="2984"/>
      <c r="AA144" s="2984"/>
      <c r="AB144" s="2984"/>
      <c r="AC144" s="2984"/>
      <c r="AD144" s="2984"/>
      <c r="AE144" s="2984"/>
    </row>
    <row r="145" spans="6:31" ht="17.1" customHeight="1">
      <c r="F145" s="2984"/>
      <c r="G145" s="2984"/>
      <c r="H145" s="2984"/>
      <c r="I145" s="2984"/>
      <c r="J145" s="2984"/>
      <c r="K145" s="2984"/>
      <c r="L145" s="2984"/>
      <c r="M145" s="2984"/>
      <c r="N145" s="2984"/>
      <c r="O145" s="2984"/>
      <c r="P145" s="2984"/>
      <c r="Q145" s="2984"/>
      <c r="R145" s="2984"/>
      <c r="S145" s="2984"/>
      <c r="T145" s="2984"/>
      <c r="U145" s="2984"/>
      <c r="V145" s="2984"/>
      <c r="W145" s="2984"/>
      <c r="X145" s="2984"/>
      <c r="Y145" s="2984"/>
      <c r="Z145" s="2984"/>
      <c r="AA145" s="2984"/>
      <c r="AB145" s="2984"/>
      <c r="AC145" s="2984"/>
      <c r="AD145" s="2984"/>
      <c r="AE145" s="2984"/>
    </row>
    <row r="146" spans="6:31" ht="17.1" customHeight="1">
      <c r="F146" s="2984"/>
      <c r="G146" s="2984"/>
      <c r="H146" s="2984"/>
      <c r="I146" s="2984"/>
      <c r="J146" s="2984"/>
      <c r="K146" s="2984"/>
      <c r="L146" s="2984"/>
      <c r="M146" s="2984"/>
      <c r="N146" s="2984"/>
      <c r="O146" s="2984"/>
      <c r="P146" s="2984"/>
      <c r="Q146" s="2984"/>
      <c r="R146" s="2984"/>
      <c r="S146" s="2984"/>
      <c r="T146" s="2984"/>
      <c r="U146" s="2984"/>
      <c r="V146" s="2984"/>
      <c r="W146" s="2984"/>
      <c r="X146" s="2984"/>
      <c r="Y146" s="2984"/>
      <c r="Z146" s="2984"/>
      <c r="AA146" s="2984"/>
      <c r="AB146" s="2984"/>
      <c r="AC146" s="2984"/>
      <c r="AD146" s="2984"/>
      <c r="AE146" s="2984"/>
    </row>
    <row r="147" spans="6:31" ht="17.1" customHeight="1">
      <c r="F147" s="2984"/>
      <c r="G147" s="2984"/>
      <c r="H147" s="2984"/>
      <c r="I147" s="2984"/>
      <c r="J147" s="2984"/>
      <c r="K147" s="2984"/>
      <c r="L147" s="2984"/>
      <c r="M147" s="2984"/>
      <c r="N147" s="2984"/>
      <c r="O147" s="2984"/>
      <c r="P147" s="2984"/>
      <c r="Q147" s="2984"/>
      <c r="R147" s="2984"/>
      <c r="S147" s="2984"/>
      <c r="T147" s="2984"/>
      <c r="U147" s="2984"/>
      <c r="V147" s="2984"/>
      <c r="W147" s="2984"/>
      <c r="X147" s="2984"/>
      <c r="Y147" s="2984"/>
      <c r="Z147" s="2984"/>
      <c r="AA147" s="2984"/>
      <c r="AB147" s="2984"/>
      <c r="AC147" s="2984"/>
      <c r="AD147" s="2984"/>
      <c r="AE147" s="2984"/>
    </row>
    <row r="148" spans="6:31" ht="17.1" customHeight="1">
      <c r="F148" s="2984"/>
      <c r="G148" s="2984"/>
      <c r="H148" s="2984"/>
      <c r="I148" s="2984"/>
      <c r="J148" s="2984"/>
      <c r="K148" s="2984"/>
      <c r="L148" s="2984"/>
      <c r="M148" s="2984"/>
      <c r="N148" s="2984"/>
      <c r="O148" s="2984"/>
      <c r="P148" s="2984"/>
      <c r="Q148" s="2984"/>
      <c r="R148" s="2984"/>
      <c r="S148" s="2984"/>
      <c r="T148" s="2984"/>
      <c r="U148" s="2984"/>
      <c r="V148" s="2984"/>
      <c r="W148" s="2984"/>
      <c r="X148" s="2984"/>
      <c r="Y148" s="2984"/>
      <c r="Z148" s="2984"/>
      <c r="AA148" s="2984"/>
      <c r="AB148" s="2984"/>
      <c r="AC148" s="2984"/>
      <c r="AD148" s="2984"/>
      <c r="AE148" s="2984"/>
    </row>
    <row r="149" spans="6:31" ht="17.1" customHeight="1">
      <c r="F149" s="2984"/>
      <c r="G149" s="2984"/>
      <c r="H149" s="2984"/>
      <c r="I149" s="2984"/>
      <c r="J149" s="2984"/>
      <c r="K149" s="2984"/>
      <c r="L149" s="2984"/>
      <c r="M149" s="2984"/>
      <c r="N149" s="2984"/>
      <c r="O149" s="2984"/>
      <c r="P149" s="2984"/>
      <c r="Q149" s="2984"/>
      <c r="R149" s="2984"/>
      <c r="S149" s="2984"/>
      <c r="T149" s="2984"/>
      <c r="U149" s="2984"/>
      <c r="V149" s="2984"/>
      <c r="W149" s="2984"/>
      <c r="X149" s="2984"/>
      <c r="Y149" s="2984"/>
      <c r="Z149" s="2984"/>
      <c r="AA149" s="2984"/>
      <c r="AB149" s="2984"/>
      <c r="AC149" s="2984"/>
      <c r="AD149" s="2984"/>
      <c r="AE149" s="2984"/>
    </row>
    <row r="150" spans="6:31" ht="17.1" customHeight="1">
      <c r="F150" s="2984"/>
      <c r="G150" s="2984"/>
      <c r="H150" s="2984"/>
      <c r="I150" s="2984"/>
      <c r="J150" s="2984"/>
      <c r="K150" s="2984"/>
      <c r="L150" s="2984"/>
      <c r="M150" s="2984"/>
      <c r="N150" s="2984"/>
      <c r="O150" s="2984"/>
      <c r="P150" s="2984"/>
      <c r="Q150" s="2984"/>
      <c r="R150" s="2984"/>
      <c r="S150" s="2984"/>
      <c r="T150" s="2984"/>
      <c r="U150" s="2984"/>
      <c r="V150" s="2984"/>
      <c r="W150" s="2984"/>
      <c r="X150" s="2984"/>
      <c r="Y150" s="2984"/>
      <c r="Z150" s="2984"/>
      <c r="AA150" s="2984"/>
      <c r="AB150" s="2984"/>
      <c r="AC150" s="2984"/>
      <c r="AD150" s="2984"/>
      <c r="AE150" s="2984"/>
    </row>
    <row r="151" ht="17.1" customHeight="1">
      <c r="AE151" s="2984"/>
    </row>
    <row r="152" ht="17.1" customHeight="1">
      <c r="AE152" s="2984"/>
    </row>
    <row r="153" ht="17.1" customHeight="1">
      <c r="AE153" s="2984"/>
    </row>
    <row r="154" ht="17.1" customHeight="1">
      <c r="AE154" s="2984"/>
    </row>
    <row r="155" ht="17.1" customHeight="1"/>
    <row r="156" ht="17.1" customHeight="1"/>
    <row r="157" ht="17.1" customHeight="1"/>
  </sheetData>
  <printOptions/>
  <pageMargins left="0.1968503937007874" right="0.35433070866141736" top="0.7874015748031497" bottom="0.7874015748031497" header="0.5118110236220472" footer="0.5118110236220472"/>
  <pageSetup horizontalDpi="600" verticalDpi="600" orientation="landscape" paperSize="9" scale="60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86401" r:id="rId4" name="Button 1">
              <controlPr defaultSize="0" print="0" autoFill="0" autoPict="0" macro="[2]!Actualizar_Referencias">
                <anchor moveWithCells="1" sizeWithCells="1">
                  <from>
                    <xdr:col>0</xdr:col>
                    <xdr:colOff>38100</xdr:colOff>
                    <xdr:row>40</xdr:row>
                    <xdr:rowOff>9525</xdr:rowOff>
                  </from>
                  <to>
                    <xdr:col>1</xdr:col>
                    <xdr:colOff>257175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Diego Alarcon</cp:lastModifiedBy>
  <cp:lastPrinted>2017-03-06T13:43:38Z</cp:lastPrinted>
  <dcterms:created xsi:type="dcterms:W3CDTF">1998-04-21T14:04:37Z</dcterms:created>
  <dcterms:modified xsi:type="dcterms:W3CDTF">2017-07-28T12:29:44Z</dcterms:modified>
  <cp:category/>
  <cp:version/>
  <cp:contentType/>
  <cp:contentStatus/>
</cp:coreProperties>
</file>